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imilianotombolini/Desktop/Royal Moto Service/Royal-Software/archivos/"/>
    </mc:Choice>
  </mc:AlternateContent>
  <xr:revisionPtr revIDLastSave="0" documentId="8_{E929036A-8C57-844F-B080-53B06ED85493}" xr6:coauthVersionLast="47" xr6:coauthVersionMax="47" xr10:uidLastSave="{00000000-0000-0000-0000-000000000000}"/>
  <bookViews>
    <workbookView xWindow="0" yWindow="480" windowWidth="28800" windowHeight="17520"/>
  </bookViews>
  <sheets>
    <sheet name="currentStockReportExport_755e90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098" i="2" l="1"/>
  <c r="C15098" i="2"/>
  <c r="D15088" i="2"/>
  <c r="C15088" i="2"/>
  <c r="D15087" i="2"/>
  <c r="C15087" i="2"/>
  <c r="D15086" i="2"/>
  <c r="C15086" i="2"/>
  <c r="D15085" i="2"/>
  <c r="C15085" i="2"/>
  <c r="D15084" i="2"/>
  <c r="C15084" i="2"/>
  <c r="D15083" i="2"/>
  <c r="C15083" i="2"/>
  <c r="D15082" i="2"/>
  <c r="C15082" i="2"/>
  <c r="D15081" i="2"/>
  <c r="C15081" i="2"/>
  <c r="D15080" i="2"/>
  <c r="C15080" i="2"/>
  <c r="D15079" i="2"/>
  <c r="C15079" i="2"/>
  <c r="D15078" i="2"/>
  <c r="C15078" i="2"/>
  <c r="D15077" i="2"/>
  <c r="C15077" i="2"/>
  <c r="D15076" i="2"/>
  <c r="C15076" i="2"/>
  <c r="D15075" i="2"/>
  <c r="C15075" i="2"/>
  <c r="D15074" i="2"/>
  <c r="C15074" i="2"/>
  <c r="D15073" i="2"/>
  <c r="C15073" i="2"/>
  <c r="D15072" i="2"/>
  <c r="C15072" i="2"/>
  <c r="D15071" i="2"/>
  <c r="C15071" i="2"/>
  <c r="D15070" i="2"/>
  <c r="C15070" i="2"/>
  <c r="D15069" i="2"/>
  <c r="C15069" i="2"/>
  <c r="D15068" i="2"/>
  <c r="C15068" i="2"/>
  <c r="D15067" i="2"/>
  <c r="C15067" i="2"/>
  <c r="D15066" i="2"/>
  <c r="C15066" i="2"/>
  <c r="D15065" i="2"/>
  <c r="C15065" i="2"/>
  <c r="D15064" i="2"/>
  <c r="C15064" i="2"/>
  <c r="D15063" i="2"/>
  <c r="C15063" i="2"/>
  <c r="D15062" i="2"/>
  <c r="C15062" i="2"/>
  <c r="D15061" i="2"/>
  <c r="C15061" i="2"/>
  <c r="D15060" i="2"/>
  <c r="C15060" i="2"/>
  <c r="D15059" i="2"/>
  <c r="C15059" i="2"/>
  <c r="D15058" i="2"/>
  <c r="C15058" i="2"/>
  <c r="D15057" i="2"/>
  <c r="C15057" i="2"/>
  <c r="D15056" i="2"/>
  <c r="C15056" i="2"/>
  <c r="D15055" i="2"/>
  <c r="C15055" i="2"/>
  <c r="D15054" i="2"/>
  <c r="C15054" i="2"/>
  <c r="D15053" i="2"/>
  <c r="C15053" i="2"/>
  <c r="D15052" i="2"/>
  <c r="C15052" i="2"/>
  <c r="D15051" i="2"/>
  <c r="C15051" i="2"/>
  <c r="D15050" i="2"/>
  <c r="C15050" i="2"/>
  <c r="D15049" i="2"/>
  <c r="C15049" i="2"/>
  <c r="D15048" i="2"/>
  <c r="C15048" i="2"/>
  <c r="D15047" i="2"/>
  <c r="C15047" i="2"/>
  <c r="D15046" i="2"/>
  <c r="C15046" i="2"/>
  <c r="D15045" i="2"/>
  <c r="C15045" i="2"/>
  <c r="D15044" i="2"/>
  <c r="C15044" i="2"/>
  <c r="D15043" i="2"/>
  <c r="C15043" i="2"/>
  <c r="D15042" i="2"/>
  <c r="C15042" i="2"/>
  <c r="D15041" i="2"/>
  <c r="C15041" i="2"/>
  <c r="D15040" i="2"/>
  <c r="C15040" i="2"/>
  <c r="D15039" i="2"/>
  <c r="C15039" i="2"/>
  <c r="D15038" i="2"/>
  <c r="C15038" i="2"/>
  <c r="D15037" i="2"/>
  <c r="C15037" i="2"/>
  <c r="D15036" i="2"/>
  <c r="C15036" i="2"/>
  <c r="D15035" i="2"/>
  <c r="C15035" i="2"/>
  <c r="D15034" i="2"/>
  <c r="C15034" i="2"/>
  <c r="D15033" i="2"/>
  <c r="C15033" i="2"/>
  <c r="D15032" i="2"/>
  <c r="C15032" i="2"/>
  <c r="D15031" i="2"/>
  <c r="C15031" i="2"/>
  <c r="D15030" i="2"/>
  <c r="C15030" i="2"/>
  <c r="D15029" i="2"/>
  <c r="C15029" i="2"/>
  <c r="D15028" i="2"/>
  <c r="C15028" i="2"/>
  <c r="D15027" i="2"/>
  <c r="C15027" i="2"/>
  <c r="D15026" i="2"/>
  <c r="C15026" i="2"/>
  <c r="D15025" i="2"/>
  <c r="C15025" i="2"/>
  <c r="D15024" i="2"/>
  <c r="C15024" i="2"/>
  <c r="D15023" i="2"/>
  <c r="C15023" i="2"/>
  <c r="D15022" i="2"/>
  <c r="C15022" i="2"/>
  <c r="D15021" i="2"/>
  <c r="C15021" i="2"/>
  <c r="D15020" i="2"/>
  <c r="C15020" i="2"/>
  <c r="D15019" i="2"/>
  <c r="C15019" i="2"/>
  <c r="D15018" i="2"/>
  <c r="C15018" i="2"/>
  <c r="D15017" i="2"/>
  <c r="C15017" i="2"/>
  <c r="D15016" i="2"/>
  <c r="C15016" i="2"/>
  <c r="D15015" i="2"/>
  <c r="C15015" i="2"/>
  <c r="D15014" i="2"/>
  <c r="C15014" i="2"/>
  <c r="D15013" i="2"/>
  <c r="C15013" i="2"/>
  <c r="D15012" i="2"/>
  <c r="C15012" i="2"/>
  <c r="D15011" i="2"/>
  <c r="C15011" i="2"/>
  <c r="D15010" i="2"/>
  <c r="C15010" i="2"/>
  <c r="D15009" i="2"/>
  <c r="C15009" i="2"/>
  <c r="D15008" i="2"/>
  <c r="C15008" i="2"/>
  <c r="D15007" i="2"/>
  <c r="C15007" i="2"/>
  <c r="D15006" i="2"/>
  <c r="C15006" i="2"/>
  <c r="D15005" i="2"/>
  <c r="C15005" i="2"/>
  <c r="D15004" i="2"/>
  <c r="C15004" i="2"/>
  <c r="D15003" i="2"/>
  <c r="C15003" i="2"/>
  <c r="D15002" i="2"/>
  <c r="C15002" i="2"/>
  <c r="D15001" i="2"/>
  <c r="C15001" i="2"/>
  <c r="D15000" i="2"/>
  <c r="C15000" i="2"/>
  <c r="D14999" i="2"/>
  <c r="C14999" i="2"/>
  <c r="D14998" i="2"/>
  <c r="C14998" i="2"/>
  <c r="D14997" i="2"/>
  <c r="C14997" i="2"/>
  <c r="D14996" i="2"/>
  <c r="C14996" i="2"/>
  <c r="D14995" i="2"/>
  <c r="C14995" i="2"/>
  <c r="D14994" i="2"/>
  <c r="C14994" i="2"/>
  <c r="D14993" i="2"/>
  <c r="C14993" i="2"/>
  <c r="D14992" i="2"/>
  <c r="C14992" i="2"/>
  <c r="D14991" i="2"/>
  <c r="C14991" i="2"/>
  <c r="D14990" i="2"/>
  <c r="C14990" i="2"/>
  <c r="D14989" i="2"/>
  <c r="C14989" i="2"/>
  <c r="D14988" i="2"/>
  <c r="C14988" i="2"/>
  <c r="D14987" i="2"/>
  <c r="C14987" i="2"/>
  <c r="D14986" i="2"/>
  <c r="C14986" i="2"/>
  <c r="D14985" i="2"/>
  <c r="C14985" i="2"/>
  <c r="D14984" i="2"/>
  <c r="C14984" i="2"/>
  <c r="D14983" i="2"/>
  <c r="C14983" i="2"/>
  <c r="D14982" i="2"/>
  <c r="C14982" i="2"/>
  <c r="D14981" i="2"/>
  <c r="C14981" i="2"/>
  <c r="D14980" i="2"/>
  <c r="C14980" i="2"/>
  <c r="D14979" i="2"/>
  <c r="C14979" i="2"/>
  <c r="D14978" i="2"/>
  <c r="C14978" i="2"/>
  <c r="D14977" i="2"/>
  <c r="C14977" i="2"/>
  <c r="D14976" i="2"/>
  <c r="C14976" i="2"/>
  <c r="D14975" i="2"/>
  <c r="C14975" i="2"/>
  <c r="D14974" i="2"/>
  <c r="C14974" i="2"/>
  <c r="D14973" i="2"/>
  <c r="C14973" i="2"/>
  <c r="D14972" i="2"/>
  <c r="C14972" i="2"/>
  <c r="D14971" i="2"/>
  <c r="C14971" i="2"/>
  <c r="D14970" i="2"/>
  <c r="C14970" i="2"/>
  <c r="D14969" i="2"/>
  <c r="C14969" i="2"/>
  <c r="D14968" i="2"/>
  <c r="C14968" i="2"/>
  <c r="D14967" i="2"/>
  <c r="C14967" i="2"/>
  <c r="D14966" i="2"/>
  <c r="C14966" i="2"/>
  <c r="D14965" i="2"/>
  <c r="C14965" i="2"/>
  <c r="D14964" i="2"/>
  <c r="C14964" i="2"/>
  <c r="D14963" i="2"/>
  <c r="C14963" i="2"/>
  <c r="D14962" i="2"/>
  <c r="C14962" i="2"/>
  <c r="D14961" i="2"/>
  <c r="C14961" i="2"/>
  <c r="D14960" i="2"/>
  <c r="C14960" i="2"/>
  <c r="D14959" i="2"/>
  <c r="C14959" i="2"/>
  <c r="D14958" i="2"/>
  <c r="C14958" i="2"/>
  <c r="D14948" i="2"/>
  <c r="C14948" i="2"/>
  <c r="D14947" i="2"/>
  <c r="C14947" i="2"/>
  <c r="D14946" i="2"/>
  <c r="C14946" i="2"/>
  <c r="D14945" i="2"/>
  <c r="C14945" i="2"/>
  <c r="D14944" i="2"/>
  <c r="C14944" i="2"/>
  <c r="D14943" i="2"/>
  <c r="C14943" i="2"/>
  <c r="D14942" i="2"/>
  <c r="C14942" i="2"/>
  <c r="D14941" i="2"/>
  <c r="C14941" i="2"/>
  <c r="D14940" i="2"/>
  <c r="C14940" i="2"/>
  <c r="D14939" i="2"/>
  <c r="C14939" i="2"/>
  <c r="D14938" i="2"/>
  <c r="C14938" i="2"/>
  <c r="D14937" i="2"/>
  <c r="C14937" i="2"/>
  <c r="D14936" i="2"/>
  <c r="C14936" i="2"/>
  <c r="D14935" i="2"/>
  <c r="C14935" i="2"/>
  <c r="D14934" i="2"/>
  <c r="C14934" i="2"/>
  <c r="D14933" i="2"/>
  <c r="C14933" i="2"/>
  <c r="D14932" i="2"/>
  <c r="C14932" i="2"/>
  <c r="D14931" i="2"/>
  <c r="C14931" i="2"/>
  <c r="D14930" i="2"/>
  <c r="C14930" i="2"/>
  <c r="D14929" i="2"/>
  <c r="C14929" i="2"/>
  <c r="D14928" i="2"/>
  <c r="C14928" i="2"/>
  <c r="D14927" i="2"/>
  <c r="C14927" i="2"/>
  <c r="D14926" i="2"/>
  <c r="C14926" i="2"/>
  <c r="D14925" i="2"/>
  <c r="C14925" i="2"/>
  <c r="D14924" i="2"/>
  <c r="C14924" i="2"/>
  <c r="D14923" i="2"/>
  <c r="C14923" i="2"/>
  <c r="D14922" i="2"/>
  <c r="C14922" i="2"/>
  <c r="D14921" i="2"/>
  <c r="C14921" i="2"/>
  <c r="D14920" i="2"/>
  <c r="C14920" i="2"/>
  <c r="D14919" i="2"/>
  <c r="C14919" i="2"/>
  <c r="D14918" i="2"/>
  <c r="C14918" i="2"/>
  <c r="D14917" i="2"/>
  <c r="C14917" i="2"/>
  <c r="D14916" i="2"/>
  <c r="C14916" i="2"/>
  <c r="D14915" i="2"/>
  <c r="C14915" i="2"/>
  <c r="D14914" i="2"/>
  <c r="C14914" i="2"/>
  <c r="D14913" i="2"/>
  <c r="C14913" i="2"/>
  <c r="D14912" i="2"/>
  <c r="C14912" i="2"/>
  <c r="D14911" i="2"/>
  <c r="C14911" i="2"/>
  <c r="D14910" i="2"/>
  <c r="C14910" i="2"/>
  <c r="D14909" i="2"/>
  <c r="C14909" i="2"/>
  <c r="D14908" i="2"/>
  <c r="C14908" i="2"/>
  <c r="D14907" i="2"/>
  <c r="C14907" i="2"/>
  <c r="D14906" i="2"/>
  <c r="C14906" i="2"/>
  <c r="D14905" i="2"/>
  <c r="C14905" i="2"/>
  <c r="D14904" i="2"/>
  <c r="C14904" i="2"/>
  <c r="D14903" i="2"/>
  <c r="C14903" i="2"/>
  <c r="D14902" i="2"/>
  <c r="C14902" i="2"/>
  <c r="D14901" i="2"/>
  <c r="C14901" i="2"/>
  <c r="D14900" i="2"/>
  <c r="C14900" i="2"/>
  <c r="D14899" i="2"/>
  <c r="C14899" i="2"/>
  <c r="D14898" i="2"/>
  <c r="C14898" i="2"/>
  <c r="D14897" i="2"/>
  <c r="C14897" i="2"/>
  <c r="D14896" i="2"/>
  <c r="C14896" i="2"/>
  <c r="D14895" i="2"/>
  <c r="C14895" i="2"/>
  <c r="D14885" i="2"/>
  <c r="C14885" i="2"/>
  <c r="D14884" i="2"/>
  <c r="C14884" i="2"/>
  <c r="D14883" i="2"/>
  <c r="C14883" i="2"/>
  <c r="D14882" i="2"/>
  <c r="C14882" i="2"/>
  <c r="D14881" i="2"/>
  <c r="C14881" i="2"/>
  <c r="D14880" i="2"/>
  <c r="C14880" i="2"/>
  <c r="D14879" i="2"/>
  <c r="C14879" i="2"/>
  <c r="D14878" i="2"/>
  <c r="C14878" i="2"/>
  <c r="D14877" i="2"/>
  <c r="C14877" i="2"/>
  <c r="D14876" i="2"/>
  <c r="C14876" i="2"/>
  <c r="D14875" i="2"/>
  <c r="C14875" i="2"/>
  <c r="D14874" i="2"/>
  <c r="C14874" i="2"/>
  <c r="D14873" i="2"/>
  <c r="C14873" i="2"/>
  <c r="D14872" i="2"/>
  <c r="C14872" i="2"/>
  <c r="D14871" i="2"/>
  <c r="C14871" i="2"/>
  <c r="D14870" i="2"/>
  <c r="C14870" i="2"/>
  <c r="D14869" i="2"/>
  <c r="C14869" i="2"/>
  <c r="D14868" i="2"/>
  <c r="C14868" i="2"/>
  <c r="D14867" i="2"/>
  <c r="C14867" i="2"/>
  <c r="D14866" i="2"/>
  <c r="C14866" i="2"/>
  <c r="D14865" i="2"/>
  <c r="C14865" i="2"/>
  <c r="D14864" i="2"/>
  <c r="C14864" i="2"/>
  <c r="D14863" i="2"/>
  <c r="C14863" i="2"/>
  <c r="D14862" i="2"/>
  <c r="C14862" i="2"/>
  <c r="D14861" i="2"/>
  <c r="C14861" i="2"/>
  <c r="D14860" i="2"/>
  <c r="C14860" i="2"/>
  <c r="D14859" i="2"/>
  <c r="C14859" i="2"/>
  <c r="D14858" i="2"/>
  <c r="C14858" i="2"/>
  <c r="D14857" i="2"/>
  <c r="C14857" i="2"/>
  <c r="D14856" i="2"/>
  <c r="C14856" i="2"/>
  <c r="D14855" i="2"/>
  <c r="C14855" i="2"/>
  <c r="D14854" i="2"/>
  <c r="C14854" i="2"/>
  <c r="D14853" i="2"/>
  <c r="C14853" i="2"/>
  <c r="D14852" i="2"/>
  <c r="C14852" i="2"/>
  <c r="D14851" i="2"/>
  <c r="C14851" i="2"/>
  <c r="D14850" i="2"/>
  <c r="C14850" i="2"/>
  <c r="D14849" i="2"/>
  <c r="C14849" i="2"/>
  <c r="D14848" i="2"/>
  <c r="C14848" i="2"/>
  <c r="D14847" i="2"/>
  <c r="C14847" i="2"/>
  <c r="D14846" i="2"/>
  <c r="C14846" i="2"/>
  <c r="D14845" i="2"/>
  <c r="C14845" i="2"/>
  <c r="D14844" i="2"/>
  <c r="C14844" i="2"/>
  <c r="D14843" i="2"/>
  <c r="C14843" i="2"/>
  <c r="D14842" i="2"/>
  <c r="C14842" i="2"/>
  <c r="D14841" i="2"/>
  <c r="C14841" i="2"/>
  <c r="D14840" i="2"/>
  <c r="C14840" i="2"/>
  <c r="D14839" i="2"/>
  <c r="C14839" i="2"/>
  <c r="D14838" i="2"/>
  <c r="C14838" i="2"/>
  <c r="D14837" i="2"/>
  <c r="C14837" i="2"/>
  <c r="D14836" i="2"/>
  <c r="C14836" i="2"/>
  <c r="D14835" i="2"/>
  <c r="C14835" i="2"/>
  <c r="D14834" i="2"/>
  <c r="C14834" i="2"/>
  <c r="D14833" i="2"/>
  <c r="C14833" i="2"/>
  <c r="D14832" i="2"/>
  <c r="C14832" i="2"/>
  <c r="D14831" i="2"/>
  <c r="C14831" i="2"/>
  <c r="D14830" i="2"/>
  <c r="C14830" i="2"/>
  <c r="D14829" i="2"/>
  <c r="C14829" i="2"/>
  <c r="D14828" i="2"/>
  <c r="C14828" i="2"/>
  <c r="D14827" i="2"/>
  <c r="C14827" i="2"/>
  <c r="D14826" i="2"/>
  <c r="C14826" i="2"/>
  <c r="D14825" i="2"/>
  <c r="C14825" i="2"/>
  <c r="D14824" i="2"/>
  <c r="C14824" i="2"/>
  <c r="D14823" i="2"/>
  <c r="C14823" i="2"/>
  <c r="D14822" i="2"/>
  <c r="C14822" i="2"/>
  <c r="D14821" i="2"/>
  <c r="C14821" i="2"/>
  <c r="D14820" i="2"/>
  <c r="C14820" i="2"/>
  <c r="D14819" i="2"/>
  <c r="C14819" i="2"/>
  <c r="D14818" i="2"/>
  <c r="C14818" i="2"/>
  <c r="D14817" i="2"/>
  <c r="C14817" i="2"/>
  <c r="D14816" i="2"/>
  <c r="C14816" i="2"/>
  <c r="D14815" i="2"/>
  <c r="C14815" i="2"/>
  <c r="D14814" i="2"/>
  <c r="C14814" i="2"/>
  <c r="D14813" i="2"/>
  <c r="C14813" i="2"/>
  <c r="D14812" i="2"/>
  <c r="C14812" i="2"/>
  <c r="D14811" i="2"/>
  <c r="C14811" i="2"/>
  <c r="D14810" i="2"/>
  <c r="C14810" i="2"/>
  <c r="D14809" i="2"/>
  <c r="C14809" i="2"/>
  <c r="D14808" i="2"/>
  <c r="C14808" i="2"/>
  <c r="D14807" i="2"/>
  <c r="C14807" i="2"/>
  <c r="D14806" i="2"/>
  <c r="C14806" i="2"/>
  <c r="D14805" i="2"/>
  <c r="C14805" i="2"/>
  <c r="D14804" i="2"/>
  <c r="C14804" i="2"/>
  <c r="D14803" i="2"/>
  <c r="C14803" i="2"/>
  <c r="D14802" i="2"/>
  <c r="C14802" i="2"/>
  <c r="D14801" i="2"/>
  <c r="C14801" i="2"/>
  <c r="D14800" i="2"/>
  <c r="C14800" i="2"/>
  <c r="D14799" i="2"/>
  <c r="C14799" i="2"/>
  <c r="D14798" i="2"/>
  <c r="C14798" i="2"/>
  <c r="D14797" i="2"/>
  <c r="C14797" i="2"/>
  <c r="D14796" i="2"/>
  <c r="C14796" i="2"/>
  <c r="D14795" i="2"/>
  <c r="C14795" i="2"/>
  <c r="D14794" i="2"/>
  <c r="C14794" i="2"/>
  <c r="D14793" i="2"/>
  <c r="C14793" i="2"/>
  <c r="D14792" i="2"/>
  <c r="C14792" i="2"/>
  <c r="D14791" i="2"/>
  <c r="C14791" i="2"/>
  <c r="D14790" i="2"/>
  <c r="C14790" i="2"/>
  <c r="D14789" i="2"/>
  <c r="C14789" i="2"/>
  <c r="D14788" i="2"/>
  <c r="C14788" i="2"/>
  <c r="D14787" i="2"/>
  <c r="C14787" i="2"/>
  <c r="D14786" i="2"/>
  <c r="C14786" i="2"/>
  <c r="D14785" i="2"/>
  <c r="C14785" i="2"/>
  <c r="D14784" i="2"/>
  <c r="C14784" i="2"/>
  <c r="D14783" i="2"/>
  <c r="C14783" i="2"/>
  <c r="D14782" i="2"/>
  <c r="C14782" i="2"/>
  <c r="D14781" i="2"/>
  <c r="C14781" i="2"/>
  <c r="D14780" i="2"/>
  <c r="C14780" i="2"/>
  <c r="D14779" i="2"/>
  <c r="C14779" i="2"/>
  <c r="D14778" i="2"/>
  <c r="C14778" i="2"/>
  <c r="D14777" i="2"/>
  <c r="C14777" i="2"/>
  <c r="D14776" i="2"/>
  <c r="C14776" i="2"/>
  <c r="D14775" i="2"/>
  <c r="C14775" i="2"/>
  <c r="D14774" i="2"/>
  <c r="C14774" i="2"/>
  <c r="D14773" i="2"/>
  <c r="C14773" i="2"/>
  <c r="D14772" i="2"/>
  <c r="C14772" i="2"/>
  <c r="D14771" i="2"/>
  <c r="C14771" i="2"/>
  <c r="D14770" i="2"/>
  <c r="C14770" i="2"/>
  <c r="D14769" i="2"/>
  <c r="C14769" i="2"/>
  <c r="D14768" i="2"/>
  <c r="C14768" i="2"/>
  <c r="D14767" i="2"/>
  <c r="C14767" i="2"/>
  <c r="D14766" i="2"/>
  <c r="C14766" i="2"/>
  <c r="D14765" i="2"/>
  <c r="C14765" i="2"/>
  <c r="D14764" i="2"/>
  <c r="C14764" i="2"/>
  <c r="D14763" i="2"/>
  <c r="C14763" i="2"/>
  <c r="D14762" i="2"/>
  <c r="C14762" i="2"/>
  <c r="D14761" i="2"/>
  <c r="C14761" i="2"/>
  <c r="D14760" i="2"/>
  <c r="C14760" i="2"/>
  <c r="D14759" i="2"/>
  <c r="C14759" i="2"/>
  <c r="D14758" i="2"/>
  <c r="C14758" i="2"/>
  <c r="D14757" i="2"/>
  <c r="C14757" i="2"/>
  <c r="D14756" i="2"/>
  <c r="C14756" i="2"/>
  <c r="D14755" i="2"/>
  <c r="C14755" i="2"/>
  <c r="D14754" i="2"/>
  <c r="C14754" i="2"/>
  <c r="D14753" i="2"/>
  <c r="C14753" i="2"/>
  <c r="D14752" i="2"/>
  <c r="C14752" i="2"/>
  <c r="D14751" i="2"/>
  <c r="C14751" i="2"/>
  <c r="D14750" i="2"/>
  <c r="C14750" i="2"/>
  <c r="D14749" i="2"/>
  <c r="C14749" i="2"/>
  <c r="D14748" i="2"/>
  <c r="C14748" i="2"/>
  <c r="D14747" i="2"/>
  <c r="C14747" i="2"/>
  <c r="D14746" i="2"/>
  <c r="C14746" i="2"/>
  <c r="D14745" i="2"/>
  <c r="C14745" i="2"/>
  <c r="D14744" i="2"/>
  <c r="C14744" i="2"/>
  <c r="D14743" i="2"/>
  <c r="C14743" i="2"/>
  <c r="D14742" i="2"/>
  <c r="C14742" i="2"/>
  <c r="D14741" i="2"/>
  <c r="C14741" i="2"/>
  <c r="D14740" i="2"/>
  <c r="C14740" i="2"/>
  <c r="D14739" i="2"/>
  <c r="C14739" i="2"/>
  <c r="D14738" i="2"/>
  <c r="C14738" i="2"/>
  <c r="D14737" i="2"/>
  <c r="C14737" i="2"/>
  <c r="D14736" i="2"/>
  <c r="C14736" i="2"/>
  <c r="D14735" i="2"/>
  <c r="C14735" i="2"/>
  <c r="D14734" i="2"/>
  <c r="C14734" i="2"/>
  <c r="D14733" i="2"/>
  <c r="C14733" i="2"/>
  <c r="D14732" i="2"/>
  <c r="C14732" i="2"/>
  <c r="D14731" i="2"/>
  <c r="C14731" i="2"/>
  <c r="D14730" i="2"/>
  <c r="C14730" i="2"/>
  <c r="D14729" i="2"/>
  <c r="C14729" i="2"/>
  <c r="D14728" i="2"/>
  <c r="C14728" i="2"/>
  <c r="D14727" i="2"/>
  <c r="C14727" i="2"/>
  <c r="D14726" i="2"/>
  <c r="C14726" i="2"/>
  <c r="D14725" i="2"/>
  <c r="C14725" i="2"/>
  <c r="D14724" i="2"/>
  <c r="C14724" i="2"/>
  <c r="D14723" i="2"/>
  <c r="C14723" i="2"/>
  <c r="D14722" i="2"/>
  <c r="C14722" i="2"/>
  <c r="D14721" i="2"/>
  <c r="C14721" i="2"/>
  <c r="D14720" i="2"/>
  <c r="C14720" i="2"/>
  <c r="D14719" i="2"/>
  <c r="C14719" i="2"/>
  <c r="D14718" i="2"/>
  <c r="C14718" i="2"/>
  <c r="D14717" i="2"/>
  <c r="C14717" i="2"/>
  <c r="D14716" i="2"/>
  <c r="C14716" i="2"/>
  <c r="D14715" i="2"/>
  <c r="C14715" i="2"/>
  <c r="D14714" i="2"/>
  <c r="C14714" i="2"/>
  <c r="D14713" i="2"/>
  <c r="C14713" i="2"/>
  <c r="D14712" i="2"/>
  <c r="C14712" i="2"/>
  <c r="D14711" i="2"/>
  <c r="C14711" i="2"/>
  <c r="D14710" i="2"/>
  <c r="C14710" i="2"/>
  <c r="D14709" i="2"/>
  <c r="C14709" i="2"/>
  <c r="D14708" i="2"/>
  <c r="C14708" i="2"/>
  <c r="D14707" i="2"/>
  <c r="C14707" i="2"/>
  <c r="D14706" i="2"/>
  <c r="C14706" i="2"/>
  <c r="D14705" i="2"/>
  <c r="C14705" i="2"/>
  <c r="D14704" i="2"/>
  <c r="C14704" i="2"/>
  <c r="D14703" i="2"/>
  <c r="C14703" i="2"/>
  <c r="D14702" i="2"/>
  <c r="C14702" i="2"/>
  <c r="D14701" i="2"/>
  <c r="C14701" i="2"/>
  <c r="D14700" i="2"/>
  <c r="C14700" i="2"/>
  <c r="D14699" i="2"/>
  <c r="C14699" i="2"/>
  <c r="D14698" i="2"/>
  <c r="C14698" i="2"/>
  <c r="D14697" i="2"/>
  <c r="C14697" i="2"/>
  <c r="D14696" i="2"/>
  <c r="C14696" i="2"/>
  <c r="D14695" i="2"/>
  <c r="C14695" i="2"/>
  <c r="D14694" i="2"/>
  <c r="C14694" i="2"/>
  <c r="D14693" i="2"/>
  <c r="C14693" i="2"/>
  <c r="D14692" i="2"/>
  <c r="C14692" i="2"/>
  <c r="D14691" i="2"/>
  <c r="C14691" i="2"/>
  <c r="D14690" i="2"/>
  <c r="C14690" i="2"/>
  <c r="D14689" i="2"/>
  <c r="C14689" i="2"/>
  <c r="D14688" i="2"/>
  <c r="C14688" i="2"/>
  <c r="D14687" i="2"/>
  <c r="C14687" i="2"/>
  <c r="D14686" i="2"/>
  <c r="C14686" i="2"/>
  <c r="D14685" i="2"/>
  <c r="C14685" i="2"/>
  <c r="D14684" i="2"/>
  <c r="C14684" i="2"/>
  <c r="D14683" i="2"/>
  <c r="C14683" i="2"/>
  <c r="D14682" i="2"/>
  <c r="C14682" i="2"/>
  <c r="D14681" i="2"/>
  <c r="C14681" i="2"/>
  <c r="D14680" i="2"/>
  <c r="C14680" i="2"/>
  <c r="D14679" i="2"/>
  <c r="C14679" i="2"/>
  <c r="D14678" i="2"/>
  <c r="C14678" i="2"/>
  <c r="D14677" i="2"/>
  <c r="C14677" i="2"/>
  <c r="D14676" i="2"/>
  <c r="C14676" i="2"/>
  <c r="D14675" i="2"/>
  <c r="C14675" i="2"/>
  <c r="D14674" i="2"/>
  <c r="C14674" i="2"/>
  <c r="D14673" i="2"/>
  <c r="C14673" i="2"/>
  <c r="D14672" i="2"/>
  <c r="C14672" i="2"/>
  <c r="D14671" i="2"/>
  <c r="C14671" i="2"/>
  <c r="D14670" i="2"/>
  <c r="C14670" i="2"/>
  <c r="D14669" i="2"/>
  <c r="C14669" i="2"/>
  <c r="D14668" i="2"/>
  <c r="C14668" i="2"/>
  <c r="D14667" i="2"/>
  <c r="C14667" i="2"/>
  <c r="D14666" i="2"/>
  <c r="C14666" i="2"/>
  <c r="D14665" i="2"/>
  <c r="C14665" i="2"/>
  <c r="D14664" i="2"/>
  <c r="C14664" i="2"/>
  <c r="D14663" i="2"/>
  <c r="C14663" i="2"/>
  <c r="D14662" i="2"/>
  <c r="C14662" i="2"/>
  <c r="D14661" i="2"/>
  <c r="C14661" i="2"/>
  <c r="D14660" i="2"/>
  <c r="C14660" i="2"/>
  <c r="D14659" i="2"/>
  <c r="C14659" i="2"/>
  <c r="D14658" i="2"/>
  <c r="C14658" i="2"/>
  <c r="D14657" i="2"/>
  <c r="C14657" i="2"/>
  <c r="D14656" i="2"/>
  <c r="C14656" i="2"/>
  <c r="D14655" i="2"/>
  <c r="C14655" i="2"/>
  <c r="D14654" i="2"/>
  <c r="C14654" i="2"/>
  <c r="D14653" i="2"/>
  <c r="C14653" i="2"/>
  <c r="D14652" i="2"/>
  <c r="C14652" i="2"/>
  <c r="D14651" i="2"/>
  <c r="C14651" i="2"/>
  <c r="D14650" i="2"/>
  <c r="C14650" i="2"/>
  <c r="D14649" i="2"/>
  <c r="C14649" i="2"/>
  <c r="D14648" i="2"/>
  <c r="C14648" i="2"/>
  <c r="D14647" i="2"/>
  <c r="C14647" i="2"/>
  <c r="D14646" i="2"/>
  <c r="C14646" i="2"/>
  <c r="D14645" i="2"/>
  <c r="C14645" i="2"/>
  <c r="D14644" i="2"/>
  <c r="C14644" i="2"/>
  <c r="D14643" i="2"/>
  <c r="C14643" i="2"/>
  <c r="D14642" i="2"/>
  <c r="C14642" i="2"/>
  <c r="D14641" i="2"/>
  <c r="C14641" i="2"/>
  <c r="D14640" i="2"/>
  <c r="C14640" i="2"/>
  <c r="D14639" i="2"/>
  <c r="C14639" i="2"/>
  <c r="D14638" i="2"/>
  <c r="C14638" i="2"/>
  <c r="D14637" i="2"/>
  <c r="C14637" i="2"/>
  <c r="D14636" i="2"/>
  <c r="C14636" i="2"/>
  <c r="D14635" i="2"/>
  <c r="C14635" i="2"/>
  <c r="D14634" i="2"/>
  <c r="C14634" i="2"/>
  <c r="D14633" i="2"/>
  <c r="C14633" i="2"/>
  <c r="D14632" i="2"/>
  <c r="C14632" i="2"/>
  <c r="D14631" i="2"/>
  <c r="C14631" i="2"/>
  <c r="D14630" i="2"/>
  <c r="C14630" i="2"/>
  <c r="D14629" i="2"/>
  <c r="C14629" i="2"/>
  <c r="D14628" i="2"/>
  <c r="C14628" i="2"/>
  <c r="D14627" i="2"/>
  <c r="C14627" i="2"/>
  <c r="D14626" i="2"/>
  <c r="C14626" i="2"/>
  <c r="D14625" i="2"/>
  <c r="C14625" i="2"/>
  <c r="D14624" i="2"/>
  <c r="C14624" i="2"/>
  <c r="D14623" i="2"/>
  <c r="C14623" i="2"/>
  <c r="D14622" i="2"/>
  <c r="C14622" i="2"/>
  <c r="D14621" i="2"/>
  <c r="C14621" i="2"/>
  <c r="D14620" i="2"/>
  <c r="C14620" i="2"/>
  <c r="D14619" i="2"/>
  <c r="C14619" i="2"/>
  <c r="D14618" i="2"/>
  <c r="C14618" i="2"/>
  <c r="D14617" i="2"/>
  <c r="C14617" i="2"/>
  <c r="D14616" i="2"/>
  <c r="C14616" i="2"/>
  <c r="D14615" i="2"/>
  <c r="C14615" i="2"/>
  <c r="D14614" i="2"/>
  <c r="C14614" i="2"/>
  <c r="D14613" i="2"/>
  <c r="C14613" i="2"/>
  <c r="D14612" i="2"/>
  <c r="C14612" i="2"/>
  <c r="D14611" i="2"/>
  <c r="C14611" i="2"/>
  <c r="D14610" i="2"/>
  <c r="C14610" i="2"/>
  <c r="D14609" i="2"/>
  <c r="C14609" i="2"/>
  <c r="D14608" i="2"/>
  <c r="C14608" i="2"/>
  <c r="D14607" i="2"/>
  <c r="C14607" i="2"/>
  <c r="D14606" i="2"/>
  <c r="C14606" i="2"/>
  <c r="D14605" i="2"/>
  <c r="C14605" i="2"/>
  <c r="D14604" i="2"/>
  <c r="C14604" i="2"/>
  <c r="D14603" i="2"/>
  <c r="C14603" i="2"/>
  <c r="D14602" i="2"/>
  <c r="C14602" i="2"/>
  <c r="D14601" i="2"/>
  <c r="C14601" i="2"/>
  <c r="D14600" i="2"/>
  <c r="C14600" i="2"/>
  <c r="D14599" i="2"/>
  <c r="C14599" i="2"/>
  <c r="D14598" i="2"/>
  <c r="C14598" i="2"/>
  <c r="D14597" i="2"/>
  <c r="C14597" i="2"/>
  <c r="D14596" i="2"/>
  <c r="C14596" i="2"/>
  <c r="D14595" i="2"/>
  <c r="C14595" i="2"/>
  <c r="D14594" i="2"/>
  <c r="C14594" i="2"/>
  <c r="D14593" i="2"/>
  <c r="C14593" i="2"/>
  <c r="D14592" i="2"/>
  <c r="C14592" i="2"/>
  <c r="D14591" i="2"/>
  <c r="C14591" i="2"/>
  <c r="D14590" i="2"/>
  <c r="C14590" i="2"/>
  <c r="D14589" i="2"/>
  <c r="C14589" i="2"/>
  <c r="D14588" i="2"/>
  <c r="C14588" i="2"/>
  <c r="D14587" i="2"/>
  <c r="C14587" i="2"/>
  <c r="D14586" i="2"/>
  <c r="C14586" i="2"/>
  <c r="D14585" i="2"/>
  <c r="C14585" i="2"/>
  <c r="D14584" i="2"/>
  <c r="C14584" i="2"/>
  <c r="D14583" i="2"/>
  <c r="C14583" i="2"/>
  <c r="D14582" i="2"/>
  <c r="C14582" i="2"/>
  <c r="D14581" i="2"/>
  <c r="C14581" i="2"/>
  <c r="D14580" i="2"/>
  <c r="C14580" i="2"/>
  <c r="D14579" i="2"/>
  <c r="C14579" i="2"/>
  <c r="D14578" i="2"/>
  <c r="C14578" i="2"/>
  <c r="D14577" i="2"/>
  <c r="C14577" i="2"/>
  <c r="D14576" i="2"/>
  <c r="C14576" i="2"/>
  <c r="D14575" i="2"/>
  <c r="C14575" i="2"/>
  <c r="D14574" i="2"/>
  <c r="C14574" i="2"/>
  <c r="D14573" i="2"/>
  <c r="C14573" i="2"/>
  <c r="D14572" i="2"/>
  <c r="C14572" i="2"/>
  <c r="D14571" i="2"/>
  <c r="C14571" i="2"/>
  <c r="D14570" i="2"/>
  <c r="C14570" i="2"/>
  <c r="D14569" i="2"/>
  <c r="C14569" i="2"/>
  <c r="D14568" i="2"/>
  <c r="C14568" i="2"/>
  <c r="D14567" i="2"/>
  <c r="C14567" i="2"/>
  <c r="D14566" i="2"/>
  <c r="C14566" i="2"/>
  <c r="D14565" i="2"/>
  <c r="C14565" i="2"/>
  <c r="D14564" i="2"/>
  <c r="C14564" i="2"/>
  <c r="D14563" i="2"/>
  <c r="C14563" i="2"/>
  <c r="D14562" i="2"/>
  <c r="C14562" i="2"/>
  <c r="D14561" i="2"/>
  <c r="C14561" i="2"/>
  <c r="D14560" i="2"/>
  <c r="C14560" i="2"/>
  <c r="D14559" i="2"/>
  <c r="C14559" i="2"/>
  <c r="D14558" i="2"/>
  <c r="C14558" i="2"/>
  <c r="D14557" i="2"/>
  <c r="C14557" i="2"/>
  <c r="D14556" i="2"/>
  <c r="C14556" i="2"/>
  <c r="D14555" i="2"/>
  <c r="C14555" i="2"/>
  <c r="D14554" i="2"/>
  <c r="C14554" i="2"/>
  <c r="D14553" i="2"/>
  <c r="C14553" i="2"/>
  <c r="D14552" i="2"/>
  <c r="C14552" i="2"/>
  <c r="D14551" i="2"/>
  <c r="C14551" i="2"/>
  <c r="D14550" i="2"/>
  <c r="C14550" i="2"/>
  <c r="D14549" i="2"/>
  <c r="C14549" i="2"/>
  <c r="D14548" i="2"/>
  <c r="C14548" i="2"/>
  <c r="D14547" i="2"/>
  <c r="C14547" i="2"/>
  <c r="D14546" i="2"/>
  <c r="C14546" i="2"/>
  <c r="D14545" i="2"/>
  <c r="C14545" i="2"/>
  <c r="D14544" i="2"/>
  <c r="C14544" i="2"/>
  <c r="D14543" i="2"/>
  <c r="C14543" i="2"/>
  <c r="D14542" i="2"/>
  <c r="C14542" i="2"/>
  <c r="D14541" i="2"/>
  <c r="C14541" i="2"/>
  <c r="D14540" i="2"/>
  <c r="C14540" i="2"/>
  <c r="D14539" i="2"/>
  <c r="C14539" i="2"/>
  <c r="D14538" i="2"/>
  <c r="C14538" i="2"/>
  <c r="D14537" i="2"/>
  <c r="C14537" i="2"/>
  <c r="D14536" i="2"/>
  <c r="C14536" i="2"/>
  <c r="D14535" i="2"/>
  <c r="C14535" i="2"/>
  <c r="D14534" i="2"/>
  <c r="C14534" i="2"/>
  <c r="D14533" i="2"/>
  <c r="C14533" i="2"/>
  <c r="D14532" i="2"/>
  <c r="C14532" i="2"/>
  <c r="D14531" i="2"/>
  <c r="C14531" i="2"/>
  <c r="D14530" i="2"/>
  <c r="C14530" i="2"/>
  <c r="D14529" i="2"/>
  <c r="C14529" i="2"/>
  <c r="D14528" i="2"/>
  <c r="C14528" i="2"/>
  <c r="D14527" i="2"/>
  <c r="C14527" i="2"/>
  <c r="D14526" i="2"/>
  <c r="C14526" i="2"/>
  <c r="D14525" i="2"/>
  <c r="C14525" i="2"/>
  <c r="D14524" i="2"/>
  <c r="C14524" i="2"/>
  <c r="D14523" i="2"/>
  <c r="C14523" i="2"/>
  <c r="D14522" i="2"/>
  <c r="C14522" i="2"/>
  <c r="D14521" i="2"/>
  <c r="C14521" i="2"/>
  <c r="D14520" i="2"/>
  <c r="C14520" i="2"/>
  <c r="D14519" i="2"/>
  <c r="C14519" i="2"/>
  <c r="D14509" i="2"/>
  <c r="C14509" i="2"/>
  <c r="D14499" i="2"/>
  <c r="C14499" i="2"/>
  <c r="D14489" i="2"/>
  <c r="C14489" i="2"/>
  <c r="D14479" i="2"/>
  <c r="C14479" i="2"/>
  <c r="D14469" i="2"/>
  <c r="C14469" i="2"/>
  <c r="D14459" i="2"/>
  <c r="C14459" i="2"/>
  <c r="D14458" i="2"/>
  <c r="C14458" i="2"/>
  <c r="D14457" i="2"/>
  <c r="C14457" i="2"/>
  <c r="D14456" i="2"/>
  <c r="C14456" i="2"/>
  <c r="D14455" i="2"/>
  <c r="C14455" i="2"/>
  <c r="D14454" i="2"/>
  <c r="C14454" i="2"/>
  <c r="D14453" i="2"/>
  <c r="C14453" i="2"/>
  <c r="D14452" i="2"/>
  <c r="C14452" i="2"/>
  <c r="D14451" i="2"/>
  <c r="C14451" i="2"/>
  <c r="D14450" i="2"/>
  <c r="C14450" i="2"/>
  <c r="D14449" i="2"/>
  <c r="C14449" i="2"/>
  <c r="D14448" i="2"/>
  <c r="C14448" i="2"/>
  <c r="D14447" i="2"/>
  <c r="C14447" i="2"/>
  <c r="D14446" i="2"/>
  <c r="C14446" i="2"/>
  <c r="D14445" i="2"/>
  <c r="C14445" i="2"/>
  <c r="D14444" i="2"/>
  <c r="C14444" i="2"/>
  <c r="D14443" i="2"/>
  <c r="C14443" i="2"/>
  <c r="D14442" i="2"/>
  <c r="C14442" i="2"/>
  <c r="D14441" i="2"/>
  <c r="C14441" i="2"/>
  <c r="D14440" i="2"/>
  <c r="C14440" i="2"/>
  <c r="D14439" i="2"/>
  <c r="C14439" i="2"/>
  <c r="D14438" i="2"/>
  <c r="C14438" i="2"/>
  <c r="D14437" i="2"/>
  <c r="C14437" i="2"/>
  <c r="D14436" i="2"/>
  <c r="C14436" i="2"/>
  <c r="D14435" i="2"/>
  <c r="C14435" i="2"/>
  <c r="D14434" i="2"/>
  <c r="C14434" i="2"/>
  <c r="D14433" i="2"/>
  <c r="C14433" i="2"/>
  <c r="D14432" i="2"/>
  <c r="C14432" i="2"/>
  <c r="D14431" i="2"/>
  <c r="C14431" i="2"/>
  <c r="D14430" i="2"/>
  <c r="C14430" i="2"/>
  <c r="D14429" i="2"/>
  <c r="C14429" i="2"/>
  <c r="D14428" i="2"/>
  <c r="C14428" i="2"/>
  <c r="D14427" i="2"/>
  <c r="C14427" i="2"/>
  <c r="D14426" i="2"/>
  <c r="C14426" i="2"/>
  <c r="D14425" i="2"/>
  <c r="C14425" i="2"/>
  <c r="D14424" i="2"/>
  <c r="C14424" i="2"/>
  <c r="D14423" i="2"/>
  <c r="C14423" i="2"/>
  <c r="D14422" i="2"/>
  <c r="C14422" i="2"/>
  <c r="D14421" i="2"/>
  <c r="C14421" i="2"/>
  <c r="D14420" i="2"/>
  <c r="C14420" i="2"/>
  <c r="D14419" i="2"/>
  <c r="C14419" i="2"/>
  <c r="D14418" i="2"/>
  <c r="C14418" i="2"/>
  <c r="D14417" i="2"/>
  <c r="C14417" i="2"/>
  <c r="D14416" i="2"/>
  <c r="C14416" i="2"/>
  <c r="D14415" i="2"/>
  <c r="C14415" i="2"/>
  <c r="D14414" i="2"/>
  <c r="C14414" i="2"/>
  <c r="D14413" i="2"/>
  <c r="C14413" i="2"/>
  <c r="D14412" i="2"/>
  <c r="C14412" i="2"/>
  <c r="D14411" i="2"/>
  <c r="C14411" i="2"/>
  <c r="D14410" i="2"/>
  <c r="C14410" i="2"/>
  <c r="D14409" i="2"/>
  <c r="C14409" i="2"/>
  <c r="D14408" i="2"/>
  <c r="C14408" i="2"/>
  <c r="D14407" i="2"/>
  <c r="C14407" i="2"/>
  <c r="D14406" i="2"/>
  <c r="C14406" i="2"/>
  <c r="D14405" i="2"/>
  <c r="C14405" i="2"/>
  <c r="D14404" i="2"/>
  <c r="C14404" i="2"/>
  <c r="D14403" i="2"/>
  <c r="C14403" i="2"/>
  <c r="D14402" i="2"/>
  <c r="C14402" i="2"/>
  <c r="D14401" i="2"/>
  <c r="C14401" i="2"/>
  <c r="D14400" i="2"/>
  <c r="C14400" i="2"/>
  <c r="D14399" i="2"/>
  <c r="C14399" i="2"/>
  <c r="D14398" i="2"/>
  <c r="C14398" i="2"/>
  <c r="D14397" i="2"/>
  <c r="C14397" i="2"/>
  <c r="D14396" i="2"/>
  <c r="C14396" i="2"/>
  <c r="D14395" i="2"/>
  <c r="C14395" i="2"/>
  <c r="D14394" i="2"/>
  <c r="C14394" i="2"/>
  <c r="D14393" i="2"/>
  <c r="C14393" i="2"/>
  <c r="D14392" i="2"/>
  <c r="C14392" i="2"/>
  <c r="D14391" i="2"/>
  <c r="C14391" i="2"/>
  <c r="D14390" i="2"/>
  <c r="C14390" i="2"/>
  <c r="D14389" i="2"/>
  <c r="C14389" i="2"/>
  <c r="D14388" i="2"/>
  <c r="C14388" i="2"/>
  <c r="D14387" i="2"/>
  <c r="C14387" i="2"/>
  <c r="D14386" i="2"/>
  <c r="C14386" i="2"/>
  <c r="D14385" i="2"/>
  <c r="C14385" i="2"/>
  <c r="D14384" i="2"/>
  <c r="C14384" i="2"/>
  <c r="D14383" i="2"/>
  <c r="C14383" i="2"/>
  <c r="D14382" i="2"/>
  <c r="C14382" i="2"/>
  <c r="D14381" i="2"/>
  <c r="C14381" i="2"/>
  <c r="D14380" i="2"/>
  <c r="C14380" i="2"/>
  <c r="D14379" i="2"/>
  <c r="C14379" i="2"/>
  <c r="D14378" i="2"/>
  <c r="C14378" i="2"/>
  <c r="D14377" i="2"/>
  <c r="C14377" i="2"/>
  <c r="D14376" i="2"/>
  <c r="C14376" i="2"/>
  <c r="D14375" i="2"/>
  <c r="C14375" i="2"/>
  <c r="D14374" i="2"/>
  <c r="C14374" i="2"/>
  <c r="D14373" i="2"/>
  <c r="C14373" i="2"/>
  <c r="D14372" i="2"/>
  <c r="C14372" i="2"/>
  <c r="D14371" i="2"/>
  <c r="C14371" i="2"/>
  <c r="D14370" i="2"/>
  <c r="C14370" i="2"/>
  <c r="D14369" i="2"/>
  <c r="C14369" i="2"/>
  <c r="D14368" i="2"/>
  <c r="C14368" i="2"/>
  <c r="D14367" i="2"/>
  <c r="C14367" i="2"/>
  <c r="D14366" i="2"/>
  <c r="C14366" i="2"/>
  <c r="D14365" i="2"/>
  <c r="C14365" i="2"/>
  <c r="D14364" i="2"/>
  <c r="C14364" i="2"/>
  <c r="D14363" i="2"/>
  <c r="C14363" i="2"/>
  <c r="D14362" i="2"/>
  <c r="C14362" i="2"/>
  <c r="D14361" i="2"/>
  <c r="C14361" i="2"/>
  <c r="D14360" i="2"/>
  <c r="C14360" i="2"/>
  <c r="D14359" i="2"/>
  <c r="C14359" i="2"/>
  <c r="D14358" i="2"/>
  <c r="C14358" i="2"/>
  <c r="D14357" i="2"/>
  <c r="C14357" i="2"/>
  <c r="D14356" i="2"/>
  <c r="C14356" i="2"/>
  <c r="D14355" i="2"/>
  <c r="C14355" i="2"/>
  <c r="D14354" i="2"/>
  <c r="C14354" i="2"/>
  <c r="D14353" i="2"/>
  <c r="C14353" i="2"/>
  <c r="D14352" i="2"/>
  <c r="C14352" i="2"/>
  <c r="D14351" i="2"/>
  <c r="C14351" i="2"/>
  <c r="D14350" i="2"/>
  <c r="C14350" i="2"/>
  <c r="D14349" i="2"/>
  <c r="C14349" i="2"/>
  <c r="D14348" i="2"/>
  <c r="C14348" i="2"/>
  <c r="D14347" i="2"/>
  <c r="C14347" i="2"/>
  <c r="D14346" i="2"/>
  <c r="C14346" i="2"/>
  <c r="D14345" i="2"/>
  <c r="C14345" i="2"/>
  <c r="D14344" i="2"/>
  <c r="C14344" i="2"/>
  <c r="D14343" i="2"/>
  <c r="C14343" i="2"/>
  <c r="D14342" i="2"/>
  <c r="C14342" i="2"/>
  <c r="D14341" i="2"/>
  <c r="C14341" i="2"/>
  <c r="D14340" i="2"/>
  <c r="C14340" i="2"/>
  <c r="D14339" i="2"/>
  <c r="C14339" i="2"/>
  <c r="D14338" i="2"/>
  <c r="C14338" i="2"/>
  <c r="D14337" i="2"/>
  <c r="C14337" i="2"/>
  <c r="D14336" i="2"/>
  <c r="C14336" i="2"/>
  <c r="D14335" i="2"/>
  <c r="C14335" i="2"/>
  <c r="D14334" i="2"/>
  <c r="C14334" i="2"/>
  <c r="D14333" i="2"/>
  <c r="C14333" i="2"/>
  <c r="D14332" i="2"/>
  <c r="C14332" i="2"/>
  <c r="D14331" i="2"/>
  <c r="C14331" i="2"/>
  <c r="D14330" i="2"/>
  <c r="C14330" i="2"/>
  <c r="D14329" i="2"/>
  <c r="C14329" i="2"/>
  <c r="D14328" i="2"/>
  <c r="C14328" i="2"/>
  <c r="D14327" i="2"/>
  <c r="C14327" i="2"/>
  <c r="D14326" i="2"/>
  <c r="C14326" i="2"/>
  <c r="D14325" i="2"/>
  <c r="C14325" i="2"/>
  <c r="D14324" i="2"/>
  <c r="C14324" i="2"/>
  <c r="D14323" i="2"/>
  <c r="C14323" i="2"/>
  <c r="D14322" i="2"/>
  <c r="C14322" i="2"/>
  <c r="D14321" i="2"/>
  <c r="C14321" i="2"/>
  <c r="D14320" i="2"/>
  <c r="C14320" i="2"/>
  <c r="D14319" i="2"/>
  <c r="C14319" i="2"/>
  <c r="D14318" i="2"/>
  <c r="C14318" i="2"/>
  <c r="D14317" i="2"/>
  <c r="C14317" i="2"/>
  <c r="D14316" i="2"/>
  <c r="C14316" i="2"/>
  <c r="D14315" i="2"/>
  <c r="C14315" i="2"/>
  <c r="D14314" i="2"/>
  <c r="C14314" i="2"/>
  <c r="D14313" i="2"/>
  <c r="C14313" i="2"/>
  <c r="D14312" i="2"/>
  <c r="C14312" i="2"/>
  <c r="D14311" i="2"/>
  <c r="C14311" i="2"/>
  <c r="D14310" i="2"/>
  <c r="C14310" i="2"/>
  <c r="D14309" i="2"/>
  <c r="C14309" i="2"/>
  <c r="D14308" i="2"/>
  <c r="C14308" i="2"/>
  <c r="D14307" i="2"/>
  <c r="C14307" i="2"/>
  <c r="D14306" i="2"/>
  <c r="C14306" i="2"/>
  <c r="D14305" i="2"/>
  <c r="C14305" i="2"/>
  <c r="D14304" i="2"/>
  <c r="C14304" i="2"/>
  <c r="D14303" i="2"/>
  <c r="C14303" i="2"/>
  <c r="D14302" i="2"/>
  <c r="C14302" i="2"/>
  <c r="D14301" i="2"/>
  <c r="C14301" i="2"/>
  <c r="D14300" i="2"/>
  <c r="C14300" i="2"/>
  <c r="D14299" i="2"/>
  <c r="C14299" i="2"/>
  <c r="D14298" i="2"/>
  <c r="C14298" i="2"/>
  <c r="D14297" i="2"/>
  <c r="C14297" i="2"/>
  <c r="D14296" i="2"/>
  <c r="C14296" i="2"/>
  <c r="D14295" i="2"/>
  <c r="C14295" i="2"/>
  <c r="D14294" i="2"/>
  <c r="C14294" i="2"/>
  <c r="D14293" i="2"/>
  <c r="C14293" i="2"/>
  <c r="D14292" i="2"/>
  <c r="C14292" i="2"/>
  <c r="D14291" i="2"/>
  <c r="C14291" i="2"/>
  <c r="D14290" i="2"/>
  <c r="C14290" i="2"/>
  <c r="D14289" i="2"/>
  <c r="C14289" i="2"/>
  <c r="D14288" i="2"/>
  <c r="C14288" i="2"/>
  <c r="D14287" i="2"/>
  <c r="C14287" i="2"/>
  <c r="D14286" i="2"/>
  <c r="C14286" i="2"/>
  <c r="D14285" i="2"/>
  <c r="C14285" i="2"/>
  <c r="D14284" i="2"/>
  <c r="C14284" i="2"/>
  <c r="D14283" i="2"/>
  <c r="C14283" i="2"/>
  <c r="D14282" i="2"/>
  <c r="C14282" i="2"/>
  <c r="D14281" i="2"/>
  <c r="C14281" i="2"/>
  <c r="D14280" i="2"/>
  <c r="C14280" i="2"/>
  <c r="D14279" i="2"/>
  <c r="C14279" i="2"/>
  <c r="D14278" i="2"/>
  <c r="C14278" i="2"/>
  <c r="D14277" i="2"/>
  <c r="C14277" i="2"/>
  <c r="D14276" i="2"/>
  <c r="C14276" i="2"/>
  <c r="D14275" i="2"/>
  <c r="C14275" i="2"/>
  <c r="D14274" i="2"/>
  <c r="C14274" i="2"/>
  <c r="D14273" i="2"/>
  <c r="C14273" i="2"/>
  <c r="D14272" i="2"/>
  <c r="C14272" i="2"/>
  <c r="D14271" i="2"/>
  <c r="C14271" i="2"/>
  <c r="D14270" i="2"/>
  <c r="C14270" i="2"/>
  <c r="D14269" i="2"/>
  <c r="C14269" i="2"/>
  <c r="D14268" i="2"/>
  <c r="C14268" i="2"/>
  <c r="D14267" i="2"/>
  <c r="C14267" i="2"/>
  <c r="D14266" i="2"/>
  <c r="C14266" i="2"/>
  <c r="D14265" i="2"/>
  <c r="C14265" i="2"/>
  <c r="D14264" i="2"/>
  <c r="C14264" i="2"/>
  <c r="D14263" i="2"/>
  <c r="C14263" i="2"/>
  <c r="D14262" i="2"/>
  <c r="C14262" i="2"/>
  <c r="D14261" i="2"/>
  <c r="C14261" i="2"/>
  <c r="D14260" i="2"/>
  <c r="C14260" i="2"/>
  <c r="D14259" i="2"/>
  <c r="C14259" i="2"/>
  <c r="D14258" i="2"/>
  <c r="C14258" i="2"/>
  <c r="D14257" i="2"/>
  <c r="C14257" i="2"/>
  <c r="D14256" i="2"/>
  <c r="C14256" i="2"/>
  <c r="D14255" i="2"/>
  <c r="C14255" i="2"/>
  <c r="D14254" i="2"/>
  <c r="C14254" i="2"/>
  <c r="D14253" i="2"/>
  <c r="C14253" i="2"/>
  <c r="D14252" i="2"/>
  <c r="C14252" i="2"/>
  <c r="D14251" i="2"/>
  <c r="C14251" i="2"/>
  <c r="D14250" i="2"/>
  <c r="C14250" i="2"/>
  <c r="D14249" i="2"/>
  <c r="C14249" i="2"/>
  <c r="D14248" i="2"/>
  <c r="C14248" i="2"/>
  <c r="D14247" i="2"/>
  <c r="C14247" i="2"/>
  <c r="D14246" i="2"/>
  <c r="C14246" i="2"/>
  <c r="D14245" i="2"/>
  <c r="C14245" i="2"/>
  <c r="D14244" i="2"/>
  <c r="C14244" i="2"/>
  <c r="D14243" i="2"/>
  <c r="C14243" i="2"/>
  <c r="D14242" i="2"/>
  <c r="C14242" i="2"/>
  <c r="D14241" i="2"/>
  <c r="C14241" i="2"/>
  <c r="D14240" i="2"/>
  <c r="C14240" i="2"/>
  <c r="D14239" i="2"/>
  <c r="C14239" i="2"/>
  <c r="D14238" i="2"/>
  <c r="C14238" i="2"/>
  <c r="D14237" i="2"/>
  <c r="C14237" i="2"/>
  <c r="D14236" i="2"/>
  <c r="C14236" i="2"/>
  <c r="D14235" i="2"/>
  <c r="C14235" i="2"/>
  <c r="D14234" i="2"/>
  <c r="C14234" i="2"/>
  <c r="D14233" i="2"/>
  <c r="C14233" i="2"/>
  <c r="D14232" i="2"/>
  <c r="C14232" i="2"/>
  <c r="D14231" i="2"/>
  <c r="C14231" i="2"/>
  <c r="D14230" i="2"/>
  <c r="C14230" i="2"/>
  <c r="D14229" i="2"/>
  <c r="C14229" i="2"/>
  <c r="D14228" i="2"/>
  <c r="C14228" i="2"/>
  <c r="D14227" i="2"/>
  <c r="C14227" i="2"/>
  <c r="D14226" i="2"/>
  <c r="C14226" i="2"/>
  <c r="D14225" i="2"/>
  <c r="C14225" i="2"/>
  <c r="D14224" i="2"/>
  <c r="C14224" i="2"/>
  <c r="D14223" i="2"/>
  <c r="C14223" i="2"/>
  <c r="D14222" i="2"/>
  <c r="C14222" i="2"/>
  <c r="D14221" i="2"/>
  <c r="C14221" i="2"/>
  <c r="D14220" i="2"/>
  <c r="C14220" i="2"/>
  <c r="D14219" i="2"/>
  <c r="C14219" i="2"/>
  <c r="D14218" i="2"/>
  <c r="C14218" i="2"/>
  <c r="D14217" i="2"/>
  <c r="C14217" i="2"/>
  <c r="D14216" i="2"/>
  <c r="C14216" i="2"/>
  <c r="D14215" i="2"/>
  <c r="C14215" i="2"/>
  <c r="D14214" i="2"/>
  <c r="C14214" i="2"/>
  <c r="D14213" i="2"/>
  <c r="C14213" i="2"/>
  <c r="D14212" i="2"/>
  <c r="C14212" i="2"/>
  <c r="D14211" i="2"/>
  <c r="C14211" i="2"/>
  <c r="D14210" i="2"/>
  <c r="C14210" i="2"/>
  <c r="D14209" i="2"/>
  <c r="C14209" i="2"/>
  <c r="D14208" i="2"/>
  <c r="C14208" i="2"/>
  <c r="D14207" i="2"/>
  <c r="C14207" i="2"/>
  <c r="D14206" i="2"/>
  <c r="C14206" i="2"/>
  <c r="D14205" i="2"/>
  <c r="C14205" i="2"/>
  <c r="D14204" i="2"/>
  <c r="C14204" i="2"/>
  <c r="D14203" i="2"/>
  <c r="C14203" i="2"/>
  <c r="D14202" i="2"/>
  <c r="C14202" i="2"/>
  <c r="D14201" i="2"/>
  <c r="C14201" i="2"/>
  <c r="D14200" i="2"/>
  <c r="C14200" i="2"/>
  <c r="D14199" i="2"/>
  <c r="C14199" i="2"/>
  <c r="D14198" i="2"/>
  <c r="C14198" i="2"/>
  <c r="D14197" i="2"/>
  <c r="C14197" i="2"/>
  <c r="D14196" i="2"/>
  <c r="C14196" i="2"/>
  <c r="D14195" i="2"/>
  <c r="C14195" i="2"/>
  <c r="D14194" i="2"/>
  <c r="C14194" i="2"/>
  <c r="D14193" i="2"/>
  <c r="C14193" i="2"/>
  <c r="D14192" i="2"/>
  <c r="C14192" i="2"/>
  <c r="D14191" i="2"/>
  <c r="C14191" i="2"/>
  <c r="D14190" i="2"/>
  <c r="C14190" i="2"/>
  <c r="D14189" i="2"/>
  <c r="C14189" i="2"/>
  <c r="D14188" i="2"/>
  <c r="C14188" i="2"/>
  <c r="D14187" i="2"/>
  <c r="C14187" i="2"/>
  <c r="D14186" i="2"/>
  <c r="C14186" i="2"/>
  <c r="D14185" i="2"/>
  <c r="C14185" i="2"/>
  <c r="D14184" i="2"/>
  <c r="C14184" i="2"/>
  <c r="D14183" i="2"/>
  <c r="C14183" i="2"/>
  <c r="D14182" i="2"/>
  <c r="C14182" i="2"/>
  <c r="D14181" i="2"/>
  <c r="C14181" i="2"/>
  <c r="D14180" i="2"/>
  <c r="C14180" i="2"/>
  <c r="D14179" i="2"/>
  <c r="C14179" i="2"/>
  <c r="D14178" i="2"/>
  <c r="C14178" i="2"/>
  <c r="D14177" i="2"/>
  <c r="C14177" i="2"/>
  <c r="D14176" i="2"/>
  <c r="C14176" i="2"/>
  <c r="D14175" i="2"/>
  <c r="C14175" i="2"/>
  <c r="D14174" i="2"/>
  <c r="C14174" i="2"/>
  <c r="D14173" i="2"/>
  <c r="C14173" i="2"/>
  <c r="D14172" i="2"/>
  <c r="C14172" i="2"/>
  <c r="D14171" i="2"/>
  <c r="C14171" i="2"/>
  <c r="D14170" i="2"/>
  <c r="C14170" i="2"/>
  <c r="D14169" i="2"/>
  <c r="C14169" i="2"/>
  <c r="D14168" i="2"/>
  <c r="C14168" i="2"/>
  <c r="D14167" i="2"/>
  <c r="C14167" i="2"/>
  <c r="D14166" i="2"/>
  <c r="C14166" i="2"/>
  <c r="D14165" i="2"/>
  <c r="C14165" i="2"/>
  <c r="D14164" i="2"/>
  <c r="C14164" i="2"/>
  <c r="D14163" i="2"/>
  <c r="C14163" i="2"/>
  <c r="D14162" i="2"/>
  <c r="C14162" i="2"/>
  <c r="D14161" i="2"/>
  <c r="C14161" i="2"/>
  <c r="D14160" i="2"/>
  <c r="C14160" i="2"/>
  <c r="D14159" i="2"/>
  <c r="C14159" i="2"/>
  <c r="D14158" i="2"/>
  <c r="C14158" i="2"/>
  <c r="D14157" i="2"/>
  <c r="C14157" i="2"/>
  <c r="D14156" i="2"/>
  <c r="C14156" i="2"/>
  <c r="D14155" i="2"/>
  <c r="C14155" i="2"/>
  <c r="D14154" i="2"/>
  <c r="C14154" i="2"/>
  <c r="D14153" i="2"/>
  <c r="C14153" i="2"/>
  <c r="D14152" i="2"/>
  <c r="C14152" i="2"/>
  <c r="D14151" i="2"/>
  <c r="C14151" i="2"/>
  <c r="D14150" i="2"/>
  <c r="C14150" i="2"/>
  <c r="D14149" i="2"/>
  <c r="C14149" i="2"/>
  <c r="D14148" i="2"/>
  <c r="C14148" i="2"/>
  <c r="D14147" i="2"/>
  <c r="C14147" i="2"/>
  <c r="D14146" i="2"/>
  <c r="C14146" i="2"/>
  <c r="D14145" i="2"/>
  <c r="C14145" i="2"/>
  <c r="D14144" i="2"/>
  <c r="C14144" i="2"/>
  <c r="D14143" i="2"/>
  <c r="C14143" i="2"/>
  <c r="D14142" i="2"/>
  <c r="C14142" i="2"/>
  <c r="D14141" i="2"/>
  <c r="C14141" i="2"/>
  <c r="D14140" i="2"/>
  <c r="C14140" i="2"/>
  <c r="D14139" i="2"/>
  <c r="C14139" i="2"/>
  <c r="D14138" i="2"/>
  <c r="C14138" i="2"/>
  <c r="D14137" i="2"/>
  <c r="C14137" i="2"/>
  <c r="D14136" i="2"/>
  <c r="C14136" i="2"/>
  <c r="D14135" i="2"/>
  <c r="C14135" i="2"/>
  <c r="D14134" i="2"/>
  <c r="C14134" i="2"/>
  <c r="D14133" i="2"/>
  <c r="C14133" i="2"/>
  <c r="D14132" i="2"/>
  <c r="C14132" i="2"/>
  <c r="D14131" i="2"/>
  <c r="C14131" i="2"/>
  <c r="D14130" i="2"/>
  <c r="C14130" i="2"/>
  <c r="D14129" i="2"/>
  <c r="C14129" i="2"/>
  <c r="D14128" i="2"/>
  <c r="C14128" i="2"/>
  <c r="D14127" i="2"/>
  <c r="C14127" i="2"/>
  <c r="D14126" i="2"/>
  <c r="C14126" i="2"/>
  <c r="D14125" i="2"/>
  <c r="C14125" i="2"/>
  <c r="D14124" i="2"/>
  <c r="C14124" i="2"/>
  <c r="D14123" i="2"/>
  <c r="C14123" i="2"/>
  <c r="D14122" i="2"/>
  <c r="C14122" i="2"/>
  <c r="D14121" i="2"/>
  <c r="C14121" i="2"/>
  <c r="D14120" i="2"/>
  <c r="C14120" i="2"/>
  <c r="D14119" i="2"/>
  <c r="C14119" i="2"/>
  <c r="D14118" i="2"/>
  <c r="C14118" i="2"/>
  <c r="D14117" i="2"/>
  <c r="C14117" i="2"/>
  <c r="D14116" i="2"/>
  <c r="C14116" i="2"/>
  <c r="D14115" i="2"/>
  <c r="C14115" i="2"/>
  <c r="D14114" i="2"/>
  <c r="C14114" i="2"/>
  <c r="D14113" i="2"/>
  <c r="C14113" i="2"/>
  <c r="D14112" i="2"/>
  <c r="C14112" i="2"/>
  <c r="D14111" i="2"/>
  <c r="C14111" i="2"/>
  <c r="D14110" i="2"/>
  <c r="C14110" i="2"/>
  <c r="D14109" i="2"/>
  <c r="C14109" i="2"/>
  <c r="D14108" i="2"/>
  <c r="C14108" i="2"/>
  <c r="D14107" i="2"/>
  <c r="C14107" i="2"/>
  <c r="D14106" i="2"/>
  <c r="C14106" i="2"/>
  <c r="D14105" i="2"/>
  <c r="C14105" i="2"/>
  <c r="D14104" i="2"/>
  <c r="C14104" i="2"/>
  <c r="D14103" i="2"/>
  <c r="C14103" i="2"/>
  <c r="D14102" i="2"/>
  <c r="C14102" i="2"/>
  <c r="D14101" i="2"/>
  <c r="C14101" i="2"/>
  <c r="D14100" i="2"/>
  <c r="C14100" i="2"/>
  <c r="D14099" i="2"/>
  <c r="C14099" i="2"/>
  <c r="D14098" i="2"/>
  <c r="C14098" i="2"/>
  <c r="D14097" i="2"/>
  <c r="C14097" i="2"/>
  <c r="D14096" i="2"/>
  <c r="C14096" i="2"/>
  <c r="D14095" i="2"/>
  <c r="C14095" i="2"/>
  <c r="D14094" i="2"/>
  <c r="C14094" i="2"/>
  <c r="D14093" i="2"/>
  <c r="C14093" i="2"/>
  <c r="D14092" i="2"/>
  <c r="C14092" i="2"/>
  <c r="D14091" i="2"/>
  <c r="C14091" i="2"/>
  <c r="D14090" i="2"/>
  <c r="C14090" i="2"/>
  <c r="D14089" i="2"/>
  <c r="C14089" i="2"/>
  <c r="D14088" i="2"/>
  <c r="C14088" i="2"/>
  <c r="D14087" i="2"/>
  <c r="C14087" i="2"/>
  <c r="D14086" i="2"/>
  <c r="C14086" i="2"/>
  <c r="D14085" i="2"/>
  <c r="C14085" i="2"/>
  <c r="D14084" i="2"/>
  <c r="C14084" i="2"/>
  <c r="D14083" i="2"/>
  <c r="C14083" i="2"/>
  <c r="D14082" i="2"/>
  <c r="C14082" i="2"/>
  <c r="D14081" i="2"/>
  <c r="C14081" i="2"/>
  <c r="D14080" i="2"/>
  <c r="C14080" i="2"/>
  <c r="D14079" i="2"/>
  <c r="C14079" i="2"/>
  <c r="D14078" i="2"/>
  <c r="C14078" i="2"/>
  <c r="D14077" i="2"/>
  <c r="C14077" i="2"/>
  <c r="D14076" i="2"/>
  <c r="C14076" i="2"/>
  <c r="D14075" i="2"/>
  <c r="C14075" i="2"/>
  <c r="D14074" i="2"/>
  <c r="C14074" i="2"/>
  <c r="D14073" i="2"/>
  <c r="C14073" i="2"/>
  <c r="D14072" i="2"/>
  <c r="C14072" i="2"/>
  <c r="D14071" i="2"/>
  <c r="C14071" i="2"/>
  <c r="D14070" i="2"/>
  <c r="C14070" i="2"/>
  <c r="D14069" i="2"/>
  <c r="C14069" i="2"/>
  <c r="D14068" i="2"/>
  <c r="C14068" i="2"/>
  <c r="D14067" i="2"/>
  <c r="C14067" i="2"/>
  <c r="D14066" i="2"/>
  <c r="C14066" i="2"/>
  <c r="D14065" i="2"/>
  <c r="C14065" i="2"/>
  <c r="D14064" i="2"/>
  <c r="C14064" i="2"/>
  <c r="D14063" i="2"/>
  <c r="C14063" i="2"/>
  <c r="D14062" i="2"/>
  <c r="C14062" i="2"/>
  <c r="D14061" i="2"/>
  <c r="C14061" i="2"/>
  <c r="D14060" i="2"/>
  <c r="C14060" i="2"/>
  <c r="D14059" i="2"/>
  <c r="C14059" i="2"/>
  <c r="D14058" i="2"/>
  <c r="C14058" i="2"/>
  <c r="D14057" i="2"/>
  <c r="C14057" i="2"/>
  <c r="D14056" i="2"/>
  <c r="C14056" i="2"/>
  <c r="D14055" i="2"/>
  <c r="C14055" i="2"/>
  <c r="D14054" i="2"/>
  <c r="C14054" i="2"/>
  <c r="D14053" i="2"/>
  <c r="C14053" i="2"/>
  <c r="D14052" i="2"/>
  <c r="C14052" i="2"/>
  <c r="D14051" i="2"/>
  <c r="C14051" i="2"/>
  <c r="D14050" i="2"/>
  <c r="C14050" i="2"/>
  <c r="D14049" i="2"/>
  <c r="C14049" i="2"/>
  <c r="D14048" i="2"/>
  <c r="C14048" i="2"/>
  <c r="D14047" i="2"/>
  <c r="C14047" i="2"/>
  <c r="D14046" i="2"/>
  <c r="C14046" i="2"/>
  <c r="D14045" i="2"/>
  <c r="C14045" i="2"/>
  <c r="D14044" i="2"/>
  <c r="C14044" i="2"/>
  <c r="D14043" i="2"/>
  <c r="C14043" i="2"/>
  <c r="D14042" i="2"/>
  <c r="C14042" i="2"/>
  <c r="D14041" i="2"/>
  <c r="C14041" i="2"/>
  <c r="D14040" i="2"/>
  <c r="C14040" i="2"/>
  <c r="D14039" i="2"/>
  <c r="C14039" i="2"/>
  <c r="D14038" i="2"/>
  <c r="C14038" i="2"/>
  <c r="D14037" i="2"/>
  <c r="C14037" i="2"/>
  <c r="D14036" i="2"/>
  <c r="C14036" i="2"/>
  <c r="D14035" i="2"/>
  <c r="C14035" i="2"/>
  <c r="D14034" i="2"/>
  <c r="C14034" i="2"/>
  <c r="D14033" i="2"/>
  <c r="C14033" i="2"/>
  <c r="D14032" i="2"/>
  <c r="C14032" i="2"/>
  <c r="D14031" i="2"/>
  <c r="C14031" i="2"/>
  <c r="D14030" i="2"/>
  <c r="C14030" i="2"/>
  <c r="D14029" i="2"/>
  <c r="C14029" i="2"/>
  <c r="D14028" i="2"/>
  <c r="C14028" i="2"/>
  <c r="D14027" i="2"/>
  <c r="C14027" i="2"/>
  <c r="D14026" i="2"/>
  <c r="C14026" i="2"/>
  <c r="D14025" i="2"/>
  <c r="C14025" i="2"/>
  <c r="D14024" i="2"/>
  <c r="C14024" i="2"/>
  <c r="D14023" i="2"/>
  <c r="C14023" i="2"/>
  <c r="D14022" i="2"/>
  <c r="C14022" i="2"/>
  <c r="D14021" i="2"/>
  <c r="C14021" i="2"/>
  <c r="D14020" i="2"/>
  <c r="C14020" i="2"/>
  <c r="D14019" i="2"/>
  <c r="C14019" i="2"/>
  <c r="D14018" i="2"/>
  <c r="C14018" i="2"/>
  <c r="D14017" i="2"/>
  <c r="C14017" i="2"/>
  <c r="D14016" i="2"/>
  <c r="C14016" i="2"/>
  <c r="D14015" i="2"/>
  <c r="C14015" i="2"/>
  <c r="D14014" i="2"/>
  <c r="C14014" i="2"/>
  <c r="D14013" i="2"/>
  <c r="C14013" i="2"/>
  <c r="D14012" i="2"/>
  <c r="C14012" i="2"/>
  <c r="D14011" i="2"/>
  <c r="C14011" i="2"/>
  <c r="D14010" i="2"/>
  <c r="C14010" i="2"/>
  <c r="D14009" i="2"/>
  <c r="C14009" i="2"/>
  <c r="D14008" i="2"/>
  <c r="C14008" i="2"/>
  <c r="D14007" i="2"/>
  <c r="C14007" i="2"/>
  <c r="D14006" i="2"/>
  <c r="C14006" i="2"/>
  <c r="D14005" i="2"/>
  <c r="C14005" i="2"/>
  <c r="D14004" i="2"/>
  <c r="C14004" i="2"/>
  <c r="D14003" i="2"/>
  <c r="C14003" i="2"/>
  <c r="D14002" i="2"/>
  <c r="C14002" i="2"/>
  <c r="D14001" i="2"/>
  <c r="C14001" i="2"/>
  <c r="D14000" i="2"/>
  <c r="C14000" i="2"/>
  <c r="D13999" i="2"/>
  <c r="C13999" i="2"/>
  <c r="D13998" i="2"/>
  <c r="C13998" i="2"/>
  <c r="D13997" i="2"/>
  <c r="C13997" i="2"/>
  <c r="D13996" i="2"/>
  <c r="C13996" i="2"/>
  <c r="D13995" i="2"/>
  <c r="C13995" i="2"/>
  <c r="D13994" i="2"/>
  <c r="C13994" i="2"/>
  <c r="D13993" i="2"/>
  <c r="C13993" i="2"/>
  <c r="D13992" i="2"/>
  <c r="C13992" i="2"/>
  <c r="D13991" i="2"/>
  <c r="C13991" i="2"/>
  <c r="D13990" i="2"/>
  <c r="C13990" i="2"/>
  <c r="D13989" i="2"/>
  <c r="C13989" i="2"/>
  <c r="D13988" i="2"/>
  <c r="C13988" i="2"/>
  <c r="D13987" i="2"/>
  <c r="C13987" i="2"/>
  <c r="D13986" i="2"/>
  <c r="C13986" i="2"/>
  <c r="D13985" i="2"/>
  <c r="C13985" i="2"/>
  <c r="D13984" i="2"/>
  <c r="C13984" i="2"/>
  <c r="D13983" i="2"/>
  <c r="C13983" i="2"/>
  <c r="D13982" i="2"/>
  <c r="C13982" i="2"/>
  <c r="D13981" i="2"/>
  <c r="C13981" i="2"/>
  <c r="D13980" i="2"/>
  <c r="C13980" i="2"/>
  <c r="D13979" i="2"/>
  <c r="C13979" i="2"/>
  <c r="D13978" i="2"/>
  <c r="C13978" i="2"/>
  <c r="D13977" i="2"/>
  <c r="C13977" i="2"/>
  <c r="D13976" i="2"/>
  <c r="C13976" i="2"/>
  <c r="D13975" i="2"/>
  <c r="C13975" i="2"/>
  <c r="D13974" i="2"/>
  <c r="C13974" i="2"/>
  <c r="D13973" i="2"/>
  <c r="C13973" i="2"/>
  <c r="D13972" i="2"/>
  <c r="C13972" i="2"/>
  <c r="D13971" i="2"/>
  <c r="C13971" i="2"/>
  <c r="D13970" i="2"/>
  <c r="C13970" i="2"/>
  <c r="D13969" i="2"/>
  <c r="C13969" i="2"/>
  <c r="D13968" i="2"/>
  <c r="C13968" i="2"/>
  <c r="D13967" i="2"/>
  <c r="C13967" i="2"/>
  <c r="D13966" i="2"/>
  <c r="C13966" i="2"/>
  <c r="D13965" i="2"/>
  <c r="C13965" i="2"/>
  <c r="D13964" i="2"/>
  <c r="C13964" i="2"/>
  <c r="D13963" i="2"/>
  <c r="C13963" i="2"/>
  <c r="D13962" i="2"/>
  <c r="C13962" i="2"/>
  <c r="D13961" i="2"/>
  <c r="C13961" i="2"/>
  <c r="D13960" i="2"/>
  <c r="C13960" i="2"/>
  <c r="D13959" i="2"/>
  <c r="C13959" i="2"/>
  <c r="D13958" i="2"/>
  <c r="C13958" i="2"/>
  <c r="D13957" i="2"/>
  <c r="C13957" i="2"/>
  <c r="D13956" i="2"/>
  <c r="C13956" i="2"/>
  <c r="D13955" i="2"/>
  <c r="C13955" i="2"/>
  <c r="D13954" i="2"/>
  <c r="C13954" i="2"/>
  <c r="D13953" i="2"/>
  <c r="C13953" i="2"/>
  <c r="D13952" i="2"/>
  <c r="C13952" i="2"/>
  <c r="D13951" i="2"/>
  <c r="C13951" i="2"/>
  <c r="D13950" i="2"/>
  <c r="C13950" i="2"/>
  <c r="D13949" i="2"/>
  <c r="C13949" i="2"/>
  <c r="D13948" i="2"/>
  <c r="C13948" i="2"/>
  <c r="D13947" i="2"/>
  <c r="C13947" i="2"/>
  <c r="D13946" i="2"/>
  <c r="C13946" i="2"/>
  <c r="D13945" i="2"/>
  <c r="C13945" i="2"/>
  <c r="D13944" i="2"/>
  <c r="C13944" i="2"/>
  <c r="D13943" i="2"/>
  <c r="C13943" i="2"/>
  <c r="D13942" i="2"/>
  <c r="C13942" i="2"/>
  <c r="D13941" i="2"/>
  <c r="C13941" i="2"/>
  <c r="D13940" i="2"/>
  <c r="C13940" i="2"/>
  <c r="D13939" i="2"/>
  <c r="C13939" i="2"/>
  <c r="D13938" i="2"/>
  <c r="C13938" i="2"/>
  <c r="D13937" i="2"/>
  <c r="C13937" i="2"/>
  <c r="D13936" i="2"/>
  <c r="C13936" i="2"/>
  <c r="D13935" i="2"/>
  <c r="C13935" i="2"/>
  <c r="D13934" i="2"/>
  <c r="C13934" i="2"/>
  <c r="D13933" i="2"/>
  <c r="C13933" i="2"/>
  <c r="D13932" i="2"/>
  <c r="C13932" i="2"/>
  <c r="D13931" i="2"/>
  <c r="C13931" i="2"/>
  <c r="D13930" i="2"/>
  <c r="C13930" i="2"/>
  <c r="D13929" i="2"/>
  <c r="C13929" i="2"/>
  <c r="D13928" i="2"/>
  <c r="C13928" i="2"/>
  <c r="D13927" i="2"/>
  <c r="C13927" i="2"/>
  <c r="D13926" i="2"/>
  <c r="C13926" i="2"/>
  <c r="D13925" i="2"/>
  <c r="C13925" i="2"/>
  <c r="D13924" i="2"/>
  <c r="C13924" i="2"/>
  <c r="D13923" i="2"/>
  <c r="C13923" i="2"/>
  <c r="D13922" i="2"/>
  <c r="C13922" i="2"/>
  <c r="D13921" i="2"/>
  <c r="C13921" i="2"/>
  <c r="D13920" i="2"/>
  <c r="C13920" i="2"/>
  <c r="D13919" i="2"/>
  <c r="C13919" i="2"/>
  <c r="D13918" i="2"/>
  <c r="C13918" i="2"/>
  <c r="D13917" i="2"/>
  <c r="C13917" i="2"/>
  <c r="D13916" i="2"/>
  <c r="C13916" i="2"/>
  <c r="D13915" i="2"/>
  <c r="C13915" i="2"/>
  <c r="D13914" i="2"/>
  <c r="C13914" i="2"/>
  <c r="D13913" i="2"/>
  <c r="C13913" i="2"/>
  <c r="D13912" i="2"/>
  <c r="C13912" i="2"/>
  <c r="D13911" i="2"/>
  <c r="C13911" i="2"/>
  <c r="D13910" i="2"/>
  <c r="C13910" i="2"/>
  <c r="D13909" i="2"/>
  <c r="C13909" i="2"/>
  <c r="D13908" i="2"/>
  <c r="C13908" i="2"/>
  <c r="D13907" i="2"/>
  <c r="C13907" i="2"/>
  <c r="D13906" i="2"/>
  <c r="C13906" i="2"/>
  <c r="D13905" i="2"/>
  <c r="C13905" i="2"/>
  <c r="D13904" i="2"/>
  <c r="C13904" i="2"/>
  <c r="D13903" i="2"/>
  <c r="C13903" i="2"/>
  <c r="D13902" i="2"/>
  <c r="C13902" i="2"/>
  <c r="D13901" i="2"/>
  <c r="C13901" i="2"/>
  <c r="D13900" i="2"/>
  <c r="C13900" i="2"/>
  <c r="D13899" i="2"/>
  <c r="C13899" i="2"/>
  <c r="D13898" i="2"/>
  <c r="C13898" i="2"/>
  <c r="D13897" i="2"/>
  <c r="C13897" i="2"/>
  <c r="D13896" i="2"/>
  <c r="C13896" i="2"/>
  <c r="D13895" i="2"/>
  <c r="C13895" i="2"/>
  <c r="D13894" i="2"/>
  <c r="C13894" i="2"/>
  <c r="D13893" i="2"/>
  <c r="C13893" i="2"/>
  <c r="D13892" i="2"/>
  <c r="C13892" i="2"/>
  <c r="D13891" i="2"/>
  <c r="C13891" i="2"/>
  <c r="D13890" i="2"/>
  <c r="C13890" i="2"/>
  <c r="D13889" i="2"/>
  <c r="C13889" i="2"/>
  <c r="D13888" i="2"/>
  <c r="C13888" i="2"/>
  <c r="D13887" i="2"/>
  <c r="C13887" i="2"/>
  <c r="D13886" i="2"/>
  <c r="C13886" i="2"/>
  <c r="D13885" i="2"/>
  <c r="C13885" i="2"/>
  <c r="D13884" i="2"/>
  <c r="C13884" i="2"/>
  <c r="D13883" i="2"/>
  <c r="C13883" i="2"/>
  <c r="D13882" i="2"/>
  <c r="C13882" i="2"/>
  <c r="D13881" i="2"/>
  <c r="C13881" i="2"/>
  <c r="D13880" i="2"/>
  <c r="C13880" i="2"/>
  <c r="D13879" i="2"/>
  <c r="C13879" i="2"/>
  <c r="D13878" i="2"/>
  <c r="C13878" i="2"/>
  <c r="D13877" i="2"/>
  <c r="C13877" i="2"/>
  <c r="D13876" i="2"/>
  <c r="C13876" i="2"/>
  <c r="D13875" i="2"/>
  <c r="C13875" i="2"/>
  <c r="D13874" i="2"/>
  <c r="C13874" i="2"/>
  <c r="D13873" i="2"/>
  <c r="C13873" i="2"/>
  <c r="D13872" i="2"/>
  <c r="C13872" i="2"/>
  <c r="D13871" i="2"/>
  <c r="C13871" i="2"/>
  <c r="D13870" i="2"/>
  <c r="C13870" i="2"/>
  <c r="D13869" i="2"/>
  <c r="C13869" i="2"/>
  <c r="D13868" i="2"/>
  <c r="C13868" i="2"/>
  <c r="D13867" i="2"/>
  <c r="C13867" i="2"/>
  <c r="D13866" i="2"/>
  <c r="C13866" i="2"/>
  <c r="D13865" i="2"/>
  <c r="C13865" i="2"/>
  <c r="D13864" i="2"/>
  <c r="C13864" i="2"/>
  <c r="D13863" i="2"/>
  <c r="C13863" i="2"/>
  <c r="D13862" i="2"/>
  <c r="C13862" i="2"/>
  <c r="D13861" i="2"/>
  <c r="C13861" i="2"/>
  <c r="D13860" i="2"/>
  <c r="C13860" i="2"/>
  <c r="D13859" i="2"/>
  <c r="C13859" i="2"/>
  <c r="D13858" i="2"/>
  <c r="C13858" i="2"/>
  <c r="D13857" i="2"/>
  <c r="C13857" i="2"/>
  <c r="D13856" i="2"/>
  <c r="C13856" i="2"/>
  <c r="D13855" i="2"/>
  <c r="C13855" i="2"/>
  <c r="D13854" i="2"/>
  <c r="C13854" i="2"/>
  <c r="D13853" i="2"/>
  <c r="C13853" i="2"/>
  <c r="D13852" i="2"/>
  <c r="C13852" i="2"/>
  <c r="D13851" i="2"/>
  <c r="C13851" i="2"/>
  <c r="D13850" i="2"/>
  <c r="C13850" i="2"/>
  <c r="D13849" i="2"/>
  <c r="C13849" i="2"/>
  <c r="D13848" i="2"/>
  <c r="C13848" i="2"/>
  <c r="D13847" i="2"/>
  <c r="C13847" i="2"/>
  <c r="D13846" i="2"/>
  <c r="C13846" i="2"/>
  <c r="D13845" i="2"/>
  <c r="C13845" i="2"/>
  <c r="D13844" i="2"/>
  <c r="C13844" i="2"/>
  <c r="D13843" i="2"/>
  <c r="C13843" i="2"/>
  <c r="D13842" i="2"/>
  <c r="C13842" i="2"/>
  <c r="D13841" i="2"/>
  <c r="C13841" i="2"/>
  <c r="D13840" i="2"/>
  <c r="C13840" i="2"/>
  <c r="D13839" i="2"/>
  <c r="C13839" i="2"/>
  <c r="D13838" i="2"/>
  <c r="C13838" i="2"/>
  <c r="D13837" i="2"/>
  <c r="C13837" i="2"/>
  <c r="D13836" i="2"/>
  <c r="C13836" i="2"/>
  <c r="D13835" i="2"/>
  <c r="C13835" i="2"/>
  <c r="D13834" i="2"/>
  <c r="C13834" i="2"/>
  <c r="D13833" i="2"/>
  <c r="C13833" i="2"/>
  <c r="D13832" i="2"/>
  <c r="C13832" i="2"/>
  <c r="D13831" i="2"/>
  <c r="C13831" i="2"/>
  <c r="D13830" i="2"/>
  <c r="C13830" i="2"/>
  <c r="D13829" i="2"/>
  <c r="C13829" i="2"/>
  <c r="D13828" i="2"/>
  <c r="C13828" i="2"/>
  <c r="D13827" i="2"/>
  <c r="C13827" i="2"/>
  <c r="D13826" i="2"/>
  <c r="C13826" i="2"/>
  <c r="D13825" i="2"/>
  <c r="C13825" i="2"/>
  <c r="D13824" i="2"/>
  <c r="C13824" i="2"/>
  <c r="D13823" i="2"/>
  <c r="C13823" i="2"/>
  <c r="D13822" i="2"/>
  <c r="C13822" i="2"/>
  <c r="D13821" i="2"/>
  <c r="C13821" i="2"/>
  <c r="D13820" i="2"/>
  <c r="C13820" i="2"/>
  <c r="D13819" i="2"/>
  <c r="C13819" i="2"/>
  <c r="D13818" i="2"/>
  <c r="C13818" i="2"/>
  <c r="D13817" i="2"/>
  <c r="C13817" i="2"/>
  <c r="D13816" i="2"/>
  <c r="C13816" i="2"/>
  <c r="D13815" i="2"/>
  <c r="C13815" i="2"/>
  <c r="D13814" i="2"/>
  <c r="C13814" i="2"/>
  <c r="D13813" i="2"/>
  <c r="C13813" i="2"/>
  <c r="D13812" i="2"/>
  <c r="C13812" i="2"/>
  <c r="D13811" i="2"/>
  <c r="C13811" i="2"/>
  <c r="D13810" i="2"/>
  <c r="C13810" i="2"/>
  <c r="D13809" i="2"/>
  <c r="C13809" i="2"/>
  <c r="D13808" i="2"/>
  <c r="C13808" i="2"/>
  <c r="D13807" i="2"/>
  <c r="C13807" i="2"/>
  <c r="D13806" i="2"/>
  <c r="C13806" i="2"/>
  <c r="D13805" i="2"/>
  <c r="C13805" i="2"/>
  <c r="D13804" i="2"/>
  <c r="C13804" i="2"/>
  <c r="D13803" i="2"/>
  <c r="C13803" i="2"/>
  <c r="D13802" i="2"/>
  <c r="C13802" i="2"/>
  <c r="D13801" i="2"/>
  <c r="C13801" i="2"/>
  <c r="D13800" i="2"/>
  <c r="C13800" i="2"/>
  <c r="D13799" i="2"/>
  <c r="C13799" i="2"/>
  <c r="D13798" i="2"/>
  <c r="C13798" i="2"/>
  <c r="D13797" i="2"/>
  <c r="C13797" i="2"/>
  <c r="D13796" i="2"/>
  <c r="C13796" i="2"/>
  <c r="D13795" i="2"/>
  <c r="C13795" i="2"/>
  <c r="D13794" i="2"/>
  <c r="C13794" i="2"/>
  <c r="D13793" i="2"/>
  <c r="C13793" i="2"/>
  <c r="D13792" i="2"/>
  <c r="C13792" i="2"/>
  <c r="D13791" i="2"/>
  <c r="C13791" i="2"/>
  <c r="D13790" i="2"/>
  <c r="C13790" i="2"/>
  <c r="D13789" i="2"/>
  <c r="C13789" i="2"/>
  <c r="D13788" i="2"/>
  <c r="C13788" i="2"/>
  <c r="D13787" i="2"/>
  <c r="C13787" i="2"/>
  <c r="D13786" i="2"/>
  <c r="C13786" i="2"/>
  <c r="D13785" i="2"/>
  <c r="C13785" i="2"/>
  <c r="D13784" i="2"/>
  <c r="C13784" i="2"/>
  <c r="D13783" i="2"/>
  <c r="C13783" i="2"/>
  <c r="D13782" i="2"/>
  <c r="C13782" i="2"/>
  <c r="D13781" i="2"/>
  <c r="C13781" i="2"/>
  <c r="D13780" i="2"/>
  <c r="C13780" i="2"/>
  <c r="D13779" i="2"/>
  <c r="C13779" i="2"/>
  <c r="D13778" i="2"/>
  <c r="C13778" i="2"/>
  <c r="D13777" i="2"/>
  <c r="C13777" i="2"/>
  <c r="D13776" i="2"/>
  <c r="C13776" i="2"/>
  <c r="D13775" i="2"/>
  <c r="C13775" i="2"/>
  <c r="D13774" i="2"/>
  <c r="C13774" i="2"/>
  <c r="D13773" i="2"/>
  <c r="C13773" i="2"/>
  <c r="D13772" i="2"/>
  <c r="C13772" i="2"/>
  <c r="D13771" i="2"/>
  <c r="C13771" i="2"/>
  <c r="D13770" i="2"/>
  <c r="C13770" i="2"/>
  <c r="D13769" i="2"/>
  <c r="C13769" i="2"/>
  <c r="D13768" i="2"/>
  <c r="C13768" i="2"/>
  <c r="D13767" i="2"/>
  <c r="C13767" i="2"/>
  <c r="D13766" i="2"/>
  <c r="C13766" i="2"/>
  <c r="D13765" i="2"/>
  <c r="C13765" i="2"/>
  <c r="D13764" i="2"/>
  <c r="C13764" i="2"/>
  <c r="D13763" i="2"/>
  <c r="C13763" i="2"/>
  <c r="D13762" i="2"/>
  <c r="C13762" i="2"/>
  <c r="D13761" i="2"/>
  <c r="C13761" i="2"/>
  <c r="D13760" i="2"/>
  <c r="C13760" i="2"/>
  <c r="D13759" i="2"/>
  <c r="C13759" i="2"/>
  <c r="D13758" i="2"/>
  <c r="C13758" i="2"/>
  <c r="D13757" i="2"/>
  <c r="C13757" i="2"/>
  <c r="D13756" i="2"/>
  <c r="C13756" i="2"/>
  <c r="D13755" i="2"/>
  <c r="C13755" i="2"/>
  <c r="D13754" i="2"/>
  <c r="C13754" i="2"/>
  <c r="D13753" i="2"/>
  <c r="C13753" i="2"/>
  <c r="D13752" i="2"/>
  <c r="C13752" i="2"/>
  <c r="D13751" i="2"/>
  <c r="C13751" i="2"/>
  <c r="D13750" i="2"/>
  <c r="C13750" i="2"/>
  <c r="D13749" i="2"/>
  <c r="C13749" i="2"/>
  <c r="D13748" i="2"/>
  <c r="C13748" i="2"/>
  <c r="D13747" i="2"/>
  <c r="C13747" i="2"/>
  <c r="D13746" i="2"/>
  <c r="C13746" i="2"/>
  <c r="D13745" i="2"/>
  <c r="C13745" i="2"/>
  <c r="D13744" i="2"/>
  <c r="C13744" i="2"/>
  <c r="D13743" i="2"/>
  <c r="C13743" i="2"/>
  <c r="D13742" i="2"/>
  <c r="C13742" i="2"/>
  <c r="D13741" i="2"/>
  <c r="C13741" i="2"/>
  <c r="D13740" i="2"/>
  <c r="C13740" i="2"/>
  <c r="D13739" i="2"/>
  <c r="C13739" i="2"/>
  <c r="D13738" i="2"/>
  <c r="C13738" i="2"/>
  <c r="D13737" i="2"/>
  <c r="C13737" i="2"/>
  <c r="D13736" i="2"/>
  <c r="C13736" i="2"/>
  <c r="D13735" i="2"/>
  <c r="C13735" i="2"/>
  <c r="D13734" i="2"/>
  <c r="C13734" i="2"/>
  <c r="D13733" i="2"/>
  <c r="C13733" i="2"/>
  <c r="D13732" i="2"/>
  <c r="C13732" i="2"/>
  <c r="D13731" i="2"/>
  <c r="C13731" i="2"/>
  <c r="D13730" i="2"/>
  <c r="C13730" i="2"/>
  <c r="D13729" i="2"/>
  <c r="C13729" i="2"/>
  <c r="D13728" i="2"/>
  <c r="C13728" i="2"/>
  <c r="D13727" i="2"/>
  <c r="C13727" i="2"/>
  <c r="D13726" i="2"/>
  <c r="C13726" i="2"/>
  <c r="D13725" i="2"/>
  <c r="C13725" i="2"/>
  <c r="D13724" i="2"/>
  <c r="C13724" i="2"/>
  <c r="D13723" i="2"/>
  <c r="C13723" i="2"/>
  <c r="D13722" i="2"/>
  <c r="C13722" i="2"/>
  <c r="D13721" i="2"/>
  <c r="C13721" i="2"/>
  <c r="D13720" i="2"/>
  <c r="C13720" i="2"/>
  <c r="D13719" i="2"/>
  <c r="C13719" i="2"/>
  <c r="D13718" i="2"/>
  <c r="C13718" i="2"/>
  <c r="D13717" i="2"/>
  <c r="C13717" i="2"/>
  <c r="D13716" i="2"/>
  <c r="C13716" i="2"/>
  <c r="D13715" i="2"/>
  <c r="C13715" i="2"/>
  <c r="D13714" i="2"/>
  <c r="C13714" i="2"/>
  <c r="D13713" i="2"/>
  <c r="C13713" i="2"/>
  <c r="D13712" i="2"/>
  <c r="C13712" i="2"/>
  <c r="D13711" i="2"/>
  <c r="C13711" i="2"/>
  <c r="D13710" i="2"/>
  <c r="C13710" i="2"/>
  <c r="D13709" i="2"/>
  <c r="C13709" i="2"/>
  <c r="D13708" i="2"/>
  <c r="C13708" i="2"/>
  <c r="D13707" i="2"/>
  <c r="C13707" i="2"/>
  <c r="D13706" i="2"/>
  <c r="C13706" i="2"/>
  <c r="D13705" i="2"/>
  <c r="C13705" i="2"/>
  <c r="D13704" i="2"/>
  <c r="C13704" i="2"/>
  <c r="D13703" i="2"/>
  <c r="C13703" i="2"/>
  <c r="D13702" i="2"/>
  <c r="C13702" i="2"/>
  <c r="D13701" i="2"/>
  <c r="C13701" i="2"/>
  <c r="D13700" i="2"/>
  <c r="C13700" i="2"/>
  <c r="D13699" i="2"/>
  <c r="C13699" i="2"/>
  <c r="D13698" i="2"/>
  <c r="C13698" i="2"/>
  <c r="D13697" i="2"/>
  <c r="C13697" i="2"/>
  <c r="D13696" i="2"/>
  <c r="C13696" i="2"/>
  <c r="D13695" i="2"/>
  <c r="C13695" i="2"/>
  <c r="D13694" i="2"/>
  <c r="C13694" i="2"/>
  <c r="D13693" i="2"/>
  <c r="C13693" i="2"/>
  <c r="D13692" i="2"/>
  <c r="C13692" i="2"/>
  <c r="D13691" i="2"/>
  <c r="C13691" i="2"/>
  <c r="D13690" i="2"/>
  <c r="C13690" i="2"/>
  <c r="D13689" i="2"/>
  <c r="C13689" i="2"/>
  <c r="D13688" i="2"/>
  <c r="C13688" i="2"/>
  <c r="D13687" i="2"/>
  <c r="C13687" i="2"/>
  <c r="D13686" i="2"/>
  <c r="C13686" i="2"/>
  <c r="D13685" i="2"/>
  <c r="C13685" i="2"/>
  <c r="D13684" i="2"/>
  <c r="C13684" i="2"/>
  <c r="D13683" i="2"/>
  <c r="C13683" i="2"/>
  <c r="D13682" i="2"/>
  <c r="C13682" i="2"/>
  <c r="D13681" i="2"/>
  <c r="C13681" i="2"/>
  <c r="D13680" i="2"/>
  <c r="C13680" i="2"/>
  <c r="D13679" i="2"/>
  <c r="C13679" i="2"/>
  <c r="D13678" i="2"/>
  <c r="C13678" i="2"/>
  <c r="D13677" i="2"/>
  <c r="C13677" i="2"/>
  <c r="D13676" i="2"/>
  <c r="C13676" i="2"/>
  <c r="D13675" i="2"/>
  <c r="C13675" i="2"/>
  <c r="D13674" i="2"/>
  <c r="C13674" i="2"/>
  <c r="D13673" i="2"/>
  <c r="C13673" i="2"/>
  <c r="D13672" i="2"/>
  <c r="C13672" i="2"/>
  <c r="D13671" i="2"/>
  <c r="C13671" i="2"/>
  <c r="D13670" i="2"/>
  <c r="C13670" i="2"/>
  <c r="D13669" i="2"/>
  <c r="C13669" i="2"/>
  <c r="D13668" i="2"/>
  <c r="C13668" i="2"/>
  <c r="D13667" i="2"/>
  <c r="C13667" i="2"/>
  <c r="D13666" i="2"/>
  <c r="C13666" i="2"/>
  <c r="D13665" i="2"/>
  <c r="C13665" i="2"/>
  <c r="D13664" i="2"/>
  <c r="C13664" i="2"/>
  <c r="D13663" i="2"/>
  <c r="C13663" i="2"/>
  <c r="D13662" i="2"/>
  <c r="C13662" i="2"/>
  <c r="D13661" i="2"/>
  <c r="C13661" i="2"/>
  <c r="D13660" i="2"/>
  <c r="C13660" i="2"/>
  <c r="D13659" i="2"/>
  <c r="C13659" i="2"/>
  <c r="D13658" i="2"/>
  <c r="C13658" i="2"/>
  <c r="D13657" i="2"/>
  <c r="C13657" i="2"/>
  <c r="D13656" i="2"/>
  <c r="C13656" i="2"/>
  <c r="D13655" i="2"/>
  <c r="C13655" i="2"/>
  <c r="D13654" i="2"/>
  <c r="C13654" i="2"/>
  <c r="D13653" i="2"/>
  <c r="C13653" i="2"/>
  <c r="D13652" i="2"/>
  <c r="C13652" i="2"/>
  <c r="D13651" i="2"/>
  <c r="C13651" i="2"/>
  <c r="D13650" i="2"/>
  <c r="C13650" i="2"/>
  <c r="D13649" i="2"/>
  <c r="C13649" i="2"/>
  <c r="D13648" i="2"/>
  <c r="C13648" i="2"/>
  <c r="D13647" i="2"/>
  <c r="C13647" i="2"/>
  <c r="D13646" i="2"/>
  <c r="C13646" i="2"/>
  <c r="D13645" i="2"/>
  <c r="C13645" i="2"/>
  <c r="D13644" i="2"/>
  <c r="C13644" i="2"/>
  <c r="D13643" i="2"/>
  <c r="C13643" i="2"/>
  <c r="D13642" i="2"/>
  <c r="C13642" i="2"/>
  <c r="D13641" i="2"/>
  <c r="C13641" i="2"/>
  <c r="D13640" i="2"/>
  <c r="C13640" i="2"/>
  <c r="D13639" i="2"/>
  <c r="C13639" i="2"/>
  <c r="D13638" i="2"/>
  <c r="C13638" i="2"/>
  <c r="D13637" i="2"/>
  <c r="C13637" i="2"/>
  <c r="D13636" i="2"/>
  <c r="C13636" i="2"/>
  <c r="D13635" i="2"/>
  <c r="C13635" i="2"/>
  <c r="D13634" i="2"/>
  <c r="C13634" i="2"/>
  <c r="D13633" i="2"/>
  <c r="C13633" i="2"/>
  <c r="D13632" i="2"/>
  <c r="C13632" i="2"/>
  <c r="D13631" i="2"/>
  <c r="C13631" i="2"/>
  <c r="D13630" i="2"/>
  <c r="C13630" i="2"/>
  <c r="D13629" i="2"/>
  <c r="C13629" i="2"/>
  <c r="D13628" i="2"/>
  <c r="C13628" i="2"/>
  <c r="D13627" i="2"/>
  <c r="C13627" i="2"/>
  <c r="D13626" i="2"/>
  <c r="C13626" i="2"/>
  <c r="D13625" i="2"/>
  <c r="C13625" i="2"/>
  <c r="D13624" i="2"/>
  <c r="C13624" i="2"/>
  <c r="D13623" i="2"/>
  <c r="C13623" i="2"/>
  <c r="D13622" i="2"/>
  <c r="C13622" i="2"/>
  <c r="D13621" i="2"/>
  <c r="C13621" i="2"/>
  <c r="D13620" i="2"/>
  <c r="C13620" i="2"/>
  <c r="D13619" i="2"/>
  <c r="C13619" i="2"/>
  <c r="D13618" i="2"/>
  <c r="C13618" i="2"/>
  <c r="D13617" i="2"/>
  <c r="C13617" i="2"/>
  <c r="D13616" i="2"/>
  <c r="C13616" i="2"/>
  <c r="D13615" i="2"/>
  <c r="C13615" i="2"/>
  <c r="D13614" i="2"/>
  <c r="C13614" i="2"/>
  <c r="D13613" i="2"/>
  <c r="C13613" i="2"/>
  <c r="D13612" i="2"/>
  <c r="C13612" i="2"/>
  <c r="D13611" i="2"/>
  <c r="C13611" i="2"/>
  <c r="D13610" i="2"/>
  <c r="C13610" i="2"/>
  <c r="D13609" i="2"/>
  <c r="C13609" i="2"/>
  <c r="D13608" i="2"/>
  <c r="C13608" i="2"/>
  <c r="D13607" i="2"/>
  <c r="C13607" i="2"/>
  <c r="D13606" i="2"/>
  <c r="C13606" i="2"/>
  <c r="D13605" i="2"/>
  <c r="C13605" i="2"/>
  <c r="D13604" i="2"/>
  <c r="C13604" i="2"/>
  <c r="D13603" i="2"/>
  <c r="C13603" i="2"/>
  <c r="D13602" i="2"/>
  <c r="C13602" i="2"/>
  <c r="D13601" i="2"/>
  <c r="C13601" i="2"/>
  <c r="D13600" i="2"/>
  <c r="C13600" i="2"/>
  <c r="D13599" i="2"/>
  <c r="C13599" i="2"/>
  <c r="D13598" i="2"/>
  <c r="C13598" i="2"/>
  <c r="D13597" i="2"/>
  <c r="C13597" i="2"/>
  <c r="D13596" i="2"/>
  <c r="C13596" i="2"/>
  <c r="D13595" i="2"/>
  <c r="C13595" i="2"/>
  <c r="D13594" i="2"/>
  <c r="C13594" i="2"/>
  <c r="D13593" i="2"/>
  <c r="C13593" i="2"/>
  <c r="D13592" i="2"/>
  <c r="C13592" i="2"/>
  <c r="D13591" i="2"/>
  <c r="C13591" i="2"/>
  <c r="D13590" i="2"/>
  <c r="C13590" i="2"/>
  <c r="D13589" i="2"/>
  <c r="C13589" i="2"/>
  <c r="D13588" i="2"/>
  <c r="C13588" i="2"/>
  <c r="D13587" i="2"/>
  <c r="C13587" i="2"/>
  <c r="D13586" i="2"/>
  <c r="C13586" i="2"/>
  <c r="D13585" i="2"/>
  <c r="C13585" i="2"/>
  <c r="D13584" i="2"/>
  <c r="C13584" i="2"/>
  <c r="D13574" i="2"/>
  <c r="C13574" i="2"/>
  <c r="D13564" i="2"/>
  <c r="C13564" i="2"/>
  <c r="D13554" i="2"/>
  <c r="C13554" i="2"/>
  <c r="D13553" i="2"/>
  <c r="C13553" i="2"/>
  <c r="D13552" i="2"/>
  <c r="C13552" i="2"/>
  <c r="D13551" i="2"/>
  <c r="C13551" i="2"/>
  <c r="D13550" i="2"/>
  <c r="C13550" i="2"/>
  <c r="D13549" i="2"/>
  <c r="C13549" i="2"/>
  <c r="D13548" i="2"/>
  <c r="C13548" i="2"/>
  <c r="D13547" i="2"/>
  <c r="C13547" i="2"/>
  <c r="D13546" i="2"/>
  <c r="C13546" i="2"/>
  <c r="D13545" i="2"/>
  <c r="C13545" i="2"/>
  <c r="D13544" i="2"/>
  <c r="C13544" i="2"/>
  <c r="D13543" i="2"/>
  <c r="C13543" i="2"/>
  <c r="D13542" i="2"/>
  <c r="C13542" i="2"/>
  <c r="D13541" i="2"/>
  <c r="C13541" i="2"/>
  <c r="D13540" i="2"/>
  <c r="C13540" i="2"/>
  <c r="D13539" i="2"/>
  <c r="C13539" i="2"/>
  <c r="D13538" i="2"/>
  <c r="C13538" i="2"/>
  <c r="D13537" i="2"/>
  <c r="C13537" i="2"/>
  <c r="D13536" i="2"/>
  <c r="C13536" i="2"/>
  <c r="D13535" i="2"/>
  <c r="C13535" i="2"/>
  <c r="D13534" i="2"/>
  <c r="C13534" i="2"/>
  <c r="D13533" i="2"/>
  <c r="C13533" i="2"/>
  <c r="D13532" i="2"/>
  <c r="C13532" i="2"/>
  <c r="D13531" i="2"/>
  <c r="C13531" i="2"/>
  <c r="D13530" i="2"/>
  <c r="C13530" i="2"/>
  <c r="D13529" i="2"/>
  <c r="C13529" i="2"/>
  <c r="D13528" i="2"/>
  <c r="C13528" i="2"/>
  <c r="D13527" i="2"/>
  <c r="C13527" i="2"/>
  <c r="D13526" i="2"/>
  <c r="C13526" i="2"/>
  <c r="D13525" i="2"/>
  <c r="C13525" i="2"/>
  <c r="D13524" i="2"/>
  <c r="C13524" i="2"/>
  <c r="D13523" i="2"/>
  <c r="C13523" i="2"/>
  <c r="D13522" i="2"/>
  <c r="C13522" i="2"/>
  <c r="D13521" i="2"/>
  <c r="C13521" i="2"/>
  <c r="D13520" i="2"/>
  <c r="C13520" i="2"/>
  <c r="D13519" i="2"/>
  <c r="C13519" i="2"/>
  <c r="D13518" i="2"/>
  <c r="C13518" i="2"/>
  <c r="D13517" i="2"/>
  <c r="C13517" i="2"/>
  <c r="D13516" i="2"/>
  <c r="C13516" i="2"/>
  <c r="D13515" i="2"/>
  <c r="C13515" i="2"/>
  <c r="D13514" i="2"/>
  <c r="C13514" i="2"/>
  <c r="D13513" i="2"/>
  <c r="C13513" i="2"/>
  <c r="D13512" i="2"/>
  <c r="C13512" i="2"/>
  <c r="D13511" i="2"/>
  <c r="C13511" i="2"/>
  <c r="D13510" i="2"/>
  <c r="C13510" i="2"/>
  <c r="D13509" i="2"/>
  <c r="C13509" i="2"/>
  <c r="D13508" i="2"/>
  <c r="C13508" i="2"/>
  <c r="D13507" i="2"/>
  <c r="C13507" i="2"/>
  <c r="D13506" i="2"/>
  <c r="C13506" i="2"/>
  <c r="D13505" i="2"/>
  <c r="C13505" i="2"/>
  <c r="D13504" i="2"/>
  <c r="C13504" i="2"/>
  <c r="D13503" i="2"/>
  <c r="C13503" i="2"/>
  <c r="D13502" i="2"/>
  <c r="C13502" i="2"/>
  <c r="D13501" i="2"/>
  <c r="C13501" i="2"/>
  <c r="D13500" i="2"/>
  <c r="C13500" i="2"/>
  <c r="D13499" i="2"/>
  <c r="C13499" i="2"/>
  <c r="D13498" i="2"/>
  <c r="C13498" i="2"/>
  <c r="D13497" i="2"/>
  <c r="C13497" i="2"/>
  <c r="D13496" i="2"/>
  <c r="C13496" i="2"/>
  <c r="D13495" i="2"/>
  <c r="C13495" i="2"/>
  <c r="D13494" i="2"/>
  <c r="C13494" i="2"/>
  <c r="D13493" i="2"/>
  <c r="C13493" i="2"/>
  <c r="D13492" i="2"/>
  <c r="C13492" i="2"/>
  <c r="D13491" i="2"/>
  <c r="C13491" i="2"/>
  <c r="D13490" i="2"/>
  <c r="C13490" i="2"/>
  <c r="D13489" i="2"/>
  <c r="C13489" i="2"/>
  <c r="D13488" i="2"/>
  <c r="C13488" i="2"/>
  <c r="D13487" i="2"/>
  <c r="C13487" i="2"/>
  <c r="D13486" i="2"/>
  <c r="C13486" i="2"/>
  <c r="D13485" i="2"/>
  <c r="C13485" i="2"/>
  <c r="D13484" i="2"/>
  <c r="C13484" i="2"/>
  <c r="D13483" i="2"/>
  <c r="C13483" i="2"/>
  <c r="D13482" i="2"/>
  <c r="C13482" i="2"/>
  <c r="D13481" i="2"/>
  <c r="C13481" i="2"/>
  <c r="D13480" i="2"/>
  <c r="C13480" i="2"/>
  <c r="D13479" i="2"/>
  <c r="C13479" i="2"/>
  <c r="D13478" i="2"/>
  <c r="C13478" i="2"/>
  <c r="D13477" i="2"/>
  <c r="C13477" i="2"/>
  <c r="D13476" i="2"/>
  <c r="C13476" i="2"/>
  <c r="D13475" i="2"/>
  <c r="C13475" i="2"/>
  <c r="D13474" i="2"/>
  <c r="C13474" i="2"/>
  <c r="D13473" i="2"/>
  <c r="C13473" i="2"/>
  <c r="D13472" i="2"/>
  <c r="C13472" i="2"/>
  <c r="D13471" i="2"/>
  <c r="C13471" i="2"/>
  <c r="D13470" i="2"/>
  <c r="C13470" i="2"/>
  <c r="D13469" i="2"/>
  <c r="C13469" i="2"/>
  <c r="D13468" i="2"/>
  <c r="C13468" i="2"/>
  <c r="D13467" i="2"/>
  <c r="C13467" i="2"/>
  <c r="D13466" i="2"/>
  <c r="C13466" i="2"/>
  <c r="D13465" i="2"/>
  <c r="C13465" i="2"/>
  <c r="D13464" i="2"/>
  <c r="C13464" i="2"/>
  <c r="D13463" i="2"/>
  <c r="C13463" i="2"/>
  <c r="D13462" i="2"/>
  <c r="C13462" i="2"/>
  <c r="D13461" i="2"/>
  <c r="C13461" i="2"/>
  <c r="D13460" i="2"/>
  <c r="C13460" i="2"/>
  <c r="D13459" i="2"/>
  <c r="C13459" i="2"/>
  <c r="D13458" i="2"/>
  <c r="C13458" i="2"/>
  <c r="D13457" i="2"/>
  <c r="C13457" i="2"/>
  <c r="D13456" i="2"/>
  <c r="C13456" i="2"/>
  <c r="D13455" i="2"/>
  <c r="C13455" i="2"/>
  <c r="D13454" i="2"/>
  <c r="C13454" i="2"/>
  <c r="D13453" i="2"/>
  <c r="C13453" i="2"/>
  <c r="D13452" i="2"/>
  <c r="C13452" i="2"/>
  <c r="D13451" i="2"/>
  <c r="C13451" i="2"/>
  <c r="D13450" i="2"/>
  <c r="C13450" i="2"/>
  <c r="D13449" i="2"/>
  <c r="C13449" i="2"/>
  <c r="D13448" i="2"/>
  <c r="C13448" i="2"/>
  <c r="D13447" i="2"/>
  <c r="C13447" i="2"/>
  <c r="D13446" i="2"/>
  <c r="C13446" i="2"/>
  <c r="D13445" i="2"/>
  <c r="C13445" i="2"/>
  <c r="D13444" i="2"/>
  <c r="C13444" i="2"/>
  <c r="D13443" i="2"/>
  <c r="C13443" i="2"/>
  <c r="D13442" i="2"/>
  <c r="C13442" i="2"/>
  <c r="D13441" i="2"/>
  <c r="C13441" i="2"/>
  <c r="D13440" i="2"/>
  <c r="C13440" i="2"/>
  <c r="D13439" i="2"/>
  <c r="C13439" i="2"/>
  <c r="D13438" i="2"/>
  <c r="C13438" i="2"/>
  <c r="D13437" i="2"/>
  <c r="C13437" i="2"/>
  <c r="D13436" i="2"/>
  <c r="C13436" i="2"/>
  <c r="D13435" i="2"/>
  <c r="C13435" i="2"/>
  <c r="D13434" i="2"/>
  <c r="C13434" i="2"/>
  <c r="D13433" i="2"/>
  <c r="C13433" i="2"/>
  <c r="D13432" i="2"/>
  <c r="C13432" i="2"/>
  <c r="D13431" i="2"/>
  <c r="C13431" i="2"/>
  <c r="D13430" i="2"/>
  <c r="C13430" i="2"/>
  <c r="D13429" i="2"/>
  <c r="C13429" i="2"/>
  <c r="D13428" i="2"/>
  <c r="C13428" i="2"/>
  <c r="D13427" i="2"/>
  <c r="C13427" i="2"/>
  <c r="D13426" i="2"/>
  <c r="C13426" i="2"/>
  <c r="D13425" i="2"/>
  <c r="C13425" i="2"/>
  <c r="D13424" i="2"/>
  <c r="C13424" i="2"/>
  <c r="D13423" i="2"/>
  <c r="C13423" i="2"/>
  <c r="D13422" i="2"/>
  <c r="C13422" i="2"/>
  <c r="D13421" i="2"/>
  <c r="C13421" i="2"/>
  <c r="D13420" i="2"/>
  <c r="C13420" i="2"/>
  <c r="D13419" i="2"/>
  <c r="C13419" i="2"/>
  <c r="D13418" i="2"/>
  <c r="C13418" i="2"/>
  <c r="D13417" i="2"/>
  <c r="C13417" i="2"/>
  <c r="D13416" i="2"/>
  <c r="C13416" i="2"/>
  <c r="D13415" i="2"/>
  <c r="C13415" i="2"/>
  <c r="D13414" i="2"/>
  <c r="C13414" i="2"/>
  <c r="D13413" i="2"/>
  <c r="C13413" i="2"/>
  <c r="D13412" i="2"/>
  <c r="C13412" i="2"/>
  <c r="D13411" i="2"/>
  <c r="C13411" i="2"/>
  <c r="D13410" i="2"/>
  <c r="C13410" i="2"/>
  <c r="D13409" i="2"/>
  <c r="C13409" i="2"/>
  <c r="D13408" i="2"/>
  <c r="C13408" i="2"/>
  <c r="D13407" i="2"/>
  <c r="C13407" i="2"/>
  <c r="D13406" i="2"/>
  <c r="C13406" i="2"/>
  <c r="D13405" i="2"/>
  <c r="C13405" i="2"/>
  <c r="D13404" i="2"/>
  <c r="C13404" i="2"/>
  <c r="D13403" i="2"/>
  <c r="C13403" i="2"/>
  <c r="D13402" i="2"/>
  <c r="C13402" i="2"/>
  <c r="D13401" i="2"/>
  <c r="C13401" i="2"/>
  <c r="D13400" i="2"/>
  <c r="C13400" i="2"/>
  <c r="D13399" i="2"/>
  <c r="C13399" i="2"/>
  <c r="D13398" i="2"/>
  <c r="C13398" i="2"/>
  <c r="D13397" i="2"/>
  <c r="C13397" i="2"/>
  <c r="D13396" i="2"/>
  <c r="C13396" i="2"/>
  <c r="D13395" i="2"/>
  <c r="C13395" i="2"/>
  <c r="D13394" i="2"/>
  <c r="C13394" i="2"/>
  <c r="D13393" i="2"/>
  <c r="C13393" i="2"/>
  <c r="D13392" i="2"/>
  <c r="C13392" i="2"/>
  <c r="D13391" i="2"/>
  <c r="C13391" i="2"/>
  <c r="D13390" i="2"/>
  <c r="C13390" i="2"/>
  <c r="D13389" i="2"/>
  <c r="C13389" i="2"/>
  <c r="D13388" i="2"/>
  <c r="C13388" i="2"/>
  <c r="D13387" i="2"/>
  <c r="C13387" i="2"/>
  <c r="D13386" i="2"/>
  <c r="C13386" i="2"/>
  <c r="D13385" i="2"/>
  <c r="C13385" i="2"/>
  <c r="D13384" i="2"/>
  <c r="C13384" i="2"/>
  <c r="D13383" i="2"/>
  <c r="C13383" i="2"/>
  <c r="D13382" i="2"/>
  <c r="C13382" i="2"/>
  <c r="D13381" i="2"/>
  <c r="C13381" i="2"/>
  <c r="D13380" i="2"/>
  <c r="C13380" i="2"/>
  <c r="D13379" i="2"/>
  <c r="C13379" i="2"/>
  <c r="D13378" i="2"/>
  <c r="C13378" i="2"/>
  <c r="D13377" i="2"/>
  <c r="C13377" i="2"/>
  <c r="D13376" i="2"/>
  <c r="C13376" i="2"/>
  <c r="D13375" i="2"/>
  <c r="C13375" i="2"/>
  <c r="D13374" i="2"/>
  <c r="C13374" i="2"/>
  <c r="D13373" i="2"/>
  <c r="C13373" i="2"/>
  <c r="D13372" i="2"/>
  <c r="C13372" i="2"/>
  <c r="D13371" i="2"/>
  <c r="C13371" i="2"/>
  <c r="D13370" i="2"/>
  <c r="C13370" i="2"/>
  <c r="D13369" i="2"/>
  <c r="C13369" i="2"/>
  <c r="D13368" i="2"/>
  <c r="C13368" i="2"/>
  <c r="D13367" i="2"/>
  <c r="C13367" i="2"/>
  <c r="D13366" i="2"/>
  <c r="C13366" i="2"/>
  <c r="D13365" i="2"/>
  <c r="C13365" i="2"/>
  <c r="D13364" i="2"/>
  <c r="C13364" i="2"/>
  <c r="D13363" i="2"/>
  <c r="C13363" i="2"/>
  <c r="D13362" i="2"/>
  <c r="C13362" i="2"/>
  <c r="D13361" i="2"/>
  <c r="C13361" i="2"/>
  <c r="D13360" i="2"/>
  <c r="C13360" i="2"/>
  <c r="D13359" i="2"/>
  <c r="C13359" i="2"/>
  <c r="D13358" i="2"/>
  <c r="C13358" i="2"/>
  <c r="D13357" i="2"/>
  <c r="C13357" i="2"/>
  <c r="D13356" i="2"/>
  <c r="C13356" i="2"/>
  <c r="D13355" i="2"/>
  <c r="C13355" i="2"/>
  <c r="D13354" i="2"/>
  <c r="C13354" i="2"/>
  <c r="D13353" i="2"/>
  <c r="C13353" i="2"/>
  <c r="D13352" i="2"/>
  <c r="C13352" i="2"/>
  <c r="D13351" i="2"/>
  <c r="C13351" i="2"/>
  <c r="D13350" i="2"/>
  <c r="C13350" i="2"/>
  <c r="D13349" i="2"/>
  <c r="C13349" i="2"/>
  <c r="D13348" i="2"/>
  <c r="C13348" i="2"/>
  <c r="D13347" i="2"/>
  <c r="C13347" i="2"/>
  <c r="D13346" i="2"/>
  <c r="C13346" i="2"/>
  <c r="D13345" i="2"/>
  <c r="C13345" i="2"/>
  <c r="D13344" i="2"/>
  <c r="C13344" i="2"/>
  <c r="D13343" i="2"/>
  <c r="C13343" i="2"/>
  <c r="D13342" i="2"/>
  <c r="C13342" i="2"/>
  <c r="D13341" i="2"/>
  <c r="C13341" i="2"/>
  <c r="D13340" i="2"/>
  <c r="C13340" i="2"/>
  <c r="D13339" i="2"/>
  <c r="C13339" i="2"/>
  <c r="D13338" i="2"/>
  <c r="C13338" i="2"/>
  <c r="D13337" i="2"/>
  <c r="C13337" i="2"/>
  <c r="D13336" i="2"/>
  <c r="C13336" i="2"/>
  <c r="D13335" i="2"/>
  <c r="C13335" i="2"/>
  <c r="D13334" i="2"/>
  <c r="C13334" i="2"/>
  <c r="D13333" i="2"/>
  <c r="C13333" i="2"/>
  <c r="D13332" i="2"/>
  <c r="C13332" i="2"/>
  <c r="D13331" i="2"/>
  <c r="C13331" i="2"/>
  <c r="D13330" i="2"/>
  <c r="C13330" i="2"/>
  <c r="D13329" i="2"/>
  <c r="C13329" i="2"/>
  <c r="D13328" i="2"/>
  <c r="C13328" i="2"/>
  <c r="D13327" i="2"/>
  <c r="C13327" i="2"/>
  <c r="D13326" i="2"/>
  <c r="C13326" i="2"/>
  <c r="D13325" i="2"/>
  <c r="C13325" i="2"/>
  <c r="D13324" i="2"/>
  <c r="C13324" i="2"/>
  <c r="D13323" i="2"/>
  <c r="C13323" i="2"/>
  <c r="D13322" i="2"/>
  <c r="C13322" i="2"/>
  <c r="D13321" i="2"/>
  <c r="C13321" i="2"/>
  <c r="D13320" i="2"/>
  <c r="C13320" i="2"/>
  <c r="D13319" i="2"/>
  <c r="C13319" i="2"/>
  <c r="D13318" i="2"/>
  <c r="C13318" i="2"/>
  <c r="D13317" i="2"/>
  <c r="C13317" i="2"/>
  <c r="D13316" i="2"/>
  <c r="C13316" i="2"/>
  <c r="D13315" i="2"/>
  <c r="C13315" i="2"/>
  <c r="D13314" i="2"/>
  <c r="C13314" i="2"/>
  <c r="D13313" i="2"/>
  <c r="C13313" i="2"/>
  <c r="D13312" i="2"/>
  <c r="C13312" i="2"/>
  <c r="D13311" i="2"/>
  <c r="C13311" i="2"/>
  <c r="D13310" i="2"/>
  <c r="C13310" i="2"/>
  <c r="D13309" i="2"/>
  <c r="C13309" i="2"/>
  <c r="D13308" i="2"/>
  <c r="C13308" i="2"/>
  <c r="D13307" i="2"/>
  <c r="C13307" i="2"/>
  <c r="D13306" i="2"/>
  <c r="C13306" i="2"/>
  <c r="D13305" i="2"/>
  <c r="C13305" i="2"/>
  <c r="D13304" i="2"/>
  <c r="C13304" i="2"/>
  <c r="D13303" i="2"/>
  <c r="C13303" i="2"/>
  <c r="D13302" i="2"/>
  <c r="C13302" i="2"/>
  <c r="D13301" i="2"/>
  <c r="C13301" i="2"/>
  <c r="D13300" i="2"/>
  <c r="C13300" i="2"/>
  <c r="D13299" i="2"/>
  <c r="C13299" i="2"/>
  <c r="D13298" i="2"/>
  <c r="C13298" i="2"/>
  <c r="D13297" i="2"/>
  <c r="C13297" i="2"/>
  <c r="D13296" i="2"/>
  <c r="C13296" i="2"/>
  <c r="D13295" i="2"/>
  <c r="C13295" i="2"/>
  <c r="D13294" i="2"/>
  <c r="C13294" i="2"/>
  <c r="D13293" i="2"/>
  <c r="C13293" i="2"/>
  <c r="D13292" i="2"/>
  <c r="C13292" i="2"/>
  <c r="D13291" i="2"/>
  <c r="C13291" i="2"/>
  <c r="D13290" i="2"/>
  <c r="C13290" i="2"/>
  <c r="D13289" i="2"/>
  <c r="C13289" i="2"/>
  <c r="D13288" i="2"/>
  <c r="C13288" i="2"/>
  <c r="D13287" i="2"/>
  <c r="C13287" i="2"/>
  <c r="D13286" i="2"/>
  <c r="C13286" i="2"/>
  <c r="D13285" i="2"/>
  <c r="C13285" i="2"/>
  <c r="D13284" i="2"/>
  <c r="C13284" i="2"/>
  <c r="D13283" i="2"/>
  <c r="C13283" i="2"/>
  <c r="D13282" i="2"/>
  <c r="C13282" i="2"/>
  <c r="D13281" i="2"/>
  <c r="C13281" i="2"/>
  <c r="D13280" i="2"/>
  <c r="C13280" i="2"/>
  <c r="D13279" i="2"/>
  <c r="C13279" i="2"/>
  <c r="D13278" i="2"/>
  <c r="C13278" i="2"/>
  <c r="D13277" i="2"/>
  <c r="C13277" i="2"/>
  <c r="D13276" i="2"/>
  <c r="C13276" i="2"/>
  <c r="D13275" i="2"/>
  <c r="C13275" i="2"/>
  <c r="D13274" i="2"/>
  <c r="C13274" i="2"/>
  <c r="D13273" i="2"/>
  <c r="C13273" i="2"/>
  <c r="D13272" i="2"/>
  <c r="C13272" i="2"/>
  <c r="D13271" i="2"/>
  <c r="C13271" i="2"/>
  <c r="D13270" i="2"/>
  <c r="C13270" i="2"/>
  <c r="D13269" i="2"/>
  <c r="C13269" i="2"/>
  <c r="D13268" i="2"/>
  <c r="C13268" i="2"/>
  <c r="D13267" i="2"/>
  <c r="C13267" i="2"/>
  <c r="D13266" i="2"/>
  <c r="C13266" i="2"/>
  <c r="D13265" i="2"/>
  <c r="C13265" i="2"/>
  <c r="D13264" i="2"/>
  <c r="C13264" i="2"/>
  <c r="D13263" i="2"/>
  <c r="C13263" i="2"/>
  <c r="D13262" i="2"/>
  <c r="C13262" i="2"/>
  <c r="D13261" i="2"/>
  <c r="C13261" i="2"/>
  <c r="D13260" i="2"/>
  <c r="C13260" i="2"/>
  <c r="D13259" i="2"/>
  <c r="C13259" i="2"/>
  <c r="D13258" i="2"/>
  <c r="C13258" i="2"/>
  <c r="D13257" i="2"/>
  <c r="C13257" i="2"/>
  <c r="D13256" i="2"/>
  <c r="C13256" i="2"/>
  <c r="D13255" i="2"/>
  <c r="C13255" i="2"/>
  <c r="D13254" i="2"/>
  <c r="C13254" i="2"/>
  <c r="D13253" i="2"/>
  <c r="C13253" i="2"/>
  <c r="D13252" i="2"/>
  <c r="C13252" i="2"/>
  <c r="D13251" i="2"/>
  <c r="C13251" i="2"/>
  <c r="D13250" i="2"/>
  <c r="C13250" i="2"/>
  <c r="D13249" i="2"/>
  <c r="C13249" i="2"/>
  <c r="D13248" i="2"/>
  <c r="C13248" i="2"/>
  <c r="D13247" i="2"/>
  <c r="C13247" i="2"/>
  <c r="D13246" i="2"/>
  <c r="C13246" i="2"/>
  <c r="D13245" i="2"/>
  <c r="C13245" i="2"/>
  <c r="D13244" i="2"/>
  <c r="C13244" i="2"/>
  <c r="D13243" i="2"/>
  <c r="C13243" i="2"/>
  <c r="D13242" i="2"/>
  <c r="C13242" i="2"/>
  <c r="D13241" i="2"/>
  <c r="C13241" i="2"/>
  <c r="D13240" i="2"/>
  <c r="C13240" i="2"/>
  <c r="D13239" i="2"/>
  <c r="C13239" i="2"/>
  <c r="D13238" i="2"/>
  <c r="C13238" i="2"/>
  <c r="D13237" i="2"/>
  <c r="C13237" i="2"/>
  <c r="D13236" i="2"/>
  <c r="C13236" i="2"/>
  <c r="D13235" i="2"/>
  <c r="C13235" i="2"/>
  <c r="D13234" i="2"/>
  <c r="C13234" i="2"/>
  <c r="D13233" i="2"/>
  <c r="C13233" i="2"/>
  <c r="D13232" i="2"/>
  <c r="C13232" i="2"/>
  <c r="D13231" i="2"/>
  <c r="C13231" i="2"/>
  <c r="D13230" i="2"/>
  <c r="C13230" i="2"/>
  <c r="D13229" i="2"/>
  <c r="C13229" i="2"/>
  <c r="D13228" i="2"/>
  <c r="C13228" i="2"/>
  <c r="D13227" i="2"/>
  <c r="C13227" i="2"/>
  <c r="D13226" i="2"/>
  <c r="C13226" i="2"/>
  <c r="D13225" i="2"/>
  <c r="C13225" i="2"/>
  <c r="D13224" i="2"/>
  <c r="C13224" i="2"/>
  <c r="D13223" i="2"/>
  <c r="C13223" i="2"/>
  <c r="D13222" i="2"/>
  <c r="C13222" i="2"/>
  <c r="D13221" i="2"/>
  <c r="C13221" i="2"/>
  <c r="D13220" i="2"/>
  <c r="C13220" i="2"/>
  <c r="D13219" i="2"/>
  <c r="C13219" i="2"/>
  <c r="D13218" i="2"/>
  <c r="C13218" i="2"/>
  <c r="D13217" i="2"/>
  <c r="C13217" i="2"/>
  <c r="D13216" i="2"/>
  <c r="C13216" i="2"/>
  <c r="D13215" i="2"/>
  <c r="C13215" i="2"/>
  <c r="D13214" i="2"/>
  <c r="C13214" i="2"/>
  <c r="D13213" i="2"/>
  <c r="C13213" i="2"/>
  <c r="D13212" i="2"/>
  <c r="C13212" i="2"/>
  <c r="D13211" i="2"/>
  <c r="C13211" i="2"/>
  <c r="D13210" i="2"/>
  <c r="C13210" i="2"/>
  <c r="D13209" i="2"/>
  <c r="C13209" i="2"/>
  <c r="D13208" i="2"/>
  <c r="C13208" i="2"/>
  <c r="D13207" i="2"/>
  <c r="C13207" i="2"/>
  <c r="D13206" i="2"/>
  <c r="C13206" i="2"/>
  <c r="D13205" i="2"/>
  <c r="C13205" i="2"/>
  <c r="D13204" i="2"/>
  <c r="C13204" i="2"/>
  <c r="D13203" i="2"/>
  <c r="C13203" i="2"/>
  <c r="D13202" i="2"/>
  <c r="C13202" i="2"/>
  <c r="D13201" i="2"/>
  <c r="C13201" i="2"/>
  <c r="D13200" i="2"/>
  <c r="C13200" i="2"/>
  <c r="D13199" i="2"/>
  <c r="C13199" i="2"/>
  <c r="D13198" i="2"/>
  <c r="C13198" i="2"/>
  <c r="D13197" i="2"/>
  <c r="C13197" i="2"/>
  <c r="D13196" i="2"/>
  <c r="C13196" i="2"/>
  <c r="D13195" i="2"/>
  <c r="C13195" i="2"/>
  <c r="D13194" i="2"/>
  <c r="C13194" i="2"/>
  <c r="D13193" i="2"/>
  <c r="C13193" i="2"/>
  <c r="D13192" i="2"/>
  <c r="C13192" i="2"/>
  <c r="D13191" i="2"/>
  <c r="C13191" i="2"/>
  <c r="D13190" i="2"/>
  <c r="C13190" i="2"/>
  <c r="D13189" i="2"/>
  <c r="C13189" i="2"/>
  <c r="D13188" i="2"/>
  <c r="C13188" i="2"/>
  <c r="D13187" i="2"/>
  <c r="C13187" i="2"/>
  <c r="D13186" i="2"/>
  <c r="C13186" i="2"/>
  <c r="D13185" i="2"/>
  <c r="C13185" i="2"/>
  <c r="D13184" i="2"/>
  <c r="C13184" i="2"/>
  <c r="D13183" i="2"/>
  <c r="C13183" i="2"/>
  <c r="D13182" i="2"/>
  <c r="C13182" i="2"/>
  <c r="D13181" i="2"/>
  <c r="C13181" i="2"/>
  <c r="D13180" i="2"/>
  <c r="C13180" i="2"/>
  <c r="D13179" i="2"/>
  <c r="C13179" i="2"/>
  <c r="D13178" i="2"/>
  <c r="C13178" i="2"/>
  <c r="D13177" i="2"/>
  <c r="C13177" i="2"/>
  <c r="D13176" i="2"/>
  <c r="C13176" i="2"/>
  <c r="D13175" i="2"/>
  <c r="C13175" i="2"/>
  <c r="D13174" i="2"/>
  <c r="C13174" i="2"/>
  <c r="D13173" i="2"/>
  <c r="C13173" i="2"/>
  <c r="D13172" i="2"/>
  <c r="C13172" i="2"/>
  <c r="D13171" i="2"/>
  <c r="C13171" i="2"/>
  <c r="D13170" i="2"/>
  <c r="C13170" i="2"/>
  <c r="D13169" i="2"/>
  <c r="C13169" i="2"/>
  <c r="D13168" i="2"/>
  <c r="C13168" i="2"/>
  <c r="D13167" i="2"/>
  <c r="C13167" i="2"/>
  <c r="D13166" i="2"/>
  <c r="C13166" i="2"/>
  <c r="D13165" i="2"/>
  <c r="C13165" i="2"/>
  <c r="D13164" i="2"/>
  <c r="C13164" i="2"/>
  <c r="D13163" i="2"/>
  <c r="C13163" i="2"/>
  <c r="D13162" i="2"/>
  <c r="C13162" i="2"/>
  <c r="D13161" i="2"/>
  <c r="C13161" i="2"/>
  <c r="D13160" i="2"/>
  <c r="C13160" i="2"/>
  <c r="D13159" i="2"/>
  <c r="C13159" i="2"/>
  <c r="D13158" i="2"/>
  <c r="C13158" i="2"/>
  <c r="D13157" i="2"/>
  <c r="C13157" i="2"/>
  <c r="D13156" i="2"/>
  <c r="C13156" i="2"/>
  <c r="D13155" i="2"/>
  <c r="C13155" i="2"/>
  <c r="D13154" i="2"/>
  <c r="C13154" i="2"/>
  <c r="D13153" i="2"/>
  <c r="C13153" i="2"/>
  <c r="D13152" i="2"/>
  <c r="C13152" i="2"/>
  <c r="D13151" i="2"/>
  <c r="C13151" i="2"/>
  <c r="D13150" i="2"/>
  <c r="C13150" i="2"/>
  <c r="D13149" i="2"/>
  <c r="C13149" i="2"/>
  <c r="D13148" i="2"/>
  <c r="C13148" i="2"/>
  <c r="D13147" i="2"/>
  <c r="C13147" i="2"/>
  <c r="D13146" i="2"/>
  <c r="C13146" i="2"/>
  <c r="D13145" i="2"/>
  <c r="C13145" i="2"/>
  <c r="D13144" i="2"/>
  <c r="C13144" i="2"/>
  <c r="D13143" i="2"/>
  <c r="C13143" i="2"/>
  <c r="D13142" i="2"/>
  <c r="C13142" i="2"/>
  <c r="D13141" i="2"/>
  <c r="C13141" i="2"/>
  <c r="D13140" i="2"/>
  <c r="C13140" i="2"/>
  <c r="D13139" i="2"/>
  <c r="C13139" i="2"/>
  <c r="D13138" i="2"/>
  <c r="C13138" i="2"/>
  <c r="D13137" i="2"/>
  <c r="C13137" i="2"/>
  <c r="D13136" i="2"/>
  <c r="C13136" i="2"/>
  <c r="D13135" i="2"/>
  <c r="C13135" i="2"/>
  <c r="D13134" i="2"/>
  <c r="C13134" i="2"/>
  <c r="D13133" i="2"/>
  <c r="C13133" i="2"/>
  <c r="D13132" i="2"/>
  <c r="C13132" i="2"/>
  <c r="D13131" i="2"/>
  <c r="C13131" i="2"/>
  <c r="D13130" i="2"/>
  <c r="C13130" i="2"/>
  <c r="D13129" i="2"/>
  <c r="C13129" i="2"/>
  <c r="D13128" i="2"/>
  <c r="C13128" i="2"/>
  <c r="D13127" i="2"/>
  <c r="C13127" i="2"/>
  <c r="D13126" i="2"/>
  <c r="C13126" i="2"/>
  <c r="D13125" i="2"/>
  <c r="C13125" i="2"/>
  <c r="D13124" i="2"/>
  <c r="C13124" i="2"/>
  <c r="D13123" i="2"/>
  <c r="C13123" i="2"/>
  <c r="D13122" i="2"/>
  <c r="C13122" i="2"/>
  <c r="D13121" i="2"/>
  <c r="C13121" i="2"/>
  <c r="D13120" i="2"/>
  <c r="C13120" i="2"/>
  <c r="D13119" i="2"/>
  <c r="C13119" i="2"/>
  <c r="D13118" i="2"/>
  <c r="C13118" i="2"/>
  <c r="D13117" i="2"/>
  <c r="C13117" i="2"/>
  <c r="D13116" i="2"/>
  <c r="C13116" i="2"/>
  <c r="D13115" i="2"/>
  <c r="C13115" i="2"/>
  <c r="D13114" i="2"/>
  <c r="C13114" i="2"/>
  <c r="D13113" i="2"/>
  <c r="C13113" i="2"/>
  <c r="D13112" i="2"/>
  <c r="C13112" i="2"/>
  <c r="D13111" i="2"/>
  <c r="C13111" i="2"/>
  <c r="D13110" i="2"/>
  <c r="C13110" i="2"/>
  <c r="D13109" i="2"/>
  <c r="C13109" i="2"/>
  <c r="D13108" i="2"/>
  <c r="C13108" i="2"/>
  <c r="D13107" i="2"/>
  <c r="C13107" i="2"/>
  <c r="D13106" i="2"/>
  <c r="C13106" i="2"/>
  <c r="D13105" i="2"/>
  <c r="C13105" i="2"/>
  <c r="D13104" i="2"/>
  <c r="C13104" i="2"/>
  <c r="D13103" i="2"/>
  <c r="C13103" i="2"/>
  <c r="D13102" i="2"/>
  <c r="C13102" i="2"/>
  <c r="D13101" i="2"/>
  <c r="C13101" i="2"/>
  <c r="D13100" i="2"/>
  <c r="C13100" i="2"/>
  <c r="D13099" i="2"/>
  <c r="C13099" i="2"/>
  <c r="D13098" i="2"/>
  <c r="C13098" i="2"/>
  <c r="D13097" i="2"/>
  <c r="C13097" i="2"/>
  <c r="D13087" i="2"/>
  <c r="C13087" i="2"/>
  <c r="D13086" i="2"/>
  <c r="C13086" i="2"/>
  <c r="D13085" i="2"/>
  <c r="C13085" i="2"/>
  <c r="D13084" i="2"/>
  <c r="C13084" i="2"/>
  <c r="D13083" i="2"/>
  <c r="C13083" i="2"/>
  <c r="D13082" i="2"/>
  <c r="C13082" i="2"/>
  <c r="D13081" i="2"/>
  <c r="C13081" i="2"/>
  <c r="D13080" i="2"/>
  <c r="C13080" i="2"/>
  <c r="D13079" i="2"/>
  <c r="C13079" i="2"/>
  <c r="D13078" i="2"/>
  <c r="C13078" i="2"/>
  <c r="D13077" i="2"/>
  <c r="C13077" i="2"/>
  <c r="D13076" i="2"/>
  <c r="C13076" i="2"/>
  <c r="D13075" i="2"/>
  <c r="C13075" i="2"/>
  <c r="D13074" i="2"/>
  <c r="C13074" i="2"/>
  <c r="D13073" i="2"/>
  <c r="C13073" i="2"/>
  <c r="D13072" i="2"/>
  <c r="C13072" i="2"/>
  <c r="D13071" i="2"/>
  <c r="C13071" i="2"/>
  <c r="D13070" i="2"/>
  <c r="C13070" i="2"/>
  <c r="D13069" i="2"/>
  <c r="C13069" i="2"/>
  <c r="D13068" i="2"/>
  <c r="C13068" i="2"/>
  <c r="D13067" i="2"/>
  <c r="C13067" i="2"/>
  <c r="D13066" i="2"/>
  <c r="C13066" i="2"/>
  <c r="D13065" i="2"/>
  <c r="C13065" i="2"/>
  <c r="D13064" i="2"/>
  <c r="C13064" i="2"/>
  <c r="D13063" i="2"/>
  <c r="C13063" i="2"/>
  <c r="D13062" i="2"/>
  <c r="C13062" i="2"/>
  <c r="D13061" i="2"/>
  <c r="C13061" i="2"/>
  <c r="D13060" i="2"/>
  <c r="C13060" i="2"/>
  <c r="D13059" i="2"/>
  <c r="C13059" i="2"/>
  <c r="D13058" i="2"/>
  <c r="C13058" i="2"/>
  <c r="D13057" i="2"/>
  <c r="C13057" i="2"/>
  <c r="D13056" i="2"/>
  <c r="C13056" i="2"/>
  <c r="D13055" i="2"/>
  <c r="C13055" i="2"/>
  <c r="D13054" i="2"/>
  <c r="C13054" i="2"/>
  <c r="D13053" i="2"/>
  <c r="C13053" i="2"/>
  <c r="D13052" i="2"/>
  <c r="C13052" i="2"/>
  <c r="D13051" i="2"/>
  <c r="C13051" i="2"/>
  <c r="D13050" i="2"/>
  <c r="C13050" i="2"/>
  <c r="D13049" i="2"/>
  <c r="C13049" i="2"/>
  <c r="D13048" i="2"/>
  <c r="C13048" i="2"/>
  <c r="D13047" i="2"/>
  <c r="C13047" i="2"/>
  <c r="D13046" i="2"/>
  <c r="C13046" i="2"/>
  <c r="D13045" i="2"/>
  <c r="C13045" i="2"/>
  <c r="D13044" i="2"/>
  <c r="C13044" i="2"/>
  <c r="D13043" i="2"/>
  <c r="C13043" i="2"/>
  <c r="D13042" i="2"/>
  <c r="C13042" i="2"/>
  <c r="D13041" i="2"/>
  <c r="C13041" i="2"/>
  <c r="D13040" i="2"/>
  <c r="C13040" i="2"/>
  <c r="D13039" i="2"/>
  <c r="C13039" i="2"/>
  <c r="D13038" i="2"/>
  <c r="C13038" i="2"/>
  <c r="D13037" i="2"/>
  <c r="C13037" i="2"/>
  <c r="D13036" i="2"/>
  <c r="C13036" i="2"/>
  <c r="D13035" i="2"/>
  <c r="C13035" i="2"/>
  <c r="D13034" i="2"/>
  <c r="C13034" i="2"/>
  <c r="D13033" i="2"/>
  <c r="C13033" i="2"/>
  <c r="D13032" i="2"/>
  <c r="C13032" i="2"/>
  <c r="D13031" i="2"/>
  <c r="C13031" i="2"/>
  <c r="D13030" i="2"/>
  <c r="C13030" i="2"/>
  <c r="D13029" i="2"/>
  <c r="C13029" i="2"/>
  <c r="D13028" i="2"/>
  <c r="C13028" i="2"/>
  <c r="D13027" i="2"/>
  <c r="C13027" i="2"/>
  <c r="D13026" i="2"/>
  <c r="C13026" i="2"/>
  <c r="D13025" i="2"/>
  <c r="C13025" i="2"/>
  <c r="D13024" i="2"/>
  <c r="C13024" i="2"/>
  <c r="D13023" i="2"/>
  <c r="C13023" i="2"/>
  <c r="D13022" i="2"/>
  <c r="C13022" i="2"/>
  <c r="D13021" i="2"/>
  <c r="C13021" i="2"/>
  <c r="D13020" i="2"/>
  <c r="C13020" i="2"/>
  <c r="D13019" i="2"/>
  <c r="C13019" i="2"/>
  <c r="D13018" i="2"/>
  <c r="C13018" i="2"/>
  <c r="D13017" i="2"/>
  <c r="C13017" i="2"/>
  <c r="D13016" i="2"/>
  <c r="C13016" i="2"/>
  <c r="D13015" i="2"/>
  <c r="C13015" i="2"/>
  <c r="D13014" i="2"/>
  <c r="C13014" i="2"/>
  <c r="D13013" i="2"/>
  <c r="C13013" i="2"/>
  <c r="D13012" i="2"/>
  <c r="C13012" i="2"/>
  <c r="D13011" i="2"/>
  <c r="C13011" i="2"/>
  <c r="D13010" i="2"/>
  <c r="C13010" i="2"/>
  <c r="D13009" i="2"/>
  <c r="C13009" i="2"/>
  <c r="D13008" i="2"/>
  <c r="C13008" i="2"/>
  <c r="D13007" i="2"/>
  <c r="C13007" i="2"/>
  <c r="D13006" i="2"/>
  <c r="C13006" i="2"/>
  <c r="D13005" i="2"/>
  <c r="C13005" i="2"/>
  <c r="D13004" i="2"/>
  <c r="C13004" i="2"/>
  <c r="D13003" i="2"/>
  <c r="C13003" i="2"/>
  <c r="D13002" i="2"/>
  <c r="C13002" i="2"/>
  <c r="D13001" i="2"/>
  <c r="C13001" i="2"/>
  <c r="D13000" i="2"/>
  <c r="C13000" i="2"/>
  <c r="D12999" i="2"/>
  <c r="C12999" i="2"/>
  <c r="D12998" i="2"/>
  <c r="C12998" i="2"/>
  <c r="D12997" i="2"/>
  <c r="C12997" i="2"/>
  <c r="D12996" i="2"/>
  <c r="C12996" i="2"/>
  <c r="D12995" i="2"/>
  <c r="C12995" i="2"/>
  <c r="D12994" i="2"/>
  <c r="C12994" i="2"/>
  <c r="D12993" i="2"/>
  <c r="C12993" i="2"/>
  <c r="D12992" i="2"/>
  <c r="C12992" i="2"/>
  <c r="D12991" i="2"/>
  <c r="C12991" i="2"/>
  <c r="D12990" i="2"/>
  <c r="C12990" i="2"/>
  <c r="D12989" i="2"/>
  <c r="C12989" i="2"/>
  <c r="D12988" i="2"/>
  <c r="C12988" i="2"/>
  <c r="D12987" i="2"/>
  <c r="C12987" i="2"/>
  <c r="D12986" i="2"/>
  <c r="C12986" i="2"/>
  <c r="D12985" i="2"/>
  <c r="C12985" i="2"/>
  <c r="D12984" i="2"/>
  <c r="C12984" i="2"/>
  <c r="D12983" i="2"/>
  <c r="C12983" i="2"/>
  <c r="D12982" i="2"/>
  <c r="C12982" i="2"/>
  <c r="D12981" i="2"/>
  <c r="C12981" i="2"/>
  <c r="D12980" i="2"/>
  <c r="C12980" i="2"/>
  <c r="D12979" i="2"/>
  <c r="C12979" i="2"/>
  <c r="D12978" i="2"/>
  <c r="C12978" i="2"/>
  <c r="D12977" i="2"/>
  <c r="C12977" i="2"/>
  <c r="D12976" i="2"/>
  <c r="C12976" i="2"/>
  <c r="D12975" i="2"/>
  <c r="C12975" i="2"/>
  <c r="D12974" i="2"/>
  <c r="C12974" i="2"/>
  <c r="D12973" i="2"/>
  <c r="C12973" i="2"/>
  <c r="D12972" i="2"/>
  <c r="C12972" i="2"/>
  <c r="D12971" i="2"/>
  <c r="C12971" i="2"/>
  <c r="D12970" i="2"/>
  <c r="C12970" i="2"/>
  <c r="D12969" i="2"/>
  <c r="C12969" i="2"/>
  <c r="D12968" i="2"/>
  <c r="C12968" i="2"/>
  <c r="D12967" i="2"/>
  <c r="C12967" i="2"/>
  <c r="D12966" i="2"/>
  <c r="C12966" i="2"/>
  <c r="D12965" i="2"/>
  <c r="C12965" i="2"/>
  <c r="D12964" i="2"/>
  <c r="C12964" i="2"/>
  <c r="D12963" i="2"/>
  <c r="C12963" i="2"/>
  <c r="D12962" i="2"/>
  <c r="C12962" i="2"/>
  <c r="D12961" i="2"/>
  <c r="C12961" i="2"/>
  <c r="D12960" i="2"/>
  <c r="C12960" i="2"/>
  <c r="D12959" i="2"/>
  <c r="C12959" i="2"/>
  <c r="D12958" i="2"/>
  <c r="C12958" i="2"/>
  <c r="D12957" i="2"/>
  <c r="C12957" i="2"/>
  <c r="D12956" i="2"/>
  <c r="C12956" i="2"/>
  <c r="D12955" i="2"/>
  <c r="C12955" i="2"/>
  <c r="D12954" i="2"/>
  <c r="C12954" i="2"/>
  <c r="D12953" i="2"/>
  <c r="C12953" i="2"/>
  <c r="D12952" i="2"/>
  <c r="C12952" i="2"/>
  <c r="D12951" i="2"/>
  <c r="C12951" i="2"/>
  <c r="D12950" i="2"/>
  <c r="C12950" i="2"/>
  <c r="D12949" i="2"/>
  <c r="C12949" i="2"/>
  <c r="D12948" i="2"/>
  <c r="C12948" i="2"/>
  <c r="D12947" i="2"/>
  <c r="C12947" i="2"/>
  <c r="D12946" i="2"/>
  <c r="C12946" i="2"/>
  <c r="D12945" i="2"/>
  <c r="C12945" i="2"/>
  <c r="D12944" i="2"/>
  <c r="C12944" i="2"/>
  <c r="D12943" i="2"/>
  <c r="C12943" i="2"/>
  <c r="D12942" i="2"/>
  <c r="C12942" i="2"/>
  <c r="D12941" i="2"/>
  <c r="C12941" i="2"/>
  <c r="D12940" i="2"/>
  <c r="C12940" i="2"/>
  <c r="D12939" i="2"/>
  <c r="C12939" i="2"/>
  <c r="D12938" i="2"/>
  <c r="C12938" i="2"/>
  <c r="D12937" i="2"/>
  <c r="C12937" i="2"/>
  <c r="D12936" i="2"/>
  <c r="C12936" i="2"/>
  <c r="D12935" i="2"/>
  <c r="C12935" i="2"/>
  <c r="D12934" i="2"/>
  <c r="C12934" i="2"/>
  <c r="D12933" i="2"/>
  <c r="C12933" i="2"/>
  <c r="D12932" i="2"/>
  <c r="C12932" i="2"/>
  <c r="D12931" i="2"/>
  <c r="C12931" i="2"/>
  <c r="D12930" i="2"/>
  <c r="C12930" i="2"/>
  <c r="D12929" i="2"/>
  <c r="C12929" i="2"/>
  <c r="D12928" i="2"/>
  <c r="C12928" i="2"/>
  <c r="D12927" i="2"/>
  <c r="C12927" i="2"/>
  <c r="D12926" i="2"/>
  <c r="C12926" i="2"/>
  <c r="D12925" i="2"/>
  <c r="C12925" i="2"/>
  <c r="D12924" i="2"/>
  <c r="C12924" i="2"/>
  <c r="D12923" i="2"/>
  <c r="C12923" i="2"/>
  <c r="D12922" i="2"/>
  <c r="C12922" i="2"/>
  <c r="D12921" i="2"/>
  <c r="C12921" i="2"/>
  <c r="D12920" i="2"/>
  <c r="C12920" i="2"/>
  <c r="D12919" i="2"/>
  <c r="C12919" i="2"/>
  <c r="D12918" i="2"/>
  <c r="C12918" i="2"/>
  <c r="D12917" i="2"/>
  <c r="C12917" i="2"/>
  <c r="D12916" i="2"/>
  <c r="C12916" i="2"/>
  <c r="D12915" i="2"/>
  <c r="C12915" i="2"/>
  <c r="D12914" i="2"/>
  <c r="C12914" i="2"/>
  <c r="D12913" i="2"/>
  <c r="C12913" i="2"/>
  <c r="D12912" i="2"/>
  <c r="C12912" i="2"/>
  <c r="D12911" i="2"/>
  <c r="C12911" i="2"/>
  <c r="D12910" i="2"/>
  <c r="C12910" i="2"/>
  <c r="D12909" i="2"/>
  <c r="C12909" i="2"/>
  <c r="D12908" i="2"/>
  <c r="C12908" i="2"/>
  <c r="D12907" i="2"/>
  <c r="C12907" i="2"/>
  <c r="D12906" i="2"/>
  <c r="C12906" i="2"/>
  <c r="D12905" i="2"/>
  <c r="C12905" i="2"/>
  <c r="D12904" i="2"/>
  <c r="C12904" i="2"/>
  <c r="D12903" i="2"/>
  <c r="C12903" i="2"/>
  <c r="D12902" i="2"/>
  <c r="C12902" i="2"/>
  <c r="D12901" i="2"/>
  <c r="C12901" i="2"/>
  <c r="D12900" i="2"/>
  <c r="C12900" i="2"/>
  <c r="D12899" i="2"/>
  <c r="C12899" i="2"/>
  <c r="D12898" i="2"/>
  <c r="C12898" i="2"/>
  <c r="D12897" i="2"/>
  <c r="C12897" i="2"/>
  <c r="D12896" i="2"/>
  <c r="C12896" i="2"/>
  <c r="D12895" i="2"/>
  <c r="C12895" i="2"/>
  <c r="D12894" i="2"/>
  <c r="C12894" i="2"/>
  <c r="D12893" i="2"/>
  <c r="C12893" i="2"/>
  <c r="D12892" i="2"/>
  <c r="C12892" i="2"/>
  <c r="D12891" i="2"/>
  <c r="C12891" i="2"/>
  <c r="D12890" i="2"/>
  <c r="C12890" i="2"/>
  <c r="D12889" i="2"/>
  <c r="C12889" i="2"/>
  <c r="D12888" i="2"/>
  <c r="C12888" i="2"/>
  <c r="D12887" i="2"/>
  <c r="C12887" i="2"/>
  <c r="D12886" i="2"/>
  <c r="C12886" i="2"/>
  <c r="D12885" i="2"/>
  <c r="C12885" i="2"/>
  <c r="D12884" i="2"/>
  <c r="C12884" i="2"/>
  <c r="D12883" i="2"/>
  <c r="C12883" i="2"/>
  <c r="D12882" i="2"/>
  <c r="C12882" i="2"/>
  <c r="D12881" i="2"/>
  <c r="C12881" i="2"/>
  <c r="D12880" i="2"/>
  <c r="C12880" i="2"/>
  <c r="D12879" i="2"/>
  <c r="C12879" i="2"/>
  <c r="D12878" i="2"/>
  <c r="C12878" i="2"/>
  <c r="D12877" i="2"/>
  <c r="C12877" i="2"/>
  <c r="D12876" i="2"/>
  <c r="C12876" i="2"/>
  <c r="D12875" i="2"/>
  <c r="C12875" i="2"/>
  <c r="D12874" i="2"/>
  <c r="C12874" i="2"/>
  <c r="D12873" i="2"/>
  <c r="C12873" i="2"/>
  <c r="D12872" i="2"/>
  <c r="C12872" i="2"/>
  <c r="D12871" i="2"/>
  <c r="C12871" i="2"/>
  <c r="D12870" i="2"/>
  <c r="C12870" i="2"/>
  <c r="D12869" i="2"/>
  <c r="C12869" i="2"/>
  <c r="D12868" i="2"/>
  <c r="C12868" i="2"/>
  <c r="D12867" i="2"/>
  <c r="C12867" i="2"/>
  <c r="D12866" i="2"/>
  <c r="C12866" i="2"/>
  <c r="D12865" i="2"/>
  <c r="C12865" i="2"/>
  <c r="D12864" i="2"/>
  <c r="C12864" i="2"/>
  <c r="D12863" i="2"/>
  <c r="C12863" i="2"/>
  <c r="D12862" i="2"/>
  <c r="C12862" i="2"/>
  <c r="D12861" i="2"/>
  <c r="C12861" i="2"/>
  <c r="D12860" i="2"/>
  <c r="C12860" i="2"/>
  <c r="D12859" i="2"/>
  <c r="C12859" i="2"/>
  <c r="D12858" i="2"/>
  <c r="C12858" i="2"/>
  <c r="D12857" i="2"/>
  <c r="C12857" i="2"/>
  <c r="D12856" i="2"/>
  <c r="C12856" i="2"/>
  <c r="D12855" i="2"/>
  <c r="C12855" i="2"/>
  <c r="D12854" i="2"/>
  <c r="C12854" i="2"/>
  <c r="D12853" i="2"/>
  <c r="C12853" i="2"/>
  <c r="D12852" i="2"/>
  <c r="C12852" i="2"/>
  <c r="D12851" i="2"/>
  <c r="C12851" i="2"/>
  <c r="D12850" i="2"/>
  <c r="C12850" i="2"/>
  <c r="D12849" i="2"/>
  <c r="C12849" i="2"/>
  <c r="D12848" i="2"/>
  <c r="C12848" i="2"/>
  <c r="D12847" i="2"/>
  <c r="C12847" i="2"/>
  <c r="D12846" i="2"/>
  <c r="C12846" i="2"/>
  <c r="D12845" i="2"/>
  <c r="C12845" i="2"/>
  <c r="D12844" i="2"/>
  <c r="C12844" i="2"/>
  <c r="D12843" i="2"/>
  <c r="C12843" i="2"/>
  <c r="D12842" i="2"/>
  <c r="C12842" i="2"/>
  <c r="D12841" i="2"/>
  <c r="C12841" i="2"/>
  <c r="D12840" i="2"/>
  <c r="C12840" i="2"/>
  <c r="D12839" i="2"/>
  <c r="C12839" i="2"/>
  <c r="D12838" i="2"/>
  <c r="C12838" i="2"/>
  <c r="D12837" i="2"/>
  <c r="C12837" i="2"/>
  <c r="D12836" i="2"/>
  <c r="C12836" i="2"/>
  <c r="D12835" i="2"/>
  <c r="C12835" i="2"/>
  <c r="D12834" i="2"/>
  <c r="C12834" i="2"/>
  <c r="D12833" i="2"/>
  <c r="C12833" i="2"/>
  <c r="D12832" i="2"/>
  <c r="C12832" i="2"/>
  <c r="D12831" i="2"/>
  <c r="C12831" i="2"/>
  <c r="D12830" i="2"/>
  <c r="C12830" i="2"/>
  <c r="D12829" i="2"/>
  <c r="C12829" i="2"/>
  <c r="D12828" i="2"/>
  <c r="C12828" i="2"/>
  <c r="D12827" i="2"/>
  <c r="C12827" i="2"/>
  <c r="D12817" i="2"/>
  <c r="C12817" i="2"/>
  <c r="D12807" i="2"/>
  <c r="C12807" i="2"/>
  <c r="D12797" i="2"/>
  <c r="C12797" i="2"/>
  <c r="D12787" i="2"/>
  <c r="C12787" i="2"/>
  <c r="D12777" i="2"/>
  <c r="C12777" i="2"/>
  <c r="D12767" i="2"/>
  <c r="C12767" i="2"/>
  <c r="D12757" i="2"/>
  <c r="C12757" i="2"/>
  <c r="D12756" i="2"/>
  <c r="C12756" i="2"/>
  <c r="D12755" i="2"/>
  <c r="C12755" i="2"/>
  <c r="D12754" i="2"/>
  <c r="C12754" i="2"/>
  <c r="D12753" i="2"/>
  <c r="C12753" i="2"/>
  <c r="D12752" i="2"/>
  <c r="C12752" i="2"/>
  <c r="D12751" i="2"/>
  <c r="C12751" i="2"/>
  <c r="D12750" i="2"/>
  <c r="C12750" i="2"/>
  <c r="D12749" i="2"/>
  <c r="C12749" i="2"/>
  <c r="D12748" i="2"/>
  <c r="C12748" i="2"/>
  <c r="D12747" i="2"/>
  <c r="C12747" i="2"/>
  <c r="D12746" i="2"/>
  <c r="C12746" i="2"/>
  <c r="D12745" i="2"/>
  <c r="C12745" i="2"/>
  <c r="D12744" i="2"/>
  <c r="C12744" i="2"/>
  <c r="D12743" i="2"/>
  <c r="C12743" i="2"/>
  <c r="D12742" i="2"/>
  <c r="C12742" i="2"/>
  <c r="D12741" i="2"/>
  <c r="C12741" i="2"/>
  <c r="D12740" i="2"/>
  <c r="C12740" i="2"/>
  <c r="D12739" i="2"/>
  <c r="C12739" i="2"/>
  <c r="D12738" i="2"/>
  <c r="C12738" i="2"/>
  <c r="D12737" i="2"/>
  <c r="C12737" i="2"/>
  <c r="D12736" i="2"/>
  <c r="C12736" i="2"/>
  <c r="D12735" i="2"/>
  <c r="C12735" i="2"/>
  <c r="D12734" i="2"/>
  <c r="C12734" i="2"/>
  <c r="D12733" i="2"/>
  <c r="C12733" i="2"/>
  <c r="D12732" i="2"/>
  <c r="C12732" i="2"/>
  <c r="D12731" i="2"/>
  <c r="C12731" i="2"/>
  <c r="D12730" i="2"/>
  <c r="C12730" i="2"/>
  <c r="D12729" i="2"/>
  <c r="C12729" i="2"/>
  <c r="D12728" i="2"/>
  <c r="C12728" i="2"/>
  <c r="D12727" i="2"/>
  <c r="C12727" i="2"/>
  <c r="D12726" i="2"/>
  <c r="C12726" i="2"/>
  <c r="D12725" i="2"/>
  <c r="C12725" i="2"/>
  <c r="D12724" i="2"/>
  <c r="C12724" i="2"/>
  <c r="D12723" i="2"/>
  <c r="C12723" i="2"/>
  <c r="D12722" i="2"/>
  <c r="C12722" i="2"/>
  <c r="D12721" i="2"/>
  <c r="C12721" i="2"/>
  <c r="D12720" i="2"/>
  <c r="C12720" i="2"/>
  <c r="D12719" i="2"/>
  <c r="C12719" i="2"/>
  <c r="D12718" i="2"/>
  <c r="C12718" i="2"/>
  <c r="D12717" i="2"/>
  <c r="C12717" i="2"/>
  <c r="D12716" i="2"/>
  <c r="C12716" i="2"/>
  <c r="D12715" i="2"/>
  <c r="C12715" i="2"/>
  <c r="D12714" i="2"/>
  <c r="C12714" i="2"/>
  <c r="D12713" i="2"/>
  <c r="C12713" i="2"/>
  <c r="D12712" i="2"/>
  <c r="C12712" i="2"/>
  <c r="D12711" i="2"/>
  <c r="C12711" i="2"/>
  <c r="D12710" i="2"/>
  <c r="C12710" i="2"/>
  <c r="D12709" i="2"/>
  <c r="C12709" i="2"/>
  <c r="D12708" i="2"/>
  <c r="C12708" i="2"/>
  <c r="D12707" i="2"/>
  <c r="C12707" i="2"/>
  <c r="D12706" i="2"/>
  <c r="C12706" i="2"/>
  <c r="D12705" i="2"/>
  <c r="C12705" i="2"/>
  <c r="D12704" i="2"/>
  <c r="C12704" i="2"/>
  <c r="D12703" i="2"/>
  <c r="C12703" i="2"/>
  <c r="D12702" i="2"/>
  <c r="C12702" i="2"/>
  <c r="D12701" i="2"/>
  <c r="C12701" i="2"/>
  <c r="D12700" i="2"/>
  <c r="C12700" i="2"/>
  <c r="D12699" i="2"/>
  <c r="C12699" i="2"/>
  <c r="D12698" i="2"/>
  <c r="C12698" i="2"/>
  <c r="D12697" i="2"/>
  <c r="C12697" i="2"/>
  <c r="D12696" i="2"/>
  <c r="C12696" i="2"/>
  <c r="D12695" i="2"/>
  <c r="C12695" i="2"/>
  <c r="D12694" i="2"/>
  <c r="C12694" i="2"/>
  <c r="D12693" i="2"/>
  <c r="C12693" i="2"/>
  <c r="D12692" i="2"/>
  <c r="C12692" i="2"/>
  <c r="D12691" i="2"/>
  <c r="C12691" i="2"/>
  <c r="D12690" i="2"/>
  <c r="C12690" i="2"/>
  <c r="D12689" i="2"/>
  <c r="C12689" i="2"/>
  <c r="D12688" i="2"/>
  <c r="C12688" i="2"/>
  <c r="D12687" i="2"/>
  <c r="C12687" i="2"/>
  <c r="D12686" i="2"/>
  <c r="C12686" i="2"/>
  <c r="D12685" i="2"/>
  <c r="C12685" i="2"/>
  <c r="D12684" i="2"/>
  <c r="C12684" i="2"/>
  <c r="D12683" i="2"/>
  <c r="C12683" i="2"/>
  <c r="D12682" i="2"/>
  <c r="C12682" i="2"/>
  <c r="D12681" i="2"/>
  <c r="C12681" i="2"/>
  <c r="D12680" i="2"/>
  <c r="C12680" i="2"/>
  <c r="D12679" i="2"/>
  <c r="C12679" i="2"/>
  <c r="D12678" i="2"/>
  <c r="C12678" i="2"/>
  <c r="D12677" i="2"/>
  <c r="C12677" i="2"/>
  <c r="D12676" i="2"/>
  <c r="C12676" i="2"/>
  <c r="D12675" i="2"/>
  <c r="C12675" i="2"/>
  <c r="D12674" i="2"/>
  <c r="C12674" i="2"/>
  <c r="D12673" i="2"/>
  <c r="C12673" i="2"/>
  <c r="D12672" i="2"/>
  <c r="C12672" i="2"/>
  <c r="D12671" i="2"/>
  <c r="C12671" i="2"/>
  <c r="D12670" i="2"/>
  <c r="C12670" i="2"/>
  <c r="D12669" i="2"/>
  <c r="C12669" i="2"/>
  <c r="D12668" i="2"/>
  <c r="C12668" i="2"/>
  <c r="D12667" i="2"/>
  <c r="C12667" i="2"/>
  <c r="D12666" i="2"/>
  <c r="C12666" i="2"/>
  <c r="D12665" i="2"/>
  <c r="C12665" i="2"/>
  <c r="D12664" i="2"/>
  <c r="C12664" i="2"/>
  <c r="D12663" i="2"/>
  <c r="C12663" i="2"/>
  <c r="D12662" i="2"/>
  <c r="C12662" i="2"/>
  <c r="D12661" i="2"/>
  <c r="C12661" i="2"/>
  <c r="D12660" i="2"/>
  <c r="C12660" i="2"/>
  <c r="D12659" i="2"/>
  <c r="C12659" i="2"/>
  <c r="D12658" i="2"/>
  <c r="C12658" i="2"/>
  <c r="D12657" i="2"/>
  <c r="C12657" i="2"/>
  <c r="D12656" i="2"/>
  <c r="C12656" i="2"/>
  <c r="D12655" i="2"/>
  <c r="C12655" i="2"/>
  <c r="D12654" i="2"/>
  <c r="C12654" i="2"/>
  <c r="D12653" i="2"/>
  <c r="C12653" i="2"/>
  <c r="D12652" i="2"/>
  <c r="C12652" i="2"/>
  <c r="D12651" i="2"/>
  <c r="C12651" i="2"/>
  <c r="D12650" i="2"/>
  <c r="C12650" i="2"/>
  <c r="D12649" i="2"/>
  <c r="C12649" i="2"/>
  <c r="D12648" i="2"/>
  <c r="C12648" i="2"/>
  <c r="D12647" i="2"/>
  <c r="C12647" i="2"/>
  <c r="D12646" i="2"/>
  <c r="C12646" i="2"/>
  <c r="D12645" i="2"/>
  <c r="C12645" i="2"/>
  <c r="D12644" i="2"/>
  <c r="C12644" i="2"/>
  <c r="D12643" i="2"/>
  <c r="C12643" i="2"/>
  <c r="D12642" i="2"/>
  <c r="C12642" i="2"/>
  <c r="D12641" i="2"/>
  <c r="C12641" i="2"/>
  <c r="D12640" i="2"/>
  <c r="C12640" i="2"/>
  <c r="D12639" i="2"/>
  <c r="C12639" i="2"/>
  <c r="D12638" i="2"/>
  <c r="C12638" i="2"/>
  <c r="D12637" i="2"/>
  <c r="C12637" i="2"/>
  <c r="D12636" i="2"/>
  <c r="C12636" i="2"/>
  <c r="D12635" i="2"/>
  <c r="C12635" i="2"/>
  <c r="D12634" i="2"/>
  <c r="C12634" i="2"/>
  <c r="D12633" i="2"/>
  <c r="C12633" i="2"/>
  <c r="D12632" i="2"/>
  <c r="C12632" i="2"/>
  <c r="D12631" i="2"/>
  <c r="C12631" i="2"/>
  <c r="D12630" i="2"/>
  <c r="C12630" i="2"/>
  <c r="D12629" i="2"/>
  <c r="C12629" i="2"/>
  <c r="D12628" i="2"/>
  <c r="C12628" i="2"/>
  <c r="D12627" i="2"/>
  <c r="C12627" i="2"/>
  <c r="D12626" i="2"/>
  <c r="C12626" i="2"/>
  <c r="D12625" i="2"/>
  <c r="C12625" i="2"/>
  <c r="D12624" i="2"/>
  <c r="C12624" i="2"/>
  <c r="D12623" i="2"/>
  <c r="C12623" i="2"/>
  <c r="D12622" i="2"/>
  <c r="C12622" i="2"/>
  <c r="D12621" i="2"/>
  <c r="C12621" i="2"/>
  <c r="D12620" i="2"/>
  <c r="C12620" i="2"/>
  <c r="D12619" i="2"/>
  <c r="C12619" i="2"/>
  <c r="D12618" i="2"/>
  <c r="C12618" i="2"/>
  <c r="D12617" i="2"/>
  <c r="C12617" i="2"/>
  <c r="D12616" i="2"/>
  <c r="C12616" i="2"/>
  <c r="D12615" i="2"/>
  <c r="C12615" i="2"/>
  <c r="D12614" i="2"/>
  <c r="C12614" i="2"/>
  <c r="D12613" i="2"/>
  <c r="C12613" i="2"/>
  <c r="D12612" i="2"/>
  <c r="C12612" i="2"/>
  <c r="D12611" i="2"/>
  <c r="C12611" i="2"/>
  <c r="D12610" i="2"/>
  <c r="C12610" i="2"/>
  <c r="D12609" i="2"/>
  <c r="C12609" i="2"/>
  <c r="D12608" i="2"/>
  <c r="C12608" i="2"/>
  <c r="D12607" i="2"/>
  <c r="C12607" i="2"/>
  <c r="D12606" i="2"/>
  <c r="C12606" i="2"/>
  <c r="D12605" i="2"/>
  <c r="C12605" i="2"/>
  <c r="D12604" i="2"/>
  <c r="C12604" i="2"/>
  <c r="D12603" i="2"/>
  <c r="C12603" i="2"/>
  <c r="D12602" i="2"/>
  <c r="C12602" i="2"/>
  <c r="D12601" i="2"/>
  <c r="C12601" i="2"/>
  <c r="D12600" i="2"/>
  <c r="C12600" i="2"/>
  <c r="D12599" i="2"/>
  <c r="C12599" i="2"/>
  <c r="D12598" i="2"/>
  <c r="C12598" i="2"/>
  <c r="D12597" i="2"/>
  <c r="C12597" i="2"/>
  <c r="D12596" i="2"/>
  <c r="C12596" i="2"/>
  <c r="D12595" i="2"/>
  <c r="C12595" i="2"/>
  <c r="D12594" i="2"/>
  <c r="C12594" i="2"/>
  <c r="D12593" i="2"/>
  <c r="C12593" i="2"/>
  <c r="D12592" i="2"/>
  <c r="C12592" i="2"/>
  <c r="D12591" i="2"/>
  <c r="C12591" i="2"/>
  <c r="D12590" i="2"/>
  <c r="C12590" i="2"/>
  <c r="D12589" i="2"/>
  <c r="C12589" i="2"/>
  <c r="D12588" i="2"/>
  <c r="C12588" i="2"/>
  <c r="D12587" i="2"/>
  <c r="C12587" i="2"/>
  <c r="D12586" i="2"/>
  <c r="C12586" i="2"/>
  <c r="D12585" i="2"/>
  <c r="C12585" i="2"/>
  <c r="D12584" i="2"/>
  <c r="C12584" i="2"/>
  <c r="D12583" i="2"/>
  <c r="C12583" i="2"/>
  <c r="D12582" i="2"/>
  <c r="C12582" i="2"/>
  <c r="D12581" i="2"/>
  <c r="C12581" i="2"/>
  <c r="D12580" i="2"/>
  <c r="C12580" i="2"/>
  <c r="D12579" i="2"/>
  <c r="C12579" i="2"/>
  <c r="D12578" i="2"/>
  <c r="C12578" i="2"/>
  <c r="D12577" i="2"/>
  <c r="C12577" i="2"/>
  <c r="D12576" i="2"/>
  <c r="C12576" i="2"/>
  <c r="D12575" i="2"/>
  <c r="C12575" i="2"/>
  <c r="D12574" i="2"/>
  <c r="C12574" i="2"/>
  <c r="D12573" i="2"/>
  <c r="C12573" i="2"/>
  <c r="D12572" i="2"/>
  <c r="C12572" i="2"/>
  <c r="D12571" i="2"/>
  <c r="C12571" i="2"/>
  <c r="D12570" i="2"/>
  <c r="C12570" i="2"/>
  <c r="D12569" i="2"/>
  <c r="C12569" i="2"/>
  <c r="D12568" i="2"/>
  <c r="C12568" i="2"/>
  <c r="D12567" i="2"/>
  <c r="C12567" i="2"/>
  <c r="D12566" i="2"/>
  <c r="C12566" i="2"/>
  <c r="D12565" i="2"/>
  <c r="C12565" i="2"/>
  <c r="D12564" i="2"/>
  <c r="C12564" i="2"/>
  <c r="D12563" i="2"/>
  <c r="C12563" i="2"/>
  <c r="D12562" i="2"/>
  <c r="C12562" i="2"/>
  <c r="D12561" i="2"/>
  <c r="C12561" i="2"/>
  <c r="D12560" i="2"/>
  <c r="C12560" i="2"/>
  <c r="D12559" i="2"/>
  <c r="C12559" i="2"/>
  <c r="D12558" i="2"/>
  <c r="C12558" i="2"/>
  <c r="D12557" i="2"/>
  <c r="C12557" i="2"/>
  <c r="D12556" i="2"/>
  <c r="C12556" i="2"/>
  <c r="D12555" i="2"/>
  <c r="C12555" i="2"/>
  <c r="D12554" i="2"/>
  <c r="C12554" i="2"/>
  <c r="D12553" i="2"/>
  <c r="C12553" i="2"/>
  <c r="D12552" i="2"/>
  <c r="C12552" i="2"/>
  <c r="D12551" i="2"/>
  <c r="C12551" i="2"/>
  <c r="D12550" i="2"/>
  <c r="C12550" i="2"/>
  <c r="D12549" i="2"/>
  <c r="C12549" i="2"/>
  <c r="D12548" i="2"/>
  <c r="C12548" i="2"/>
  <c r="D12547" i="2"/>
  <c r="C12547" i="2"/>
  <c r="D12546" i="2"/>
  <c r="C12546" i="2"/>
  <c r="D12545" i="2"/>
  <c r="C12545" i="2"/>
  <c r="D12544" i="2"/>
  <c r="C12544" i="2"/>
  <c r="D12543" i="2"/>
  <c r="C12543" i="2"/>
  <c r="D12542" i="2"/>
  <c r="C12542" i="2"/>
  <c r="D12541" i="2"/>
  <c r="C12541" i="2"/>
  <c r="D12540" i="2"/>
  <c r="C12540" i="2"/>
  <c r="D12539" i="2"/>
  <c r="C12539" i="2"/>
  <c r="D12538" i="2"/>
  <c r="C12538" i="2"/>
  <c r="D12537" i="2"/>
  <c r="C12537" i="2"/>
  <c r="D12536" i="2"/>
  <c r="C12536" i="2"/>
  <c r="D12535" i="2"/>
  <c r="C12535" i="2"/>
  <c r="D12534" i="2"/>
  <c r="C12534" i="2"/>
  <c r="D12533" i="2"/>
  <c r="C12533" i="2"/>
  <c r="D12532" i="2"/>
  <c r="C12532" i="2"/>
  <c r="D12531" i="2"/>
  <c r="C12531" i="2"/>
  <c r="D12530" i="2"/>
  <c r="C12530" i="2"/>
  <c r="D12529" i="2"/>
  <c r="C12529" i="2"/>
  <c r="D12528" i="2"/>
  <c r="C12528" i="2"/>
  <c r="D12527" i="2"/>
  <c r="C12527" i="2"/>
  <c r="D12526" i="2"/>
  <c r="C12526" i="2"/>
  <c r="D12525" i="2"/>
  <c r="C12525" i="2"/>
  <c r="D12524" i="2"/>
  <c r="C12524" i="2"/>
  <c r="D12523" i="2"/>
  <c r="C12523" i="2"/>
  <c r="D12522" i="2"/>
  <c r="C12522" i="2"/>
  <c r="D12521" i="2"/>
  <c r="C12521" i="2"/>
  <c r="D12520" i="2"/>
  <c r="C12520" i="2"/>
  <c r="D12519" i="2"/>
  <c r="C12519" i="2"/>
  <c r="D12518" i="2"/>
  <c r="C12518" i="2"/>
  <c r="D12517" i="2"/>
  <c r="C12517" i="2"/>
  <c r="D12516" i="2"/>
  <c r="C12516" i="2"/>
  <c r="D12515" i="2"/>
  <c r="C12515" i="2"/>
  <c r="D12514" i="2"/>
  <c r="C12514" i="2"/>
  <c r="D12513" i="2"/>
  <c r="C12513" i="2"/>
  <c r="D12512" i="2"/>
  <c r="C12512" i="2"/>
  <c r="D12511" i="2"/>
  <c r="C12511" i="2"/>
  <c r="D12510" i="2"/>
  <c r="C12510" i="2"/>
  <c r="D12509" i="2"/>
  <c r="C12509" i="2"/>
  <c r="D12508" i="2"/>
  <c r="C12508" i="2"/>
  <c r="D12507" i="2"/>
  <c r="C12507" i="2"/>
  <c r="D12506" i="2"/>
  <c r="C12506" i="2"/>
  <c r="D12505" i="2"/>
  <c r="C12505" i="2"/>
  <c r="D12504" i="2"/>
  <c r="C12504" i="2"/>
  <c r="D12503" i="2"/>
  <c r="C12503" i="2"/>
  <c r="D12502" i="2"/>
  <c r="C12502" i="2"/>
  <c r="D12501" i="2"/>
  <c r="C12501" i="2"/>
  <c r="D12500" i="2"/>
  <c r="C12500" i="2"/>
  <c r="D12499" i="2"/>
  <c r="C12499" i="2"/>
  <c r="D12498" i="2"/>
  <c r="C12498" i="2"/>
  <c r="D12497" i="2"/>
  <c r="C12497" i="2"/>
  <c r="D12496" i="2"/>
  <c r="C12496" i="2"/>
  <c r="D12495" i="2"/>
  <c r="C12495" i="2"/>
  <c r="D12494" i="2"/>
  <c r="C12494" i="2"/>
  <c r="D12493" i="2"/>
  <c r="C12493" i="2"/>
  <c r="D12492" i="2"/>
  <c r="C12492" i="2"/>
  <c r="D12491" i="2"/>
  <c r="C12491" i="2"/>
  <c r="D12490" i="2"/>
  <c r="C12490" i="2"/>
  <c r="D12489" i="2"/>
  <c r="C12489" i="2"/>
  <c r="D12488" i="2"/>
  <c r="C12488" i="2"/>
  <c r="D12487" i="2"/>
  <c r="C12487" i="2"/>
  <c r="D12486" i="2"/>
  <c r="C12486" i="2"/>
  <c r="D12485" i="2"/>
  <c r="C12485" i="2"/>
  <c r="D12484" i="2"/>
  <c r="C12484" i="2"/>
  <c r="D12483" i="2"/>
  <c r="C12483" i="2"/>
  <c r="D12482" i="2"/>
  <c r="C12482" i="2"/>
  <c r="D12481" i="2"/>
  <c r="C12481" i="2"/>
  <c r="D12480" i="2"/>
  <c r="C12480" i="2"/>
  <c r="D12479" i="2"/>
  <c r="C12479" i="2"/>
  <c r="D12478" i="2"/>
  <c r="C12478" i="2"/>
  <c r="D12477" i="2"/>
  <c r="C12477" i="2"/>
  <c r="D12476" i="2"/>
  <c r="C12476" i="2"/>
  <c r="D12475" i="2"/>
  <c r="C12475" i="2"/>
  <c r="D12474" i="2"/>
  <c r="C12474" i="2"/>
  <c r="D12473" i="2"/>
  <c r="C12473" i="2"/>
  <c r="D12472" i="2"/>
  <c r="C12472" i="2"/>
  <c r="D12471" i="2"/>
  <c r="C12471" i="2"/>
  <c r="D12470" i="2"/>
  <c r="C12470" i="2"/>
  <c r="D12469" i="2"/>
  <c r="C12469" i="2"/>
  <c r="D12468" i="2"/>
  <c r="C12468" i="2"/>
  <c r="D12467" i="2"/>
  <c r="C12467" i="2"/>
  <c r="D12466" i="2"/>
  <c r="C12466" i="2"/>
  <c r="D12465" i="2"/>
  <c r="C12465" i="2"/>
  <c r="D12464" i="2"/>
  <c r="C12464" i="2"/>
  <c r="D12463" i="2"/>
  <c r="C12463" i="2"/>
  <c r="D12462" i="2"/>
  <c r="C12462" i="2"/>
  <c r="D12461" i="2"/>
  <c r="C12461" i="2"/>
  <c r="D12460" i="2"/>
  <c r="C12460" i="2"/>
  <c r="D12459" i="2"/>
  <c r="C12459" i="2"/>
  <c r="D12458" i="2"/>
  <c r="C12458" i="2"/>
  <c r="D12457" i="2"/>
  <c r="C12457" i="2"/>
  <c r="D12456" i="2"/>
  <c r="C12456" i="2"/>
  <c r="D12455" i="2"/>
  <c r="C12455" i="2"/>
  <c r="D12454" i="2"/>
  <c r="C12454" i="2"/>
  <c r="D12453" i="2"/>
  <c r="C12453" i="2"/>
  <c r="D12452" i="2"/>
  <c r="C12452" i="2"/>
  <c r="D12451" i="2"/>
  <c r="C12451" i="2"/>
  <c r="D12450" i="2"/>
  <c r="C12450" i="2"/>
  <c r="D12449" i="2"/>
  <c r="C12449" i="2"/>
  <c r="D12448" i="2"/>
  <c r="C12448" i="2"/>
  <c r="D12447" i="2"/>
  <c r="C12447" i="2"/>
  <c r="D12446" i="2"/>
  <c r="C12446" i="2"/>
  <c r="D12445" i="2"/>
  <c r="C12445" i="2"/>
  <c r="D12444" i="2"/>
  <c r="C12444" i="2"/>
  <c r="D12443" i="2"/>
  <c r="C12443" i="2"/>
  <c r="D12442" i="2"/>
  <c r="C12442" i="2"/>
  <c r="D12441" i="2"/>
  <c r="C12441" i="2"/>
  <c r="D12440" i="2"/>
  <c r="C12440" i="2"/>
  <c r="D12439" i="2"/>
  <c r="C12439" i="2"/>
  <c r="D12438" i="2"/>
  <c r="C12438" i="2"/>
  <c r="D12437" i="2"/>
  <c r="C12437" i="2"/>
  <c r="D12436" i="2"/>
  <c r="C12436" i="2"/>
  <c r="D12435" i="2"/>
  <c r="C12435" i="2"/>
  <c r="D12434" i="2"/>
  <c r="C12434" i="2"/>
  <c r="D12433" i="2"/>
  <c r="C12433" i="2"/>
  <c r="D12432" i="2"/>
  <c r="C12432" i="2"/>
  <c r="D12431" i="2"/>
  <c r="C12431" i="2"/>
  <c r="D12430" i="2"/>
  <c r="C12430" i="2"/>
  <c r="D12429" i="2"/>
  <c r="C12429" i="2"/>
  <c r="D12428" i="2"/>
  <c r="C12428" i="2"/>
  <c r="D12427" i="2"/>
  <c r="C12427" i="2"/>
  <c r="D12426" i="2"/>
  <c r="C12426" i="2"/>
  <c r="D12425" i="2"/>
  <c r="C12425" i="2"/>
  <c r="D12424" i="2"/>
  <c r="C12424" i="2"/>
  <c r="D12423" i="2"/>
  <c r="C12423" i="2"/>
  <c r="D12422" i="2"/>
  <c r="C12422" i="2"/>
  <c r="D12421" i="2"/>
  <c r="C12421" i="2"/>
  <c r="D12420" i="2"/>
  <c r="C12420" i="2"/>
  <c r="D12419" i="2"/>
  <c r="C12419" i="2"/>
  <c r="D12418" i="2"/>
  <c r="C12418" i="2"/>
  <c r="D12417" i="2"/>
  <c r="C12417" i="2"/>
  <c r="D12416" i="2"/>
  <c r="C12416" i="2"/>
  <c r="D12415" i="2"/>
  <c r="C12415" i="2"/>
  <c r="D12414" i="2"/>
  <c r="C12414" i="2"/>
  <c r="D12413" i="2"/>
  <c r="C12413" i="2"/>
  <c r="D12412" i="2"/>
  <c r="C12412" i="2"/>
  <c r="D12411" i="2"/>
  <c r="C12411" i="2"/>
  <c r="D12410" i="2"/>
  <c r="C12410" i="2"/>
  <c r="D12409" i="2"/>
  <c r="C12409" i="2"/>
  <c r="D12408" i="2"/>
  <c r="C12408" i="2"/>
  <c r="D12407" i="2"/>
  <c r="C12407" i="2"/>
  <c r="D12406" i="2"/>
  <c r="C12406" i="2"/>
  <c r="D12405" i="2"/>
  <c r="C12405" i="2"/>
  <c r="D12404" i="2"/>
  <c r="C12404" i="2"/>
  <c r="D12403" i="2"/>
  <c r="C12403" i="2"/>
  <c r="D12402" i="2"/>
  <c r="C12402" i="2"/>
  <c r="D12401" i="2"/>
  <c r="C12401" i="2"/>
  <c r="D12400" i="2"/>
  <c r="C12400" i="2"/>
  <c r="D12399" i="2"/>
  <c r="C12399" i="2"/>
  <c r="D12398" i="2"/>
  <c r="C12398" i="2"/>
  <c r="D12397" i="2"/>
  <c r="C12397" i="2"/>
  <c r="D12396" i="2"/>
  <c r="C12396" i="2"/>
  <c r="D12395" i="2"/>
  <c r="C12395" i="2"/>
  <c r="D12394" i="2"/>
  <c r="C12394" i="2"/>
  <c r="D12393" i="2"/>
  <c r="C12393" i="2"/>
  <c r="D12392" i="2"/>
  <c r="C12392" i="2"/>
  <c r="D12391" i="2"/>
  <c r="C12391" i="2"/>
  <c r="D12390" i="2"/>
  <c r="C12390" i="2"/>
  <c r="D12389" i="2"/>
  <c r="C12389" i="2"/>
  <c r="D12388" i="2"/>
  <c r="C12388" i="2"/>
  <c r="D12387" i="2"/>
  <c r="C12387" i="2"/>
  <c r="D12386" i="2"/>
  <c r="C12386" i="2"/>
  <c r="D12385" i="2"/>
  <c r="C12385" i="2"/>
  <c r="D12384" i="2"/>
  <c r="C12384" i="2"/>
  <c r="D12383" i="2"/>
  <c r="C12383" i="2"/>
  <c r="D12382" i="2"/>
  <c r="C12382" i="2"/>
  <c r="D12381" i="2"/>
  <c r="C12381" i="2"/>
  <c r="D12380" i="2"/>
  <c r="C12380" i="2"/>
  <c r="D12379" i="2"/>
  <c r="C12379" i="2"/>
  <c r="D12378" i="2"/>
  <c r="C12378" i="2"/>
  <c r="D12377" i="2"/>
  <c r="C12377" i="2"/>
  <c r="D12376" i="2"/>
  <c r="C12376" i="2"/>
  <c r="D12375" i="2"/>
  <c r="C12375" i="2"/>
  <c r="D12374" i="2"/>
  <c r="C12374" i="2"/>
  <c r="D12373" i="2"/>
  <c r="C12373" i="2"/>
  <c r="D12372" i="2"/>
  <c r="C12372" i="2"/>
  <c r="D12371" i="2"/>
  <c r="C12371" i="2"/>
  <c r="D12370" i="2"/>
  <c r="C12370" i="2"/>
  <c r="D12369" i="2"/>
  <c r="C12369" i="2"/>
  <c r="D12368" i="2"/>
  <c r="C12368" i="2"/>
  <c r="D12367" i="2"/>
  <c r="C12367" i="2"/>
  <c r="D12366" i="2"/>
  <c r="C12366" i="2"/>
  <c r="D12365" i="2"/>
  <c r="C12365" i="2"/>
  <c r="D12364" i="2"/>
  <c r="C12364" i="2"/>
  <c r="D12363" i="2"/>
  <c r="C12363" i="2"/>
  <c r="D12362" i="2"/>
  <c r="C12362" i="2"/>
  <c r="D12361" i="2"/>
  <c r="C12361" i="2"/>
  <c r="D12360" i="2"/>
  <c r="C12360" i="2"/>
  <c r="D12359" i="2"/>
  <c r="C12359" i="2"/>
  <c r="D12358" i="2"/>
  <c r="C12358" i="2"/>
  <c r="D12357" i="2"/>
  <c r="C12357" i="2"/>
  <c r="D12356" i="2"/>
  <c r="C12356" i="2"/>
  <c r="D12355" i="2"/>
  <c r="C12355" i="2"/>
  <c r="D12354" i="2"/>
  <c r="C12354" i="2"/>
  <c r="D12353" i="2"/>
  <c r="C12353" i="2"/>
  <c r="D12352" i="2"/>
  <c r="C12352" i="2"/>
  <c r="D12351" i="2"/>
  <c r="C12351" i="2"/>
  <c r="D12350" i="2"/>
  <c r="C12350" i="2"/>
  <c r="D12349" i="2"/>
  <c r="C12349" i="2"/>
  <c r="D12348" i="2"/>
  <c r="C12348" i="2"/>
  <c r="D12347" i="2"/>
  <c r="C12347" i="2"/>
  <c r="D12346" i="2"/>
  <c r="C12346" i="2"/>
  <c r="D12345" i="2"/>
  <c r="C12345" i="2"/>
  <c r="D12344" i="2"/>
  <c r="C12344" i="2"/>
  <c r="D12343" i="2"/>
  <c r="C12343" i="2"/>
  <c r="D12342" i="2"/>
  <c r="C12342" i="2"/>
  <c r="D12341" i="2"/>
  <c r="C12341" i="2"/>
  <c r="D12340" i="2"/>
  <c r="C12340" i="2"/>
  <c r="D12339" i="2"/>
  <c r="C12339" i="2"/>
  <c r="D12338" i="2"/>
  <c r="C12338" i="2"/>
  <c r="D12337" i="2"/>
  <c r="C12337" i="2"/>
  <c r="D12336" i="2"/>
  <c r="C12336" i="2"/>
  <c r="D12335" i="2"/>
  <c r="C12335" i="2"/>
  <c r="D12334" i="2"/>
  <c r="C12334" i="2"/>
  <c r="D12333" i="2"/>
  <c r="C12333" i="2"/>
  <c r="D12332" i="2"/>
  <c r="C12332" i="2"/>
  <c r="D12331" i="2"/>
  <c r="C12331" i="2"/>
  <c r="D12330" i="2"/>
  <c r="C12330" i="2"/>
  <c r="D12329" i="2"/>
  <c r="C12329" i="2"/>
  <c r="D12328" i="2"/>
  <c r="C12328" i="2"/>
  <c r="D12327" i="2"/>
  <c r="C12327" i="2"/>
  <c r="D12326" i="2"/>
  <c r="C12326" i="2"/>
  <c r="D12325" i="2"/>
  <c r="C12325" i="2"/>
  <c r="D12324" i="2"/>
  <c r="C12324" i="2"/>
  <c r="D12323" i="2"/>
  <c r="C12323" i="2"/>
  <c r="D12322" i="2"/>
  <c r="C12322" i="2"/>
  <c r="D12321" i="2"/>
  <c r="C12321" i="2"/>
  <c r="D12320" i="2"/>
  <c r="C12320" i="2"/>
  <c r="D12319" i="2"/>
  <c r="C12319" i="2"/>
  <c r="D12318" i="2"/>
  <c r="C12318" i="2"/>
  <c r="D12317" i="2"/>
  <c r="C12317" i="2"/>
  <c r="D12316" i="2"/>
  <c r="C12316" i="2"/>
  <c r="D12315" i="2"/>
  <c r="C12315" i="2"/>
  <c r="D12314" i="2"/>
  <c r="C12314" i="2"/>
  <c r="D12313" i="2"/>
  <c r="C12313" i="2"/>
  <c r="D12312" i="2"/>
  <c r="C12312" i="2"/>
  <c r="D12311" i="2"/>
  <c r="C12311" i="2"/>
  <c r="D12310" i="2"/>
  <c r="C12310" i="2"/>
  <c r="D12309" i="2"/>
  <c r="C12309" i="2"/>
  <c r="D12308" i="2"/>
  <c r="C12308" i="2"/>
  <c r="D12307" i="2"/>
  <c r="C12307" i="2"/>
  <c r="D12306" i="2"/>
  <c r="C12306" i="2"/>
  <c r="D12305" i="2"/>
  <c r="C12305" i="2"/>
  <c r="D12304" i="2"/>
  <c r="C12304" i="2"/>
  <c r="D12303" i="2"/>
  <c r="C12303" i="2"/>
  <c r="D12302" i="2"/>
  <c r="C12302" i="2"/>
  <c r="D12301" i="2"/>
  <c r="C12301" i="2"/>
  <c r="D12300" i="2"/>
  <c r="C12300" i="2"/>
  <c r="D12299" i="2"/>
  <c r="C12299" i="2"/>
  <c r="D12298" i="2"/>
  <c r="C12298" i="2"/>
  <c r="D12297" i="2"/>
  <c r="C12297" i="2"/>
  <c r="D12296" i="2"/>
  <c r="C12296" i="2"/>
  <c r="D12295" i="2"/>
  <c r="C12295" i="2"/>
  <c r="D12294" i="2"/>
  <c r="C12294" i="2"/>
  <c r="D12293" i="2"/>
  <c r="C12293" i="2"/>
  <c r="D12292" i="2"/>
  <c r="C12292" i="2"/>
  <c r="D12291" i="2"/>
  <c r="C12291" i="2"/>
  <c r="D12290" i="2"/>
  <c r="C12290" i="2"/>
  <c r="D12289" i="2"/>
  <c r="C12289" i="2"/>
  <c r="D12288" i="2"/>
  <c r="C12288" i="2"/>
  <c r="D12287" i="2"/>
  <c r="C12287" i="2"/>
  <c r="D12286" i="2"/>
  <c r="C12286" i="2"/>
  <c r="D12285" i="2"/>
  <c r="C12285" i="2"/>
  <c r="D12284" i="2"/>
  <c r="C12284" i="2"/>
  <c r="D12283" i="2"/>
  <c r="C12283" i="2"/>
  <c r="D12282" i="2"/>
  <c r="C12282" i="2"/>
  <c r="D12281" i="2"/>
  <c r="C12281" i="2"/>
  <c r="D12280" i="2"/>
  <c r="C12280" i="2"/>
  <c r="D12279" i="2"/>
  <c r="C12279" i="2"/>
  <c r="D12278" i="2"/>
  <c r="C12278" i="2"/>
  <c r="D12277" i="2"/>
  <c r="C12277" i="2"/>
  <c r="D12276" i="2"/>
  <c r="C12276" i="2"/>
  <c r="D12275" i="2"/>
  <c r="C12275" i="2"/>
  <c r="D12274" i="2"/>
  <c r="C12274" i="2"/>
  <c r="D12273" i="2"/>
  <c r="C12273" i="2"/>
  <c r="D12272" i="2"/>
  <c r="C12272" i="2"/>
  <c r="D12271" i="2"/>
  <c r="C12271" i="2"/>
  <c r="D12270" i="2"/>
  <c r="C12270" i="2"/>
  <c r="D12269" i="2"/>
  <c r="C12269" i="2"/>
  <c r="D12268" i="2"/>
  <c r="C12268" i="2"/>
  <c r="D12267" i="2"/>
  <c r="C12267" i="2"/>
  <c r="D12266" i="2"/>
  <c r="C12266" i="2"/>
  <c r="D12265" i="2"/>
  <c r="C12265" i="2"/>
  <c r="D12264" i="2"/>
  <c r="C12264" i="2"/>
  <c r="D12263" i="2"/>
  <c r="C12263" i="2"/>
  <c r="D12262" i="2"/>
  <c r="C12262" i="2"/>
  <c r="D12261" i="2"/>
  <c r="C12261" i="2"/>
  <c r="D12260" i="2"/>
  <c r="C12260" i="2"/>
  <c r="D12259" i="2"/>
  <c r="C12259" i="2"/>
  <c r="D12258" i="2"/>
  <c r="C12258" i="2"/>
  <c r="D12257" i="2"/>
  <c r="C12257" i="2"/>
  <c r="D12256" i="2"/>
  <c r="C12256" i="2"/>
  <c r="D12255" i="2"/>
  <c r="C12255" i="2"/>
  <c r="D12254" i="2"/>
  <c r="C12254" i="2"/>
  <c r="D12253" i="2"/>
  <c r="C12253" i="2"/>
  <c r="D12252" i="2"/>
  <c r="C12252" i="2"/>
  <c r="D12251" i="2"/>
  <c r="C12251" i="2"/>
  <c r="D12250" i="2"/>
  <c r="C12250" i="2"/>
  <c r="D12249" i="2"/>
  <c r="C12249" i="2"/>
  <c r="D12248" i="2"/>
  <c r="C12248" i="2"/>
  <c r="D12247" i="2"/>
  <c r="C12247" i="2"/>
  <c r="D12246" i="2"/>
  <c r="C12246" i="2"/>
  <c r="D12245" i="2"/>
  <c r="C12245" i="2"/>
  <c r="D12244" i="2"/>
  <c r="C12244" i="2"/>
  <c r="D12243" i="2"/>
  <c r="C12243" i="2"/>
  <c r="D12242" i="2"/>
  <c r="C12242" i="2"/>
  <c r="D12241" i="2"/>
  <c r="C12241" i="2"/>
  <c r="D12240" i="2"/>
  <c r="C12240" i="2"/>
  <c r="D12239" i="2"/>
  <c r="C12239" i="2"/>
  <c r="D12238" i="2"/>
  <c r="C12238" i="2"/>
  <c r="D12237" i="2"/>
  <c r="C12237" i="2"/>
  <c r="D12236" i="2"/>
  <c r="C12236" i="2"/>
  <c r="D12235" i="2"/>
  <c r="C12235" i="2"/>
  <c r="D12234" i="2"/>
  <c r="C12234" i="2"/>
  <c r="D12233" i="2"/>
  <c r="C12233" i="2"/>
  <c r="D12232" i="2"/>
  <c r="C12232" i="2"/>
  <c r="D12231" i="2"/>
  <c r="C12231" i="2"/>
  <c r="D12230" i="2"/>
  <c r="C12230" i="2"/>
  <c r="D12229" i="2"/>
  <c r="C12229" i="2"/>
  <c r="D12228" i="2"/>
  <c r="C12228" i="2"/>
  <c r="D12227" i="2"/>
  <c r="C12227" i="2"/>
  <c r="D12226" i="2"/>
  <c r="C12226" i="2"/>
  <c r="D12225" i="2"/>
  <c r="C12225" i="2"/>
  <c r="D12224" i="2"/>
  <c r="C12224" i="2"/>
  <c r="D12223" i="2"/>
  <c r="C12223" i="2"/>
  <c r="D12222" i="2"/>
  <c r="C12222" i="2"/>
  <c r="D12221" i="2"/>
  <c r="C12221" i="2"/>
  <c r="D12220" i="2"/>
  <c r="C12220" i="2"/>
  <c r="D12219" i="2"/>
  <c r="C12219" i="2"/>
  <c r="D12218" i="2"/>
  <c r="C12218" i="2"/>
  <c r="D12217" i="2"/>
  <c r="C12217" i="2"/>
  <c r="D12216" i="2"/>
  <c r="C12216" i="2"/>
  <c r="D12215" i="2"/>
  <c r="C12215" i="2"/>
  <c r="D12214" i="2"/>
  <c r="C12214" i="2"/>
  <c r="D12213" i="2"/>
  <c r="C12213" i="2"/>
  <c r="D12212" i="2"/>
  <c r="C12212" i="2"/>
  <c r="D12211" i="2"/>
  <c r="C12211" i="2"/>
  <c r="D12210" i="2"/>
  <c r="C12210" i="2"/>
  <c r="D12209" i="2"/>
  <c r="C12209" i="2"/>
  <c r="D12208" i="2"/>
  <c r="C12208" i="2"/>
  <c r="D12207" i="2"/>
  <c r="C12207" i="2"/>
  <c r="D12206" i="2"/>
  <c r="C12206" i="2"/>
  <c r="D12205" i="2"/>
  <c r="C12205" i="2"/>
  <c r="D12204" i="2"/>
  <c r="C12204" i="2"/>
  <c r="D12203" i="2"/>
  <c r="C12203" i="2"/>
  <c r="D12202" i="2"/>
  <c r="C12202" i="2"/>
  <c r="D12201" i="2"/>
  <c r="C12201" i="2"/>
  <c r="D12200" i="2"/>
  <c r="C12200" i="2"/>
  <c r="D12199" i="2"/>
  <c r="C12199" i="2"/>
  <c r="D12198" i="2"/>
  <c r="C12198" i="2"/>
  <c r="D12197" i="2"/>
  <c r="C12197" i="2"/>
  <c r="D12196" i="2"/>
  <c r="C12196" i="2"/>
  <c r="D12195" i="2"/>
  <c r="C12195" i="2"/>
  <c r="D12194" i="2"/>
  <c r="C12194" i="2"/>
  <c r="D12193" i="2"/>
  <c r="C12193" i="2"/>
  <c r="D12192" i="2"/>
  <c r="C12192" i="2"/>
  <c r="D12191" i="2"/>
  <c r="C12191" i="2"/>
  <c r="D12190" i="2"/>
  <c r="C12190" i="2"/>
  <c r="D12189" i="2"/>
  <c r="C12189" i="2"/>
  <c r="D12188" i="2"/>
  <c r="C12188" i="2"/>
  <c r="D12187" i="2"/>
  <c r="C12187" i="2"/>
  <c r="D12186" i="2"/>
  <c r="C12186" i="2"/>
  <c r="D12185" i="2"/>
  <c r="C12185" i="2"/>
  <c r="D12184" i="2"/>
  <c r="C12184" i="2"/>
  <c r="D12183" i="2"/>
  <c r="C12183" i="2"/>
  <c r="D12182" i="2"/>
  <c r="C12182" i="2"/>
  <c r="D12181" i="2"/>
  <c r="C12181" i="2"/>
  <c r="D12180" i="2"/>
  <c r="C12180" i="2"/>
  <c r="D12179" i="2"/>
  <c r="C12179" i="2"/>
  <c r="D12178" i="2"/>
  <c r="C12178" i="2"/>
  <c r="D12177" i="2"/>
  <c r="C12177" i="2"/>
  <c r="D12176" i="2"/>
  <c r="C12176" i="2"/>
  <c r="D12175" i="2"/>
  <c r="C12175" i="2"/>
  <c r="D12174" i="2"/>
  <c r="C12174" i="2"/>
  <c r="D12173" i="2"/>
  <c r="C12173" i="2"/>
  <c r="D12172" i="2"/>
  <c r="C12172" i="2"/>
  <c r="D12171" i="2"/>
  <c r="C12171" i="2"/>
  <c r="D12170" i="2"/>
  <c r="C12170" i="2"/>
  <c r="D12169" i="2"/>
  <c r="C12169" i="2"/>
  <c r="D12168" i="2"/>
  <c r="C12168" i="2"/>
  <c r="D12167" i="2"/>
  <c r="C12167" i="2"/>
  <c r="D12166" i="2"/>
  <c r="C12166" i="2"/>
  <c r="D12165" i="2"/>
  <c r="C12165" i="2"/>
  <c r="D12164" i="2"/>
  <c r="C12164" i="2"/>
  <c r="D12163" i="2"/>
  <c r="C12163" i="2"/>
  <c r="D12162" i="2"/>
  <c r="C12162" i="2"/>
  <c r="D12161" i="2"/>
  <c r="C12161" i="2"/>
  <c r="D12160" i="2"/>
  <c r="C12160" i="2"/>
  <c r="D12159" i="2"/>
  <c r="C12159" i="2"/>
  <c r="D12158" i="2"/>
  <c r="C12158" i="2"/>
  <c r="D12157" i="2"/>
  <c r="C12157" i="2"/>
  <c r="D12156" i="2"/>
  <c r="C12156" i="2"/>
  <c r="D12155" i="2"/>
  <c r="C12155" i="2"/>
  <c r="D12154" i="2"/>
  <c r="C12154" i="2"/>
  <c r="D12153" i="2"/>
  <c r="C12153" i="2"/>
  <c r="D12152" i="2"/>
  <c r="C12152" i="2"/>
  <c r="D12151" i="2"/>
  <c r="C12151" i="2"/>
  <c r="D12150" i="2"/>
  <c r="C12150" i="2"/>
  <c r="D12149" i="2"/>
  <c r="C12149" i="2"/>
  <c r="D12148" i="2"/>
  <c r="C12148" i="2"/>
  <c r="D12147" i="2"/>
  <c r="C12147" i="2"/>
  <c r="D12146" i="2"/>
  <c r="C12146" i="2"/>
  <c r="D12145" i="2"/>
  <c r="C12145" i="2"/>
  <c r="D12144" i="2"/>
  <c r="C12144" i="2"/>
  <c r="D12143" i="2"/>
  <c r="C12143" i="2"/>
  <c r="D12142" i="2"/>
  <c r="C12142" i="2"/>
  <c r="D12141" i="2"/>
  <c r="C12141" i="2"/>
  <c r="D12140" i="2"/>
  <c r="C12140" i="2"/>
  <c r="D12139" i="2"/>
  <c r="C12139" i="2"/>
  <c r="D12138" i="2"/>
  <c r="C12138" i="2"/>
  <c r="D12137" i="2"/>
  <c r="C12137" i="2"/>
  <c r="D12136" i="2"/>
  <c r="C12136" i="2"/>
  <c r="D12135" i="2"/>
  <c r="C12135" i="2"/>
  <c r="D12134" i="2"/>
  <c r="C12134" i="2"/>
  <c r="D12133" i="2"/>
  <c r="C12133" i="2"/>
  <c r="D12132" i="2"/>
  <c r="C12132" i="2"/>
  <c r="D12131" i="2"/>
  <c r="C12131" i="2"/>
  <c r="D12130" i="2"/>
  <c r="C12130" i="2"/>
  <c r="D12129" i="2"/>
  <c r="C12129" i="2"/>
  <c r="D12128" i="2"/>
  <c r="C12128" i="2"/>
  <c r="D12127" i="2"/>
  <c r="C12127" i="2"/>
  <c r="D12126" i="2"/>
  <c r="C12126" i="2"/>
  <c r="D12125" i="2"/>
  <c r="C12125" i="2"/>
  <c r="D12124" i="2"/>
  <c r="C12124" i="2"/>
  <c r="D12123" i="2"/>
  <c r="C12123" i="2"/>
  <c r="D12122" i="2"/>
  <c r="C12122" i="2"/>
  <c r="D12121" i="2"/>
  <c r="C12121" i="2"/>
  <c r="D12120" i="2"/>
  <c r="C12120" i="2"/>
  <c r="D12119" i="2"/>
  <c r="C12119" i="2"/>
  <c r="D12118" i="2"/>
  <c r="C12118" i="2"/>
  <c r="D12117" i="2"/>
  <c r="C12117" i="2"/>
  <c r="D12116" i="2"/>
  <c r="C12116" i="2"/>
  <c r="D12115" i="2"/>
  <c r="C12115" i="2"/>
  <c r="D12114" i="2"/>
  <c r="C12114" i="2"/>
  <c r="D12113" i="2"/>
  <c r="C12113" i="2"/>
  <c r="D12112" i="2"/>
  <c r="C12112" i="2"/>
  <c r="D12111" i="2"/>
  <c r="C12111" i="2"/>
  <c r="D12110" i="2"/>
  <c r="C12110" i="2"/>
  <c r="D12109" i="2"/>
  <c r="C12109" i="2"/>
  <c r="D12108" i="2"/>
  <c r="C12108" i="2"/>
  <c r="D12107" i="2"/>
  <c r="C12107" i="2"/>
  <c r="D12106" i="2"/>
  <c r="C12106" i="2"/>
  <c r="D12105" i="2"/>
  <c r="C12105" i="2"/>
  <c r="D12104" i="2"/>
  <c r="C12104" i="2"/>
  <c r="D12103" i="2"/>
  <c r="C12103" i="2"/>
  <c r="D12102" i="2"/>
  <c r="C12102" i="2"/>
  <c r="D12101" i="2"/>
  <c r="C12101" i="2"/>
  <c r="D12100" i="2"/>
  <c r="C12100" i="2"/>
  <c r="D12099" i="2"/>
  <c r="C12099" i="2"/>
  <c r="D12098" i="2"/>
  <c r="C12098" i="2"/>
  <c r="D12097" i="2"/>
  <c r="C12097" i="2"/>
  <c r="D12096" i="2"/>
  <c r="C12096" i="2"/>
  <c r="D12095" i="2"/>
  <c r="C12095" i="2"/>
  <c r="D12094" i="2"/>
  <c r="C12094" i="2"/>
  <c r="D12093" i="2"/>
  <c r="C12093" i="2"/>
  <c r="D12092" i="2"/>
  <c r="C12092" i="2"/>
  <c r="D12091" i="2"/>
  <c r="C12091" i="2"/>
  <c r="D12090" i="2"/>
  <c r="C12090" i="2"/>
  <c r="D12089" i="2"/>
  <c r="C12089" i="2"/>
  <c r="D12088" i="2"/>
  <c r="C12088" i="2"/>
  <c r="D12087" i="2"/>
  <c r="C12087" i="2"/>
  <c r="D12086" i="2"/>
  <c r="C12086" i="2"/>
  <c r="D12085" i="2"/>
  <c r="C12085" i="2"/>
  <c r="D12084" i="2"/>
  <c r="C12084" i="2"/>
  <c r="D12083" i="2"/>
  <c r="C12083" i="2"/>
  <c r="D12082" i="2"/>
  <c r="C12082" i="2"/>
  <c r="D12081" i="2"/>
  <c r="C12081" i="2"/>
  <c r="D12080" i="2"/>
  <c r="C12080" i="2"/>
  <c r="D12079" i="2"/>
  <c r="C12079" i="2"/>
  <c r="D12078" i="2"/>
  <c r="C12078" i="2"/>
  <c r="D12077" i="2"/>
  <c r="C12077" i="2"/>
  <c r="D12076" i="2"/>
  <c r="C12076" i="2"/>
  <c r="D12075" i="2"/>
  <c r="C12075" i="2"/>
  <c r="D12074" i="2"/>
  <c r="C12074" i="2"/>
  <c r="D12073" i="2"/>
  <c r="C12073" i="2"/>
  <c r="D12072" i="2"/>
  <c r="C12072" i="2"/>
  <c r="D12071" i="2"/>
  <c r="C12071" i="2"/>
  <c r="D12070" i="2"/>
  <c r="C12070" i="2"/>
  <c r="D12069" i="2"/>
  <c r="C12069" i="2"/>
  <c r="D12068" i="2"/>
  <c r="C12068" i="2"/>
  <c r="D12067" i="2"/>
  <c r="C12067" i="2"/>
  <c r="D12066" i="2"/>
  <c r="C12066" i="2"/>
  <c r="D12065" i="2"/>
  <c r="C12065" i="2"/>
  <c r="D12064" i="2"/>
  <c r="C12064" i="2"/>
  <c r="D12063" i="2"/>
  <c r="C12063" i="2"/>
  <c r="D12062" i="2"/>
  <c r="C12062" i="2"/>
  <c r="D12061" i="2"/>
  <c r="C12061" i="2"/>
  <c r="D12060" i="2"/>
  <c r="C12060" i="2"/>
  <c r="D12059" i="2"/>
  <c r="C12059" i="2"/>
  <c r="D12058" i="2"/>
  <c r="C12058" i="2"/>
  <c r="D12057" i="2"/>
  <c r="C12057" i="2"/>
  <c r="D12056" i="2"/>
  <c r="C12056" i="2"/>
  <c r="D12055" i="2"/>
  <c r="C12055" i="2"/>
  <c r="D12054" i="2"/>
  <c r="C12054" i="2"/>
  <c r="D12053" i="2"/>
  <c r="C12053" i="2"/>
  <c r="D12052" i="2"/>
  <c r="C12052" i="2"/>
  <c r="D12051" i="2"/>
  <c r="C12051" i="2"/>
  <c r="D12050" i="2"/>
  <c r="C12050" i="2"/>
  <c r="D12049" i="2"/>
  <c r="C12049" i="2"/>
  <c r="D12048" i="2"/>
  <c r="C12048" i="2"/>
  <c r="D12047" i="2"/>
  <c r="C12047" i="2"/>
  <c r="D12046" i="2"/>
  <c r="C12046" i="2"/>
  <c r="D12045" i="2"/>
  <c r="C12045" i="2"/>
  <c r="D12044" i="2"/>
  <c r="C12044" i="2"/>
  <c r="D12043" i="2"/>
  <c r="C12043" i="2"/>
  <c r="D12042" i="2"/>
  <c r="C12042" i="2"/>
  <c r="D12041" i="2"/>
  <c r="C12041" i="2"/>
  <c r="D12040" i="2"/>
  <c r="C12040" i="2"/>
  <c r="D12039" i="2"/>
  <c r="C12039" i="2"/>
  <c r="D12038" i="2"/>
  <c r="C12038" i="2"/>
  <c r="D12037" i="2"/>
  <c r="C12037" i="2"/>
  <c r="D12036" i="2"/>
  <c r="C12036" i="2"/>
  <c r="D12035" i="2"/>
  <c r="C12035" i="2"/>
  <c r="D12034" i="2"/>
  <c r="C12034" i="2"/>
  <c r="D12033" i="2"/>
  <c r="C12033" i="2"/>
  <c r="D12032" i="2"/>
  <c r="C12032" i="2"/>
  <c r="D12031" i="2"/>
  <c r="C12031" i="2"/>
  <c r="D12030" i="2"/>
  <c r="C12030" i="2"/>
  <c r="D12029" i="2"/>
  <c r="C12029" i="2"/>
  <c r="D12028" i="2"/>
  <c r="C12028" i="2"/>
  <c r="D12027" i="2"/>
  <c r="C12027" i="2"/>
  <c r="D12026" i="2"/>
  <c r="C12026" i="2"/>
  <c r="D12025" i="2"/>
  <c r="C12025" i="2"/>
  <c r="D12024" i="2"/>
  <c r="C12024" i="2"/>
  <c r="D12023" i="2"/>
  <c r="C12023" i="2"/>
  <c r="D12022" i="2"/>
  <c r="C12022" i="2"/>
  <c r="D12021" i="2"/>
  <c r="C12021" i="2"/>
  <c r="D12020" i="2"/>
  <c r="C12020" i="2"/>
  <c r="D12019" i="2"/>
  <c r="C12019" i="2"/>
  <c r="D12018" i="2"/>
  <c r="C12018" i="2"/>
  <c r="D12017" i="2"/>
  <c r="C12017" i="2"/>
  <c r="D12016" i="2"/>
  <c r="C12016" i="2"/>
  <c r="D12015" i="2"/>
  <c r="C12015" i="2"/>
  <c r="D12014" i="2"/>
  <c r="C12014" i="2"/>
  <c r="D12013" i="2"/>
  <c r="C12013" i="2"/>
  <c r="D12012" i="2"/>
  <c r="C12012" i="2"/>
  <c r="D12011" i="2"/>
  <c r="C12011" i="2"/>
  <c r="D12010" i="2"/>
  <c r="C12010" i="2"/>
  <c r="D12009" i="2"/>
  <c r="C12009" i="2"/>
  <c r="D12008" i="2"/>
  <c r="C12008" i="2"/>
  <c r="D12007" i="2"/>
  <c r="C12007" i="2"/>
  <c r="D12006" i="2"/>
  <c r="C12006" i="2"/>
  <c r="D12005" i="2"/>
  <c r="C12005" i="2"/>
  <c r="D12004" i="2"/>
  <c r="C12004" i="2"/>
  <c r="D12003" i="2"/>
  <c r="C12003" i="2"/>
  <c r="D12002" i="2"/>
  <c r="C12002" i="2"/>
  <c r="D12001" i="2"/>
  <c r="C12001" i="2"/>
  <c r="D12000" i="2"/>
  <c r="C12000" i="2"/>
  <c r="D11999" i="2"/>
  <c r="C11999" i="2"/>
  <c r="D11998" i="2"/>
  <c r="C11998" i="2"/>
  <c r="D11997" i="2"/>
  <c r="C11997" i="2"/>
  <c r="D11996" i="2"/>
  <c r="C11996" i="2"/>
  <c r="D11995" i="2"/>
  <c r="C11995" i="2"/>
  <c r="D11994" i="2"/>
  <c r="C11994" i="2"/>
  <c r="D11993" i="2"/>
  <c r="C11993" i="2"/>
  <c r="D11992" i="2"/>
  <c r="C11992" i="2"/>
  <c r="D11991" i="2"/>
  <c r="C11991" i="2"/>
  <c r="D11990" i="2"/>
  <c r="C11990" i="2"/>
  <c r="D11989" i="2"/>
  <c r="C11989" i="2"/>
  <c r="D11988" i="2"/>
  <c r="C11988" i="2"/>
  <c r="D11987" i="2"/>
  <c r="C11987" i="2"/>
  <c r="D11986" i="2"/>
  <c r="C11986" i="2"/>
  <c r="D11985" i="2"/>
  <c r="C11985" i="2"/>
  <c r="D11984" i="2"/>
  <c r="C11984" i="2"/>
  <c r="D11983" i="2"/>
  <c r="C11983" i="2"/>
  <c r="D11982" i="2"/>
  <c r="C11982" i="2"/>
  <c r="D11981" i="2"/>
  <c r="C11981" i="2"/>
  <c r="D11980" i="2"/>
  <c r="C11980" i="2"/>
  <c r="D11979" i="2"/>
  <c r="C11979" i="2"/>
  <c r="D11978" i="2"/>
  <c r="C11978" i="2"/>
  <c r="D11977" i="2"/>
  <c r="C11977" i="2"/>
  <c r="D11976" i="2"/>
  <c r="C11976" i="2"/>
  <c r="D11975" i="2"/>
  <c r="C11975" i="2"/>
  <c r="D11974" i="2"/>
  <c r="C11974" i="2"/>
  <c r="D11973" i="2"/>
  <c r="C11973" i="2"/>
  <c r="D11972" i="2"/>
  <c r="C11972" i="2"/>
  <c r="D11971" i="2"/>
  <c r="C11971" i="2"/>
  <c r="D11970" i="2"/>
  <c r="C11970" i="2"/>
  <c r="D11969" i="2"/>
  <c r="C11969" i="2"/>
  <c r="D11968" i="2"/>
  <c r="C11968" i="2"/>
  <c r="D11967" i="2"/>
  <c r="C11967" i="2"/>
  <c r="D11966" i="2"/>
  <c r="C11966" i="2"/>
  <c r="D11965" i="2"/>
  <c r="C11965" i="2"/>
  <c r="D11964" i="2"/>
  <c r="C11964" i="2"/>
  <c r="D11963" i="2"/>
  <c r="C11963" i="2"/>
  <c r="D11962" i="2"/>
  <c r="C11962" i="2"/>
  <c r="D11961" i="2"/>
  <c r="C11961" i="2"/>
  <c r="D11960" i="2"/>
  <c r="C11960" i="2"/>
  <c r="D11959" i="2"/>
  <c r="C11959" i="2"/>
  <c r="D11958" i="2"/>
  <c r="C11958" i="2"/>
  <c r="D11957" i="2"/>
  <c r="C11957" i="2"/>
  <c r="D11956" i="2"/>
  <c r="C11956" i="2"/>
  <c r="D11955" i="2"/>
  <c r="C11955" i="2"/>
  <c r="D11954" i="2"/>
  <c r="C11954" i="2"/>
  <c r="D11953" i="2"/>
  <c r="C11953" i="2"/>
  <c r="D11952" i="2"/>
  <c r="C11952" i="2"/>
  <c r="D11951" i="2"/>
  <c r="C11951" i="2"/>
  <c r="D11950" i="2"/>
  <c r="C11950" i="2"/>
  <c r="D11949" i="2"/>
  <c r="C11949" i="2"/>
  <c r="D11948" i="2"/>
  <c r="C11948" i="2"/>
  <c r="D11947" i="2"/>
  <c r="C11947" i="2"/>
  <c r="D11946" i="2"/>
  <c r="C11946" i="2"/>
  <c r="D11945" i="2"/>
  <c r="C11945" i="2"/>
  <c r="D11944" i="2"/>
  <c r="C11944" i="2"/>
  <c r="D11943" i="2"/>
  <c r="C11943" i="2"/>
  <c r="D11942" i="2"/>
  <c r="C11942" i="2"/>
  <c r="D11941" i="2"/>
  <c r="C11941" i="2"/>
  <c r="D11940" i="2"/>
  <c r="C11940" i="2"/>
  <c r="D11939" i="2"/>
  <c r="C11939" i="2"/>
  <c r="D11938" i="2"/>
  <c r="C11938" i="2"/>
  <c r="D11937" i="2"/>
  <c r="C11937" i="2"/>
  <c r="D11936" i="2"/>
  <c r="C11936" i="2"/>
  <c r="D11935" i="2"/>
  <c r="C11935" i="2"/>
  <c r="D11934" i="2"/>
  <c r="C11934" i="2"/>
  <c r="D11933" i="2"/>
  <c r="C11933" i="2"/>
  <c r="D11932" i="2"/>
  <c r="C11932" i="2"/>
  <c r="D11931" i="2"/>
  <c r="C11931" i="2"/>
  <c r="D11930" i="2"/>
  <c r="C11930" i="2"/>
  <c r="D11929" i="2"/>
  <c r="C11929" i="2"/>
  <c r="D11928" i="2"/>
  <c r="C11928" i="2"/>
  <c r="D11927" i="2"/>
  <c r="C11927" i="2"/>
  <c r="D11926" i="2"/>
  <c r="C11926" i="2"/>
  <c r="D11925" i="2"/>
  <c r="C11925" i="2"/>
  <c r="D11924" i="2"/>
  <c r="C11924" i="2"/>
  <c r="D11923" i="2"/>
  <c r="C11923" i="2"/>
  <c r="D11922" i="2"/>
  <c r="C11922" i="2"/>
  <c r="D11921" i="2"/>
  <c r="C11921" i="2"/>
  <c r="D11920" i="2"/>
  <c r="C11920" i="2"/>
  <c r="D11919" i="2"/>
  <c r="C11919" i="2"/>
  <c r="D11918" i="2"/>
  <c r="C11918" i="2"/>
  <c r="D11917" i="2"/>
  <c r="C11917" i="2"/>
  <c r="D11916" i="2"/>
  <c r="C11916" i="2"/>
  <c r="D11915" i="2"/>
  <c r="C11915" i="2"/>
  <c r="D11914" i="2"/>
  <c r="C11914" i="2"/>
  <c r="D11913" i="2"/>
  <c r="C11913" i="2"/>
  <c r="D11912" i="2"/>
  <c r="C11912" i="2"/>
  <c r="D11911" i="2"/>
  <c r="C11911" i="2"/>
  <c r="D11910" i="2"/>
  <c r="C11910" i="2"/>
  <c r="D11909" i="2"/>
  <c r="C11909" i="2"/>
  <c r="D11908" i="2"/>
  <c r="C11908" i="2"/>
  <c r="D11907" i="2"/>
  <c r="C11907" i="2"/>
  <c r="D11906" i="2"/>
  <c r="C11906" i="2"/>
  <c r="D11905" i="2"/>
  <c r="C11905" i="2"/>
  <c r="D11904" i="2"/>
  <c r="C11904" i="2"/>
  <c r="D11903" i="2"/>
  <c r="C11903" i="2"/>
  <c r="D11902" i="2"/>
  <c r="C11902" i="2"/>
  <c r="D11901" i="2"/>
  <c r="C11901" i="2"/>
  <c r="D11900" i="2"/>
  <c r="C11900" i="2"/>
  <c r="D11899" i="2"/>
  <c r="C11899" i="2"/>
  <c r="D11898" i="2"/>
  <c r="C11898" i="2"/>
  <c r="D11897" i="2"/>
  <c r="C11897" i="2"/>
  <c r="D11896" i="2"/>
  <c r="C11896" i="2"/>
  <c r="D11895" i="2"/>
  <c r="C11895" i="2"/>
  <c r="D11894" i="2"/>
  <c r="C11894" i="2"/>
  <c r="D11893" i="2"/>
  <c r="C11893" i="2"/>
  <c r="D11892" i="2"/>
  <c r="C11892" i="2"/>
  <c r="D11891" i="2"/>
  <c r="C11891" i="2"/>
  <c r="D11890" i="2"/>
  <c r="C11890" i="2"/>
  <c r="D11889" i="2"/>
  <c r="C11889" i="2"/>
  <c r="D11888" i="2"/>
  <c r="C11888" i="2"/>
  <c r="D11887" i="2"/>
  <c r="C11887" i="2"/>
  <c r="D11886" i="2"/>
  <c r="C11886" i="2"/>
  <c r="D11885" i="2"/>
  <c r="C11885" i="2"/>
  <c r="D11884" i="2"/>
  <c r="C11884" i="2"/>
  <c r="D11883" i="2"/>
  <c r="C11883" i="2"/>
  <c r="D11882" i="2"/>
  <c r="C11882" i="2"/>
  <c r="D11881" i="2"/>
  <c r="C11881" i="2"/>
  <c r="D11880" i="2"/>
  <c r="C11880" i="2"/>
  <c r="D11879" i="2"/>
  <c r="C11879" i="2"/>
  <c r="D11878" i="2"/>
  <c r="C11878" i="2"/>
  <c r="D11877" i="2"/>
  <c r="C11877" i="2"/>
  <c r="D11876" i="2"/>
  <c r="C11876" i="2"/>
  <c r="D11875" i="2"/>
  <c r="C11875" i="2"/>
  <c r="D11874" i="2"/>
  <c r="C11874" i="2"/>
  <c r="D11873" i="2"/>
  <c r="C11873" i="2"/>
  <c r="D11872" i="2"/>
  <c r="C11872" i="2"/>
  <c r="D11871" i="2"/>
  <c r="C11871" i="2"/>
  <c r="D11870" i="2"/>
  <c r="C11870" i="2"/>
  <c r="D11869" i="2"/>
  <c r="C11869" i="2"/>
  <c r="D11868" i="2"/>
  <c r="C11868" i="2"/>
  <c r="D11867" i="2"/>
  <c r="C11867" i="2"/>
  <c r="D11866" i="2"/>
  <c r="C11866" i="2"/>
  <c r="D11865" i="2"/>
  <c r="C11865" i="2"/>
  <c r="D11864" i="2"/>
  <c r="C11864" i="2"/>
  <c r="D11863" i="2"/>
  <c r="C11863" i="2"/>
  <c r="D11862" i="2"/>
  <c r="C11862" i="2"/>
  <c r="D11861" i="2"/>
  <c r="C11861" i="2"/>
  <c r="D11860" i="2"/>
  <c r="C11860" i="2"/>
  <c r="D11859" i="2"/>
  <c r="C11859" i="2"/>
  <c r="D11858" i="2"/>
  <c r="C11858" i="2"/>
  <c r="D11857" i="2"/>
  <c r="C11857" i="2"/>
  <c r="D11856" i="2"/>
  <c r="C11856" i="2"/>
  <c r="D11855" i="2"/>
  <c r="C11855" i="2"/>
  <c r="D11854" i="2"/>
  <c r="C11854" i="2"/>
  <c r="D11853" i="2"/>
  <c r="C11853" i="2"/>
  <c r="D11852" i="2"/>
  <c r="C11852" i="2"/>
  <c r="D11851" i="2"/>
  <c r="C11851" i="2"/>
  <c r="D11850" i="2"/>
  <c r="C11850" i="2"/>
  <c r="D11849" i="2"/>
  <c r="C11849" i="2"/>
  <c r="D11848" i="2"/>
  <c r="C11848" i="2"/>
  <c r="D11847" i="2"/>
  <c r="C11847" i="2"/>
  <c r="D11846" i="2"/>
  <c r="C11846" i="2"/>
  <c r="D11845" i="2"/>
  <c r="C11845" i="2"/>
  <c r="D11844" i="2"/>
  <c r="C11844" i="2"/>
  <c r="D11843" i="2"/>
  <c r="C11843" i="2"/>
  <c r="D11842" i="2"/>
  <c r="C11842" i="2"/>
  <c r="D11841" i="2"/>
  <c r="C11841" i="2"/>
  <c r="D11840" i="2"/>
  <c r="C11840" i="2"/>
  <c r="D11839" i="2"/>
  <c r="C11839" i="2"/>
  <c r="D11838" i="2"/>
  <c r="C11838" i="2"/>
  <c r="D11837" i="2"/>
  <c r="C11837" i="2"/>
  <c r="D11836" i="2"/>
  <c r="C11836" i="2"/>
  <c r="D11835" i="2"/>
  <c r="C11835" i="2"/>
  <c r="D11834" i="2"/>
  <c r="C11834" i="2"/>
  <c r="D11833" i="2"/>
  <c r="C11833" i="2"/>
  <c r="D11832" i="2"/>
  <c r="C11832" i="2"/>
  <c r="D11831" i="2"/>
  <c r="C11831" i="2"/>
  <c r="D11830" i="2"/>
  <c r="C11830" i="2"/>
  <c r="D11829" i="2"/>
  <c r="C11829" i="2"/>
  <c r="D11828" i="2"/>
  <c r="C11828" i="2"/>
  <c r="D11827" i="2"/>
  <c r="C11827" i="2"/>
  <c r="D11826" i="2"/>
  <c r="C11826" i="2"/>
  <c r="D11825" i="2"/>
  <c r="C11825" i="2"/>
  <c r="D11824" i="2"/>
  <c r="C11824" i="2"/>
  <c r="D11823" i="2"/>
  <c r="C11823" i="2"/>
  <c r="D11822" i="2"/>
  <c r="C11822" i="2"/>
  <c r="D11821" i="2"/>
  <c r="C11821" i="2"/>
  <c r="D11820" i="2"/>
  <c r="C11820" i="2"/>
  <c r="D11819" i="2"/>
  <c r="C11819" i="2"/>
  <c r="D11818" i="2"/>
  <c r="C11818" i="2"/>
  <c r="D11817" i="2"/>
  <c r="C11817" i="2"/>
  <c r="D11816" i="2"/>
  <c r="C11816" i="2"/>
  <c r="D11815" i="2"/>
  <c r="C11815" i="2"/>
  <c r="D11814" i="2"/>
  <c r="C11814" i="2"/>
  <c r="D11813" i="2"/>
  <c r="C11813" i="2"/>
  <c r="D11812" i="2"/>
  <c r="C11812" i="2"/>
  <c r="D11811" i="2"/>
  <c r="C11811" i="2"/>
  <c r="D11810" i="2"/>
  <c r="C11810" i="2"/>
  <c r="D11809" i="2"/>
  <c r="C11809" i="2"/>
  <c r="D11808" i="2"/>
  <c r="C11808" i="2"/>
  <c r="D11807" i="2"/>
  <c r="C11807" i="2"/>
  <c r="D11806" i="2"/>
  <c r="C11806" i="2"/>
  <c r="D11805" i="2"/>
  <c r="C11805" i="2"/>
  <c r="D11804" i="2"/>
  <c r="C11804" i="2"/>
  <c r="D11803" i="2"/>
  <c r="C11803" i="2"/>
  <c r="D11802" i="2"/>
  <c r="C11802" i="2"/>
  <c r="D11801" i="2"/>
  <c r="C11801" i="2"/>
  <c r="D11800" i="2"/>
  <c r="C11800" i="2"/>
  <c r="D11799" i="2"/>
  <c r="C11799" i="2"/>
  <c r="D11798" i="2"/>
  <c r="C11798" i="2"/>
  <c r="D11797" i="2"/>
  <c r="C11797" i="2"/>
  <c r="D11796" i="2"/>
  <c r="C11796" i="2"/>
  <c r="D11795" i="2"/>
  <c r="C11795" i="2"/>
  <c r="D11794" i="2"/>
  <c r="C11794" i="2"/>
  <c r="D11793" i="2"/>
  <c r="C11793" i="2"/>
  <c r="D11792" i="2"/>
  <c r="C11792" i="2"/>
  <c r="D11791" i="2"/>
  <c r="C11791" i="2"/>
  <c r="D11790" i="2"/>
  <c r="C11790" i="2"/>
  <c r="D11789" i="2"/>
  <c r="C11789" i="2"/>
  <c r="D11788" i="2"/>
  <c r="C11788" i="2"/>
  <c r="D11787" i="2"/>
  <c r="C11787" i="2"/>
  <c r="D11786" i="2"/>
  <c r="C11786" i="2"/>
  <c r="D11785" i="2"/>
  <c r="C11785" i="2"/>
  <c r="D11784" i="2"/>
  <c r="C11784" i="2"/>
  <c r="D11783" i="2"/>
  <c r="C11783" i="2"/>
  <c r="D11782" i="2"/>
  <c r="C11782" i="2"/>
  <c r="D11781" i="2"/>
  <c r="C11781" i="2"/>
  <c r="D11780" i="2"/>
  <c r="C11780" i="2"/>
  <c r="D11779" i="2"/>
  <c r="C11779" i="2"/>
  <c r="D11778" i="2"/>
  <c r="C11778" i="2"/>
  <c r="D11777" i="2"/>
  <c r="C11777" i="2"/>
  <c r="D11776" i="2"/>
  <c r="C11776" i="2"/>
  <c r="D11775" i="2"/>
  <c r="C11775" i="2"/>
  <c r="D11774" i="2"/>
  <c r="C11774" i="2"/>
  <c r="D11773" i="2"/>
  <c r="C11773" i="2"/>
  <c r="D11772" i="2"/>
  <c r="C11772" i="2"/>
  <c r="D11771" i="2"/>
  <c r="C11771" i="2"/>
  <c r="D11770" i="2"/>
  <c r="C11770" i="2"/>
  <c r="D11769" i="2"/>
  <c r="C11769" i="2"/>
  <c r="D11768" i="2"/>
  <c r="C11768" i="2"/>
  <c r="D11767" i="2"/>
  <c r="C11767" i="2"/>
  <c r="D11766" i="2"/>
  <c r="C11766" i="2"/>
  <c r="D11765" i="2"/>
  <c r="C11765" i="2"/>
  <c r="D11764" i="2"/>
  <c r="C11764" i="2"/>
  <c r="D11763" i="2"/>
  <c r="C11763" i="2"/>
  <c r="D11762" i="2"/>
  <c r="C11762" i="2"/>
  <c r="D11761" i="2"/>
  <c r="C11761" i="2"/>
  <c r="D11760" i="2"/>
  <c r="C11760" i="2"/>
  <c r="D11759" i="2"/>
  <c r="C11759" i="2"/>
  <c r="D11758" i="2"/>
  <c r="C11758" i="2"/>
  <c r="D11757" i="2"/>
  <c r="C11757" i="2"/>
  <c r="D11756" i="2"/>
  <c r="C11756" i="2"/>
  <c r="D11755" i="2"/>
  <c r="C11755" i="2"/>
  <c r="D11754" i="2"/>
  <c r="C11754" i="2"/>
  <c r="D11753" i="2"/>
  <c r="C11753" i="2"/>
  <c r="D11752" i="2"/>
  <c r="C11752" i="2"/>
  <c r="D11751" i="2"/>
  <c r="C11751" i="2"/>
  <c r="D11750" i="2"/>
  <c r="C11750" i="2"/>
  <c r="D11749" i="2"/>
  <c r="C11749" i="2"/>
  <c r="D11748" i="2"/>
  <c r="C11748" i="2"/>
  <c r="D11747" i="2"/>
  <c r="C11747" i="2"/>
  <c r="D11746" i="2"/>
  <c r="C11746" i="2"/>
  <c r="D11745" i="2"/>
  <c r="C11745" i="2"/>
  <c r="D11744" i="2"/>
  <c r="C11744" i="2"/>
  <c r="D11743" i="2"/>
  <c r="C11743" i="2"/>
  <c r="D11742" i="2"/>
  <c r="C11742" i="2"/>
  <c r="D11741" i="2"/>
  <c r="C11741" i="2"/>
  <c r="D11740" i="2"/>
  <c r="C11740" i="2"/>
  <c r="D11739" i="2"/>
  <c r="C11739" i="2"/>
  <c r="D11738" i="2"/>
  <c r="C11738" i="2"/>
  <c r="D11737" i="2"/>
  <c r="C11737" i="2"/>
  <c r="D11736" i="2"/>
  <c r="C11736" i="2"/>
  <c r="D11735" i="2"/>
  <c r="C11735" i="2"/>
  <c r="D11734" i="2"/>
  <c r="C11734" i="2"/>
  <c r="D11733" i="2"/>
  <c r="C11733" i="2"/>
  <c r="D11732" i="2"/>
  <c r="C11732" i="2"/>
  <c r="D11731" i="2"/>
  <c r="C11731" i="2"/>
  <c r="D11730" i="2"/>
  <c r="C11730" i="2"/>
  <c r="D11729" i="2"/>
  <c r="C11729" i="2"/>
  <c r="D11728" i="2"/>
  <c r="C11728" i="2"/>
  <c r="D11727" i="2"/>
  <c r="C11727" i="2"/>
  <c r="D11726" i="2"/>
  <c r="C11726" i="2"/>
  <c r="D11725" i="2"/>
  <c r="C11725" i="2"/>
  <c r="D11724" i="2"/>
  <c r="C11724" i="2"/>
  <c r="D11723" i="2"/>
  <c r="C11723" i="2"/>
  <c r="D11722" i="2"/>
  <c r="C11722" i="2"/>
  <c r="D11721" i="2"/>
  <c r="C11721" i="2"/>
  <c r="D11720" i="2"/>
  <c r="C11720" i="2"/>
  <c r="D11719" i="2"/>
  <c r="C11719" i="2"/>
  <c r="D11718" i="2"/>
  <c r="C11718" i="2"/>
  <c r="D11717" i="2"/>
  <c r="C11717" i="2"/>
  <c r="D11716" i="2"/>
  <c r="C11716" i="2"/>
  <c r="D11715" i="2"/>
  <c r="C11715" i="2"/>
  <c r="D11714" i="2"/>
  <c r="C11714" i="2"/>
  <c r="D11713" i="2"/>
  <c r="C11713" i="2"/>
  <c r="D11712" i="2"/>
  <c r="C11712" i="2"/>
  <c r="D11711" i="2"/>
  <c r="C11711" i="2"/>
  <c r="D11710" i="2"/>
  <c r="C11710" i="2"/>
  <c r="D11709" i="2"/>
  <c r="C11709" i="2"/>
  <c r="D11708" i="2"/>
  <c r="C11708" i="2"/>
  <c r="D11707" i="2"/>
  <c r="C11707" i="2"/>
  <c r="D11706" i="2"/>
  <c r="C11706" i="2"/>
  <c r="D11705" i="2"/>
  <c r="C11705" i="2"/>
  <c r="D11704" i="2"/>
  <c r="C11704" i="2"/>
  <c r="D11703" i="2"/>
  <c r="C11703" i="2"/>
  <c r="D11702" i="2"/>
  <c r="C11702" i="2"/>
  <c r="D11701" i="2"/>
  <c r="C11701" i="2"/>
  <c r="D11700" i="2"/>
  <c r="C11700" i="2"/>
  <c r="D11699" i="2"/>
  <c r="C11699" i="2"/>
  <c r="D11698" i="2"/>
  <c r="C11698" i="2"/>
  <c r="D11697" i="2"/>
  <c r="C11697" i="2"/>
  <c r="D11696" i="2"/>
  <c r="C11696" i="2"/>
  <c r="D11695" i="2"/>
  <c r="C11695" i="2"/>
  <c r="D11694" i="2"/>
  <c r="C11694" i="2"/>
  <c r="D11693" i="2"/>
  <c r="C11693" i="2"/>
  <c r="D11692" i="2"/>
  <c r="C11692" i="2"/>
  <c r="D11691" i="2"/>
  <c r="C11691" i="2"/>
  <c r="D11690" i="2"/>
  <c r="C11690" i="2"/>
  <c r="D11689" i="2"/>
  <c r="C11689" i="2"/>
  <c r="D11688" i="2"/>
  <c r="C11688" i="2"/>
  <c r="D11687" i="2"/>
  <c r="C11687" i="2"/>
  <c r="D11686" i="2"/>
  <c r="C11686" i="2"/>
  <c r="D11685" i="2"/>
  <c r="C11685" i="2"/>
  <c r="D11684" i="2"/>
  <c r="C11684" i="2"/>
  <c r="D11683" i="2"/>
  <c r="C11683" i="2"/>
  <c r="D11682" i="2"/>
  <c r="C11682" i="2"/>
  <c r="D11681" i="2"/>
  <c r="C11681" i="2"/>
  <c r="D11680" i="2"/>
  <c r="C11680" i="2"/>
  <c r="D11679" i="2"/>
  <c r="C11679" i="2"/>
  <c r="D11678" i="2"/>
  <c r="C11678" i="2"/>
  <c r="D11677" i="2"/>
  <c r="C11677" i="2"/>
  <c r="D11676" i="2"/>
  <c r="C11676" i="2"/>
  <c r="D11675" i="2"/>
  <c r="C11675" i="2"/>
  <c r="D11674" i="2"/>
  <c r="C11674" i="2"/>
  <c r="D11673" i="2"/>
  <c r="C11673" i="2"/>
  <c r="D11672" i="2"/>
  <c r="C11672" i="2"/>
  <c r="D11671" i="2"/>
  <c r="C11671" i="2"/>
  <c r="D11670" i="2"/>
  <c r="C11670" i="2"/>
  <c r="D11669" i="2"/>
  <c r="C11669" i="2"/>
  <c r="D11668" i="2"/>
  <c r="C11668" i="2"/>
  <c r="D11667" i="2"/>
  <c r="C11667" i="2"/>
  <c r="D11666" i="2"/>
  <c r="C11666" i="2"/>
  <c r="D11665" i="2"/>
  <c r="C11665" i="2"/>
  <c r="D11664" i="2"/>
  <c r="C11664" i="2"/>
  <c r="D11663" i="2"/>
  <c r="C11663" i="2"/>
  <c r="D11662" i="2"/>
  <c r="C11662" i="2"/>
  <c r="D11661" i="2"/>
  <c r="C11661" i="2"/>
  <c r="D11660" i="2"/>
  <c r="C11660" i="2"/>
  <c r="D11659" i="2"/>
  <c r="C11659" i="2"/>
  <c r="D11658" i="2"/>
  <c r="C11658" i="2"/>
  <c r="D11657" i="2"/>
  <c r="C11657" i="2"/>
  <c r="D11656" i="2"/>
  <c r="C11656" i="2"/>
  <c r="D11655" i="2"/>
  <c r="C11655" i="2"/>
  <c r="D11654" i="2"/>
  <c r="C11654" i="2"/>
  <c r="D11653" i="2"/>
  <c r="C11653" i="2"/>
  <c r="D11652" i="2"/>
  <c r="C11652" i="2"/>
  <c r="D11651" i="2"/>
  <c r="C11651" i="2"/>
  <c r="D11650" i="2"/>
  <c r="C11650" i="2"/>
  <c r="D11649" i="2"/>
  <c r="C11649" i="2"/>
  <c r="D11639" i="2"/>
  <c r="C11639" i="2"/>
  <c r="D11638" i="2"/>
  <c r="C11638" i="2"/>
  <c r="D11637" i="2"/>
  <c r="C11637" i="2"/>
  <c r="D11636" i="2"/>
  <c r="C11636" i="2"/>
  <c r="D11635" i="2"/>
  <c r="C11635" i="2"/>
  <c r="D11634" i="2"/>
  <c r="C11634" i="2"/>
  <c r="D11633" i="2"/>
  <c r="C11633" i="2"/>
  <c r="D11632" i="2"/>
  <c r="C11632" i="2"/>
  <c r="D11631" i="2"/>
  <c r="C11631" i="2"/>
  <c r="D11630" i="2"/>
  <c r="C11630" i="2"/>
  <c r="D11629" i="2"/>
  <c r="C11629" i="2"/>
  <c r="D11628" i="2"/>
  <c r="C11628" i="2"/>
  <c r="D11627" i="2"/>
  <c r="C11627" i="2"/>
  <c r="D11626" i="2"/>
  <c r="C11626" i="2"/>
  <c r="D11625" i="2"/>
  <c r="C11625" i="2"/>
  <c r="D11624" i="2"/>
  <c r="C11624" i="2"/>
  <c r="D11623" i="2"/>
  <c r="C11623" i="2"/>
  <c r="D11622" i="2"/>
  <c r="C11622" i="2"/>
  <c r="D11621" i="2"/>
  <c r="C11621" i="2"/>
  <c r="D11620" i="2"/>
  <c r="C11620" i="2"/>
  <c r="D11619" i="2"/>
  <c r="C11619" i="2"/>
  <c r="D11618" i="2"/>
  <c r="C11618" i="2"/>
  <c r="D11617" i="2"/>
  <c r="C11617" i="2"/>
  <c r="D11616" i="2"/>
  <c r="C11616" i="2"/>
  <c r="D11615" i="2"/>
  <c r="C11615" i="2"/>
  <c r="D11614" i="2"/>
  <c r="C11614" i="2"/>
  <c r="D11613" i="2"/>
  <c r="C11613" i="2"/>
  <c r="D11612" i="2"/>
  <c r="C11612" i="2"/>
  <c r="D11611" i="2"/>
  <c r="C11611" i="2"/>
  <c r="D11610" i="2"/>
  <c r="C11610" i="2"/>
  <c r="D11609" i="2"/>
  <c r="C11609" i="2"/>
  <c r="D11608" i="2"/>
  <c r="C11608" i="2"/>
  <c r="D11607" i="2"/>
  <c r="C11607" i="2"/>
  <c r="D11606" i="2"/>
  <c r="C11606" i="2"/>
  <c r="D11605" i="2"/>
  <c r="C11605" i="2"/>
  <c r="D11604" i="2"/>
  <c r="C11604" i="2"/>
  <c r="D11603" i="2"/>
  <c r="C11603" i="2"/>
  <c r="D11602" i="2"/>
  <c r="C11602" i="2"/>
  <c r="D11601" i="2"/>
  <c r="C11601" i="2"/>
  <c r="D11600" i="2"/>
  <c r="C11600" i="2"/>
  <c r="D11599" i="2"/>
  <c r="C11599" i="2"/>
  <c r="D11598" i="2"/>
  <c r="C11598" i="2"/>
  <c r="D11597" i="2"/>
  <c r="C11597" i="2"/>
  <c r="D11596" i="2"/>
  <c r="C11596" i="2"/>
  <c r="D11595" i="2"/>
  <c r="C11595" i="2"/>
  <c r="D11594" i="2"/>
  <c r="C11594" i="2"/>
  <c r="D11593" i="2"/>
  <c r="C11593" i="2"/>
  <c r="D11592" i="2"/>
  <c r="C11592" i="2"/>
  <c r="D11591" i="2"/>
  <c r="C11591" i="2"/>
  <c r="D11590" i="2"/>
  <c r="C11590" i="2"/>
  <c r="D11589" i="2"/>
  <c r="C11589" i="2"/>
  <c r="D11588" i="2"/>
  <c r="C11588" i="2"/>
  <c r="D11587" i="2"/>
  <c r="C11587" i="2"/>
  <c r="D11586" i="2"/>
  <c r="C11586" i="2"/>
  <c r="D11585" i="2"/>
  <c r="C11585" i="2"/>
  <c r="D11584" i="2"/>
  <c r="C11584" i="2"/>
  <c r="D11583" i="2"/>
  <c r="C11583" i="2"/>
  <c r="D11582" i="2"/>
  <c r="C11582" i="2"/>
  <c r="D11581" i="2"/>
  <c r="C11581" i="2"/>
  <c r="D11580" i="2"/>
  <c r="C11580" i="2"/>
  <c r="D11579" i="2"/>
  <c r="C11579" i="2"/>
  <c r="D11578" i="2"/>
  <c r="C11578" i="2"/>
  <c r="D11577" i="2"/>
  <c r="C11577" i="2"/>
  <c r="D11576" i="2"/>
  <c r="C11576" i="2"/>
  <c r="D11575" i="2"/>
  <c r="C11575" i="2"/>
  <c r="D11574" i="2"/>
  <c r="C11574" i="2"/>
  <c r="D11573" i="2"/>
  <c r="C11573" i="2"/>
  <c r="D11572" i="2"/>
  <c r="C11572" i="2"/>
  <c r="D11571" i="2"/>
  <c r="C11571" i="2"/>
  <c r="D11570" i="2"/>
  <c r="C11570" i="2"/>
  <c r="D11569" i="2"/>
  <c r="C11569" i="2"/>
  <c r="D11568" i="2"/>
  <c r="C11568" i="2"/>
  <c r="D11567" i="2"/>
  <c r="C11567" i="2"/>
  <c r="D11566" i="2"/>
  <c r="C11566" i="2"/>
  <c r="D11565" i="2"/>
  <c r="C11565" i="2"/>
  <c r="D11564" i="2"/>
  <c r="C11564" i="2"/>
  <c r="D11563" i="2"/>
  <c r="C11563" i="2"/>
  <c r="D11562" i="2"/>
  <c r="C11562" i="2"/>
  <c r="D11561" i="2"/>
  <c r="C11561" i="2"/>
  <c r="D11560" i="2"/>
  <c r="C11560" i="2"/>
  <c r="D11559" i="2"/>
  <c r="C11559" i="2"/>
  <c r="D11558" i="2"/>
  <c r="C11558" i="2"/>
  <c r="D11557" i="2"/>
  <c r="C11557" i="2"/>
  <c r="D11556" i="2"/>
  <c r="C11556" i="2"/>
  <c r="D11555" i="2"/>
  <c r="C11555" i="2"/>
  <c r="D11554" i="2"/>
  <c r="C11554" i="2"/>
  <c r="D11553" i="2"/>
  <c r="C11553" i="2"/>
  <c r="D11552" i="2"/>
  <c r="C11552" i="2"/>
  <c r="D11551" i="2"/>
  <c r="C11551" i="2"/>
  <c r="D11550" i="2"/>
  <c r="C11550" i="2"/>
  <c r="D11549" i="2"/>
  <c r="C11549" i="2"/>
  <c r="D11548" i="2"/>
  <c r="C11548" i="2"/>
  <c r="D11547" i="2"/>
  <c r="C11547" i="2"/>
  <c r="D11546" i="2"/>
  <c r="C11546" i="2"/>
  <c r="D11545" i="2"/>
  <c r="C11545" i="2"/>
  <c r="D11544" i="2"/>
  <c r="C11544" i="2"/>
  <c r="D11543" i="2"/>
  <c r="C11543" i="2"/>
  <c r="D11542" i="2"/>
  <c r="C11542" i="2"/>
  <c r="D11541" i="2"/>
  <c r="C11541" i="2"/>
  <c r="D11540" i="2"/>
  <c r="C11540" i="2"/>
  <c r="D11539" i="2"/>
  <c r="C11539" i="2"/>
  <c r="D11538" i="2"/>
  <c r="C11538" i="2"/>
  <c r="D11537" i="2"/>
  <c r="C11537" i="2"/>
  <c r="D11536" i="2"/>
  <c r="C11536" i="2"/>
  <c r="D11535" i="2"/>
  <c r="C11535" i="2"/>
  <c r="D11534" i="2"/>
  <c r="C11534" i="2"/>
  <c r="D11533" i="2"/>
  <c r="C11533" i="2"/>
  <c r="D11532" i="2"/>
  <c r="C11532" i="2"/>
  <c r="D11531" i="2"/>
  <c r="C11531" i="2"/>
  <c r="D11530" i="2"/>
  <c r="C11530" i="2"/>
  <c r="D11529" i="2"/>
  <c r="C11529" i="2"/>
  <c r="D11528" i="2"/>
  <c r="C11528" i="2"/>
  <c r="D11527" i="2"/>
  <c r="C11527" i="2"/>
  <c r="D11526" i="2"/>
  <c r="C11526" i="2"/>
  <c r="D11525" i="2"/>
  <c r="C11525" i="2"/>
  <c r="D11524" i="2"/>
  <c r="C11524" i="2"/>
  <c r="D11523" i="2"/>
  <c r="C11523" i="2"/>
  <c r="D11522" i="2"/>
  <c r="C11522" i="2"/>
  <c r="D11521" i="2"/>
  <c r="C11521" i="2"/>
  <c r="D11520" i="2"/>
  <c r="C11520" i="2"/>
  <c r="D11519" i="2"/>
  <c r="C11519" i="2"/>
  <c r="D11518" i="2"/>
  <c r="C11518" i="2"/>
  <c r="D11517" i="2"/>
  <c r="C11517" i="2"/>
  <c r="D11516" i="2"/>
  <c r="C11516" i="2"/>
  <c r="D11515" i="2"/>
  <c r="C11515" i="2"/>
  <c r="D11514" i="2"/>
  <c r="C11514" i="2"/>
  <c r="D11513" i="2"/>
  <c r="C11513" i="2"/>
  <c r="D11512" i="2"/>
  <c r="C11512" i="2"/>
  <c r="D11511" i="2"/>
  <c r="C11511" i="2"/>
  <c r="D11510" i="2"/>
  <c r="C11510" i="2"/>
  <c r="D11509" i="2"/>
  <c r="C11509" i="2"/>
  <c r="D11508" i="2"/>
  <c r="C11508" i="2"/>
  <c r="D11507" i="2"/>
  <c r="C11507" i="2"/>
  <c r="D11506" i="2"/>
  <c r="C11506" i="2"/>
  <c r="D11505" i="2"/>
  <c r="C11505" i="2"/>
  <c r="D11504" i="2"/>
  <c r="C11504" i="2"/>
  <c r="D11503" i="2"/>
  <c r="C11503" i="2"/>
  <c r="D11502" i="2"/>
  <c r="C11502" i="2"/>
  <c r="D11501" i="2"/>
  <c r="C11501" i="2"/>
  <c r="D11500" i="2"/>
  <c r="C11500" i="2"/>
  <c r="D11499" i="2"/>
  <c r="C11499" i="2"/>
  <c r="D11498" i="2"/>
  <c r="C11498" i="2"/>
  <c r="D11497" i="2"/>
  <c r="C11497" i="2"/>
  <c r="D11496" i="2"/>
  <c r="C11496" i="2"/>
  <c r="D11495" i="2"/>
  <c r="C11495" i="2"/>
  <c r="D11494" i="2"/>
  <c r="C11494" i="2"/>
  <c r="D11493" i="2"/>
  <c r="C11493" i="2"/>
  <c r="D11492" i="2"/>
  <c r="C11492" i="2"/>
  <c r="D11491" i="2"/>
  <c r="C11491" i="2"/>
  <c r="D11490" i="2"/>
  <c r="C11490" i="2"/>
  <c r="D11489" i="2"/>
  <c r="C11489" i="2"/>
  <c r="D11488" i="2"/>
  <c r="C11488" i="2"/>
  <c r="D11487" i="2"/>
  <c r="C11487" i="2"/>
  <c r="D11486" i="2"/>
  <c r="C11486" i="2"/>
  <c r="D11485" i="2"/>
  <c r="C11485" i="2"/>
  <c r="D11484" i="2"/>
  <c r="C11484" i="2"/>
  <c r="D11483" i="2"/>
  <c r="C11483" i="2"/>
  <c r="D11482" i="2"/>
  <c r="C11482" i="2"/>
  <c r="D11481" i="2"/>
  <c r="C11481" i="2"/>
  <c r="D11480" i="2"/>
  <c r="C11480" i="2"/>
  <c r="D11479" i="2"/>
  <c r="C11479" i="2"/>
  <c r="D11478" i="2"/>
  <c r="C11478" i="2"/>
  <c r="D11477" i="2"/>
  <c r="C11477" i="2"/>
  <c r="D11476" i="2"/>
  <c r="C11476" i="2"/>
  <c r="D11475" i="2"/>
  <c r="C11475" i="2"/>
  <c r="D11474" i="2"/>
  <c r="C11474" i="2"/>
  <c r="D11473" i="2"/>
  <c r="C11473" i="2"/>
  <c r="D11472" i="2"/>
  <c r="C11472" i="2"/>
  <c r="D11471" i="2"/>
  <c r="C11471" i="2"/>
  <c r="D11470" i="2"/>
  <c r="C11470" i="2"/>
  <c r="D11469" i="2"/>
  <c r="C11469" i="2"/>
  <c r="D11468" i="2"/>
  <c r="C11468" i="2"/>
  <c r="D11467" i="2"/>
  <c r="C11467" i="2"/>
  <c r="D11466" i="2"/>
  <c r="C11466" i="2"/>
  <c r="D11465" i="2"/>
  <c r="C11465" i="2"/>
  <c r="D11464" i="2"/>
  <c r="C11464" i="2"/>
  <c r="D11463" i="2"/>
  <c r="C11463" i="2"/>
  <c r="D11462" i="2"/>
  <c r="C11462" i="2"/>
  <c r="D11461" i="2"/>
  <c r="C11461" i="2"/>
  <c r="D11460" i="2"/>
  <c r="C11460" i="2"/>
  <c r="D11459" i="2"/>
  <c r="C11459" i="2"/>
  <c r="D11458" i="2"/>
  <c r="C11458" i="2"/>
  <c r="D11457" i="2"/>
  <c r="C11457" i="2"/>
  <c r="D11456" i="2"/>
  <c r="C11456" i="2"/>
  <c r="D11455" i="2"/>
  <c r="C11455" i="2"/>
  <c r="D11454" i="2"/>
  <c r="C11454" i="2"/>
  <c r="D11453" i="2"/>
  <c r="C11453" i="2"/>
  <c r="D11452" i="2"/>
  <c r="C11452" i="2"/>
  <c r="D11451" i="2"/>
  <c r="C11451" i="2"/>
  <c r="D11450" i="2"/>
  <c r="C11450" i="2"/>
  <c r="D11449" i="2"/>
  <c r="C11449" i="2"/>
  <c r="D11448" i="2"/>
  <c r="C11448" i="2"/>
  <c r="D11447" i="2"/>
  <c r="C11447" i="2"/>
  <c r="D11446" i="2"/>
  <c r="C11446" i="2"/>
  <c r="D11445" i="2"/>
  <c r="C11445" i="2"/>
  <c r="D11444" i="2"/>
  <c r="C11444" i="2"/>
  <c r="D11443" i="2"/>
  <c r="C11443" i="2"/>
  <c r="D11442" i="2"/>
  <c r="C11442" i="2"/>
  <c r="D11441" i="2"/>
  <c r="C11441" i="2"/>
  <c r="D11440" i="2"/>
  <c r="C11440" i="2"/>
  <c r="D11439" i="2"/>
  <c r="C11439" i="2"/>
  <c r="D11438" i="2"/>
  <c r="C11438" i="2"/>
  <c r="D11437" i="2"/>
  <c r="C11437" i="2"/>
  <c r="D11436" i="2"/>
  <c r="C11436" i="2"/>
  <c r="D11435" i="2"/>
  <c r="C11435" i="2"/>
  <c r="D11434" i="2"/>
  <c r="C11434" i="2"/>
  <c r="D11433" i="2"/>
  <c r="C11433" i="2"/>
  <c r="D11432" i="2"/>
  <c r="C11432" i="2"/>
  <c r="D11431" i="2"/>
  <c r="C11431" i="2"/>
  <c r="D11430" i="2"/>
  <c r="C11430" i="2"/>
  <c r="D11429" i="2"/>
  <c r="C11429" i="2"/>
  <c r="D11428" i="2"/>
  <c r="C11428" i="2"/>
  <c r="D11427" i="2"/>
  <c r="C11427" i="2"/>
  <c r="D11426" i="2"/>
  <c r="C11426" i="2"/>
  <c r="D11425" i="2"/>
  <c r="C11425" i="2"/>
  <c r="D11424" i="2"/>
  <c r="C11424" i="2"/>
  <c r="D11423" i="2"/>
  <c r="C11423" i="2"/>
  <c r="D11422" i="2"/>
  <c r="C11422" i="2"/>
  <c r="D11421" i="2"/>
  <c r="C11421" i="2"/>
  <c r="D11420" i="2"/>
  <c r="C11420" i="2"/>
  <c r="D11419" i="2"/>
  <c r="C11419" i="2"/>
  <c r="D11418" i="2"/>
  <c r="C11418" i="2"/>
  <c r="D11417" i="2"/>
  <c r="C11417" i="2"/>
  <c r="D11416" i="2"/>
  <c r="C11416" i="2"/>
  <c r="D11415" i="2"/>
  <c r="C11415" i="2"/>
  <c r="D11414" i="2"/>
  <c r="C11414" i="2"/>
  <c r="D11413" i="2"/>
  <c r="C11413" i="2"/>
  <c r="D11412" i="2"/>
  <c r="C11412" i="2"/>
  <c r="D11411" i="2"/>
  <c r="C11411" i="2"/>
  <c r="D11410" i="2"/>
  <c r="C11410" i="2"/>
  <c r="D11409" i="2"/>
  <c r="C11409" i="2"/>
  <c r="D11408" i="2"/>
  <c r="C11408" i="2"/>
  <c r="D11407" i="2"/>
  <c r="C11407" i="2"/>
  <c r="D11406" i="2"/>
  <c r="C11406" i="2"/>
  <c r="D11405" i="2"/>
  <c r="C11405" i="2"/>
  <c r="D11404" i="2"/>
  <c r="C11404" i="2"/>
  <c r="D11403" i="2"/>
  <c r="C11403" i="2"/>
  <c r="D11402" i="2"/>
  <c r="C11402" i="2"/>
  <c r="D11401" i="2"/>
  <c r="C11401" i="2"/>
  <c r="D11400" i="2"/>
  <c r="C11400" i="2"/>
  <c r="D11399" i="2"/>
  <c r="C11399" i="2"/>
  <c r="D11398" i="2"/>
  <c r="C11398" i="2"/>
  <c r="D11397" i="2"/>
  <c r="C11397" i="2"/>
  <c r="D11396" i="2"/>
  <c r="C11396" i="2"/>
  <c r="D11395" i="2"/>
  <c r="C11395" i="2"/>
  <c r="D11394" i="2"/>
  <c r="C11394" i="2"/>
  <c r="D11393" i="2"/>
  <c r="C11393" i="2"/>
  <c r="D11392" i="2"/>
  <c r="C11392" i="2"/>
  <c r="D11391" i="2"/>
  <c r="C11391" i="2"/>
  <c r="D11390" i="2"/>
  <c r="C11390" i="2"/>
  <c r="D11389" i="2"/>
  <c r="C11389" i="2"/>
  <c r="D11388" i="2"/>
  <c r="C11388" i="2"/>
  <c r="D11387" i="2"/>
  <c r="C11387" i="2"/>
  <c r="D11386" i="2"/>
  <c r="C11386" i="2"/>
  <c r="D11385" i="2"/>
  <c r="C11385" i="2"/>
  <c r="D11384" i="2"/>
  <c r="C11384" i="2"/>
  <c r="D11383" i="2"/>
  <c r="C11383" i="2"/>
  <c r="D11382" i="2"/>
  <c r="C11382" i="2"/>
  <c r="D11381" i="2"/>
  <c r="C11381" i="2"/>
  <c r="D11380" i="2"/>
  <c r="C11380" i="2"/>
  <c r="D11379" i="2"/>
  <c r="C11379" i="2"/>
  <c r="D11378" i="2"/>
  <c r="C11378" i="2"/>
  <c r="D11377" i="2"/>
  <c r="C11377" i="2"/>
  <c r="D11376" i="2"/>
  <c r="C11376" i="2"/>
  <c r="D11375" i="2"/>
  <c r="C11375" i="2"/>
  <c r="D11374" i="2"/>
  <c r="C11374" i="2"/>
  <c r="D11373" i="2"/>
  <c r="C11373" i="2"/>
  <c r="D11372" i="2"/>
  <c r="C11372" i="2"/>
  <c r="D11371" i="2"/>
  <c r="C11371" i="2"/>
  <c r="D11370" i="2"/>
  <c r="C11370" i="2"/>
  <c r="D11369" i="2"/>
  <c r="C11369" i="2"/>
  <c r="D11368" i="2"/>
  <c r="C11368" i="2"/>
  <c r="D11367" i="2"/>
  <c r="C11367" i="2"/>
  <c r="D11366" i="2"/>
  <c r="C11366" i="2"/>
  <c r="D11365" i="2"/>
  <c r="C11365" i="2"/>
  <c r="D11364" i="2"/>
  <c r="C11364" i="2"/>
  <c r="D11363" i="2"/>
  <c r="C11363" i="2"/>
  <c r="D11362" i="2"/>
  <c r="C11362" i="2"/>
  <c r="D11361" i="2"/>
  <c r="C11361" i="2"/>
  <c r="D11360" i="2"/>
  <c r="C11360" i="2"/>
  <c r="D11359" i="2"/>
  <c r="C11359" i="2"/>
  <c r="D11358" i="2"/>
  <c r="C11358" i="2"/>
  <c r="D11357" i="2"/>
  <c r="C11357" i="2"/>
  <c r="D11356" i="2"/>
  <c r="C11356" i="2"/>
  <c r="D11355" i="2"/>
  <c r="C11355" i="2"/>
  <c r="D11354" i="2"/>
  <c r="C11354" i="2"/>
  <c r="D11353" i="2"/>
  <c r="C11353" i="2"/>
  <c r="D11352" i="2"/>
  <c r="C11352" i="2"/>
  <c r="D11351" i="2"/>
  <c r="C11351" i="2"/>
  <c r="D11350" i="2"/>
  <c r="C11350" i="2"/>
  <c r="D11349" i="2"/>
  <c r="C11349" i="2"/>
  <c r="D11348" i="2"/>
  <c r="C11348" i="2"/>
  <c r="D11347" i="2"/>
  <c r="C11347" i="2"/>
  <c r="D11346" i="2"/>
  <c r="C11346" i="2"/>
  <c r="D11345" i="2"/>
  <c r="C11345" i="2"/>
  <c r="D11344" i="2"/>
  <c r="C11344" i="2"/>
  <c r="D11343" i="2"/>
  <c r="C11343" i="2"/>
  <c r="D11342" i="2"/>
  <c r="C11342" i="2"/>
  <c r="D11341" i="2"/>
  <c r="C11341" i="2"/>
  <c r="D11340" i="2"/>
  <c r="C11340" i="2"/>
  <c r="D11339" i="2"/>
  <c r="C11339" i="2"/>
  <c r="D11338" i="2"/>
  <c r="C11338" i="2"/>
  <c r="D11337" i="2"/>
  <c r="C11337" i="2"/>
  <c r="D11336" i="2"/>
  <c r="C11336" i="2"/>
  <c r="D11335" i="2"/>
  <c r="C11335" i="2"/>
  <c r="D11334" i="2"/>
  <c r="C11334" i="2"/>
  <c r="D11333" i="2"/>
  <c r="C11333" i="2"/>
  <c r="D11332" i="2"/>
  <c r="C11332" i="2"/>
  <c r="D11331" i="2"/>
  <c r="C11331" i="2"/>
  <c r="D11330" i="2"/>
  <c r="C11330" i="2"/>
  <c r="D11329" i="2"/>
  <c r="C11329" i="2"/>
  <c r="D11328" i="2"/>
  <c r="C11328" i="2"/>
  <c r="D11327" i="2"/>
  <c r="C11327" i="2"/>
  <c r="D11326" i="2"/>
  <c r="C11326" i="2"/>
  <c r="D11325" i="2"/>
  <c r="C11325" i="2"/>
  <c r="D11324" i="2"/>
  <c r="C11324" i="2"/>
  <c r="D11323" i="2"/>
  <c r="C11323" i="2"/>
  <c r="D11322" i="2"/>
  <c r="C11322" i="2"/>
  <c r="D11321" i="2"/>
  <c r="C11321" i="2"/>
  <c r="D11320" i="2"/>
  <c r="C11320" i="2"/>
  <c r="D11319" i="2"/>
  <c r="C11319" i="2"/>
  <c r="D11318" i="2"/>
  <c r="C11318" i="2"/>
  <c r="D11317" i="2"/>
  <c r="C11317" i="2"/>
  <c r="D11316" i="2"/>
  <c r="C11316" i="2"/>
  <c r="D11315" i="2"/>
  <c r="C11315" i="2"/>
  <c r="D11314" i="2"/>
  <c r="C11314" i="2"/>
  <c r="D11313" i="2"/>
  <c r="C11313" i="2"/>
  <c r="D11312" i="2"/>
  <c r="C11312" i="2"/>
  <c r="D11311" i="2"/>
  <c r="C11311" i="2"/>
  <c r="D11310" i="2"/>
  <c r="C11310" i="2"/>
  <c r="D11309" i="2"/>
  <c r="C11309" i="2"/>
  <c r="D11308" i="2"/>
  <c r="C11308" i="2"/>
  <c r="D11307" i="2"/>
  <c r="C11307" i="2"/>
  <c r="D11306" i="2"/>
  <c r="C11306" i="2"/>
  <c r="D11305" i="2"/>
  <c r="C11305" i="2"/>
  <c r="D11304" i="2"/>
  <c r="C11304" i="2"/>
  <c r="D11303" i="2"/>
  <c r="C11303" i="2"/>
  <c r="D11302" i="2"/>
  <c r="C11302" i="2"/>
  <c r="D11301" i="2"/>
  <c r="C11301" i="2"/>
  <c r="D11300" i="2"/>
  <c r="C11300" i="2"/>
  <c r="D11299" i="2"/>
  <c r="C11299" i="2"/>
  <c r="D11298" i="2"/>
  <c r="C11298" i="2"/>
  <c r="D11297" i="2"/>
  <c r="C11297" i="2"/>
  <c r="D11296" i="2"/>
  <c r="C11296" i="2"/>
  <c r="D11295" i="2"/>
  <c r="C11295" i="2"/>
  <c r="D11294" i="2"/>
  <c r="C11294" i="2"/>
  <c r="D11293" i="2"/>
  <c r="C11293" i="2"/>
  <c r="D11292" i="2"/>
  <c r="C11292" i="2"/>
  <c r="D11291" i="2"/>
  <c r="C11291" i="2"/>
  <c r="D11290" i="2"/>
  <c r="C11290" i="2"/>
  <c r="D11289" i="2"/>
  <c r="C11289" i="2"/>
  <c r="D11288" i="2"/>
  <c r="C11288" i="2"/>
  <c r="D11287" i="2"/>
  <c r="C11287" i="2"/>
  <c r="D11286" i="2"/>
  <c r="C11286" i="2"/>
  <c r="D11285" i="2"/>
  <c r="C11285" i="2"/>
  <c r="D11284" i="2"/>
  <c r="C11284" i="2"/>
  <c r="D11283" i="2"/>
  <c r="C11283" i="2"/>
  <c r="D11282" i="2"/>
  <c r="C11282" i="2"/>
  <c r="D11281" i="2"/>
  <c r="C11281" i="2"/>
  <c r="D11280" i="2"/>
  <c r="C11280" i="2"/>
  <c r="D11279" i="2"/>
  <c r="C11279" i="2"/>
  <c r="D11278" i="2"/>
  <c r="C11278" i="2"/>
  <c r="D11277" i="2"/>
  <c r="C11277" i="2"/>
  <c r="D11276" i="2"/>
  <c r="C11276" i="2"/>
  <c r="D11275" i="2"/>
  <c r="C11275" i="2"/>
  <c r="D11274" i="2"/>
  <c r="C11274" i="2"/>
  <c r="D11273" i="2"/>
  <c r="C11273" i="2"/>
  <c r="D11272" i="2"/>
  <c r="C11272" i="2"/>
  <c r="D11271" i="2"/>
  <c r="C11271" i="2"/>
  <c r="D11270" i="2"/>
  <c r="C11270" i="2"/>
  <c r="D11269" i="2"/>
  <c r="C11269" i="2"/>
  <c r="D11268" i="2"/>
  <c r="C11268" i="2"/>
  <c r="D11267" i="2"/>
  <c r="C11267" i="2"/>
  <c r="D11266" i="2"/>
  <c r="C11266" i="2"/>
  <c r="D11265" i="2"/>
  <c r="C11265" i="2"/>
  <c r="D11264" i="2"/>
  <c r="C11264" i="2"/>
  <c r="D11263" i="2"/>
  <c r="C11263" i="2"/>
  <c r="D11262" i="2"/>
  <c r="C11262" i="2"/>
  <c r="D11261" i="2"/>
  <c r="C11261" i="2"/>
  <c r="D11260" i="2"/>
  <c r="C11260" i="2"/>
  <c r="D11259" i="2"/>
  <c r="C11259" i="2"/>
  <c r="D11258" i="2"/>
  <c r="C11258" i="2"/>
  <c r="D11257" i="2"/>
  <c r="C11257" i="2"/>
  <c r="D11256" i="2"/>
  <c r="C11256" i="2"/>
  <c r="D11255" i="2"/>
  <c r="C11255" i="2"/>
  <c r="D11254" i="2"/>
  <c r="C11254" i="2"/>
  <c r="D11253" i="2"/>
  <c r="C11253" i="2"/>
  <c r="D11252" i="2"/>
  <c r="C11252" i="2"/>
  <c r="D11251" i="2"/>
  <c r="C11251" i="2"/>
  <c r="D11250" i="2"/>
  <c r="C11250" i="2"/>
  <c r="D11249" i="2"/>
  <c r="C11249" i="2"/>
  <c r="D11248" i="2"/>
  <c r="C11248" i="2"/>
  <c r="D11247" i="2"/>
  <c r="C11247" i="2"/>
  <c r="D11246" i="2"/>
  <c r="C11246" i="2"/>
  <c r="D11245" i="2"/>
  <c r="C11245" i="2"/>
  <c r="D11244" i="2"/>
  <c r="C11244" i="2"/>
  <c r="D11243" i="2"/>
  <c r="C11243" i="2"/>
  <c r="D11242" i="2"/>
  <c r="C11242" i="2"/>
  <c r="D11241" i="2"/>
  <c r="C11241" i="2"/>
  <c r="D11240" i="2"/>
  <c r="C11240" i="2"/>
  <c r="D11239" i="2"/>
  <c r="C11239" i="2"/>
  <c r="D11238" i="2"/>
  <c r="C11238" i="2"/>
  <c r="D11237" i="2"/>
  <c r="C11237" i="2"/>
  <c r="D11236" i="2"/>
  <c r="C11236" i="2"/>
  <c r="D11235" i="2"/>
  <c r="C11235" i="2"/>
  <c r="D11234" i="2"/>
  <c r="C11234" i="2"/>
  <c r="D11233" i="2"/>
  <c r="C11233" i="2"/>
  <c r="D11232" i="2"/>
  <c r="C11232" i="2"/>
  <c r="D11231" i="2"/>
  <c r="C11231" i="2"/>
  <c r="D11230" i="2"/>
  <c r="C11230" i="2"/>
  <c r="D11229" i="2"/>
  <c r="C11229" i="2"/>
  <c r="D11228" i="2"/>
  <c r="C11228" i="2"/>
  <c r="D11227" i="2"/>
  <c r="C11227" i="2"/>
  <c r="D11226" i="2"/>
  <c r="C11226" i="2"/>
  <c r="D11225" i="2"/>
  <c r="C11225" i="2"/>
  <c r="D11224" i="2"/>
  <c r="C11224" i="2"/>
  <c r="D11223" i="2"/>
  <c r="C11223" i="2"/>
  <c r="D11222" i="2"/>
  <c r="C11222" i="2"/>
  <c r="D11221" i="2"/>
  <c r="C11221" i="2"/>
  <c r="D11220" i="2"/>
  <c r="C11220" i="2"/>
  <c r="D11219" i="2"/>
  <c r="C11219" i="2"/>
  <c r="D11218" i="2"/>
  <c r="C11218" i="2"/>
  <c r="D11217" i="2"/>
  <c r="C11217" i="2"/>
  <c r="D11216" i="2"/>
  <c r="C11216" i="2"/>
  <c r="D11215" i="2"/>
  <c r="C11215" i="2"/>
  <c r="D11214" i="2"/>
  <c r="C11214" i="2"/>
  <c r="D11213" i="2"/>
  <c r="C11213" i="2"/>
  <c r="D11212" i="2"/>
  <c r="C11212" i="2"/>
  <c r="D11211" i="2"/>
  <c r="C11211" i="2"/>
  <c r="D11210" i="2"/>
  <c r="C11210" i="2"/>
  <c r="D11209" i="2"/>
  <c r="C11209" i="2"/>
  <c r="D11208" i="2"/>
  <c r="C11208" i="2"/>
  <c r="D11207" i="2"/>
  <c r="C11207" i="2"/>
  <c r="D11206" i="2"/>
  <c r="C11206" i="2"/>
  <c r="D11205" i="2"/>
  <c r="C11205" i="2"/>
  <c r="D11204" i="2"/>
  <c r="C11204" i="2"/>
  <c r="D11203" i="2"/>
  <c r="C11203" i="2"/>
  <c r="D11202" i="2"/>
  <c r="C11202" i="2"/>
  <c r="D11201" i="2"/>
  <c r="C11201" i="2"/>
  <c r="D11200" i="2"/>
  <c r="C11200" i="2"/>
  <c r="D11199" i="2"/>
  <c r="C11199" i="2"/>
  <c r="D11198" i="2"/>
  <c r="C11198" i="2"/>
  <c r="D11197" i="2"/>
  <c r="C11197" i="2"/>
  <c r="D11196" i="2"/>
  <c r="C11196" i="2"/>
  <c r="D11195" i="2"/>
  <c r="C11195" i="2"/>
  <c r="D11194" i="2"/>
  <c r="C11194" i="2"/>
  <c r="D11193" i="2"/>
  <c r="C11193" i="2"/>
  <c r="D11192" i="2"/>
  <c r="C11192" i="2"/>
  <c r="D11191" i="2"/>
  <c r="C11191" i="2"/>
  <c r="D11190" i="2"/>
  <c r="C11190" i="2"/>
  <c r="D11189" i="2"/>
  <c r="C11189" i="2"/>
  <c r="D11188" i="2"/>
  <c r="C11188" i="2"/>
  <c r="D11187" i="2"/>
  <c r="C11187" i="2"/>
  <c r="D11186" i="2"/>
  <c r="C11186" i="2"/>
  <c r="D11185" i="2"/>
  <c r="C11185" i="2"/>
  <c r="D11184" i="2"/>
  <c r="C11184" i="2"/>
  <c r="D11183" i="2"/>
  <c r="C11183" i="2"/>
  <c r="D11182" i="2"/>
  <c r="C11182" i="2"/>
  <c r="D11181" i="2"/>
  <c r="C11181" i="2"/>
  <c r="D11180" i="2"/>
  <c r="C11180" i="2"/>
  <c r="D11179" i="2"/>
  <c r="C11179" i="2"/>
  <c r="D11178" i="2"/>
  <c r="C11178" i="2"/>
  <c r="D11177" i="2"/>
  <c r="C11177" i="2"/>
  <c r="D11176" i="2"/>
  <c r="C11176" i="2"/>
  <c r="D11175" i="2"/>
  <c r="C11175" i="2"/>
  <c r="D11174" i="2"/>
  <c r="C11174" i="2"/>
  <c r="D11173" i="2"/>
  <c r="C11173" i="2"/>
  <c r="D11172" i="2"/>
  <c r="C11172" i="2"/>
  <c r="D11171" i="2"/>
  <c r="C11171" i="2"/>
  <c r="D11170" i="2"/>
  <c r="C11170" i="2"/>
  <c r="D11169" i="2"/>
  <c r="C11169" i="2"/>
  <c r="D11168" i="2"/>
  <c r="C11168" i="2"/>
  <c r="D11167" i="2"/>
  <c r="C11167" i="2"/>
  <c r="D11166" i="2"/>
  <c r="C11166" i="2"/>
  <c r="D11165" i="2"/>
  <c r="C11165" i="2"/>
  <c r="D11164" i="2"/>
  <c r="C11164" i="2"/>
  <c r="D11163" i="2"/>
  <c r="C11163" i="2"/>
  <c r="D11162" i="2"/>
  <c r="C11162" i="2"/>
  <c r="D11161" i="2"/>
  <c r="C11161" i="2"/>
  <c r="D11160" i="2"/>
  <c r="C11160" i="2"/>
  <c r="D11159" i="2"/>
  <c r="C11159" i="2"/>
  <c r="D11158" i="2"/>
  <c r="C11158" i="2"/>
  <c r="D11157" i="2"/>
  <c r="C11157" i="2"/>
  <c r="D11156" i="2"/>
  <c r="C11156" i="2"/>
  <c r="D11155" i="2"/>
  <c r="C11155" i="2"/>
  <c r="D11154" i="2"/>
  <c r="C11154" i="2"/>
  <c r="D11153" i="2"/>
  <c r="C11153" i="2"/>
  <c r="D11152" i="2"/>
  <c r="C11152" i="2"/>
  <c r="D11151" i="2"/>
  <c r="C11151" i="2"/>
  <c r="D11150" i="2"/>
  <c r="C11150" i="2"/>
  <c r="D11149" i="2"/>
  <c r="C11149" i="2"/>
  <c r="D11148" i="2"/>
  <c r="C11148" i="2"/>
  <c r="D11147" i="2"/>
  <c r="C11147" i="2"/>
  <c r="D11146" i="2"/>
  <c r="C11146" i="2"/>
  <c r="D11145" i="2"/>
  <c r="C11145" i="2"/>
  <c r="D11144" i="2"/>
  <c r="C11144" i="2"/>
  <c r="D11143" i="2"/>
  <c r="C11143" i="2"/>
  <c r="D11142" i="2"/>
  <c r="C11142" i="2"/>
  <c r="D11141" i="2"/>
  <c r="C11141" i="2"/>
  <c r="D11140" i="2"/>
  <c r="C11140" i="2"/>
  <c r="D11139" i="2"/>
  <c r="C11139" i="2"/>
  <c r="D11138" i="2"/>
  <c r="C11138" i="2"/>
  <c r="D11137" i="2"/>
  <c r="C11137" i="2"/>
  <c r="D11136" i="2"/>
  <c r="C11136" i="2"/>
  <c r="D11135" i="2"/>
  <c r="C11135" i="2"/>
  <c r="D11134" i="2"/>
  <c r="C11134" i="2"/>
  <c r="D11133" i="2"/>
  <c r="C11133" i="2"/>
  <c r="D11132" i="2"/>
  <c r="C11132" i="2"/>
  <c r="D11131" i="2"/>
  <c r="C11131" i="2"/>
  <c r="D11130" i="2"/>
  <c r="C11130" i="2"/>
  <c r="D11129" i="2"/>
  <c r="C11129" i="2"/>
  <c r="D11128" i="2"/>
  <c r="C11128" i="2"/>
  <c r="D11127" i="2"/>
  <c r="C11127" i="2"/>
  <c r="D11126" i="2"/>
  <c r="C11126" i="2"/>
  <c r="D11125" i="2"/>
  <c r="C11125" i="2"/>
  <c r="D11124" i="2"/>
  <c r="C11124" i="2"/>
  <c r="D11123" i="2"/>
  <c r="C11123" i="2"/>
  <c r="D11122" i="2"/>
  <c r="C11122" i="2"/>
  <c r="D11121" i="2"/>
  <c r="C11121" i="2"/>
  <c r="D11120" i="2"/>
  <c r="C11120" i="2"/>
  <c r="D11119" i="2"/>
  <c r="C11119" i="2"/>
  <c r="D11118" i="2"/>
  <c r="C11118" i="2"/>
  <c r="D11117" i="2"/>
  <c r="C11117" i="2"/>
  <c r="D11116" i="2"/>
  <c r="C11116" i="2"/>
  <c r="D11115" i="2"/>
  <c r="C11115" i="2"/>
  <c r="D11114" i="2"/>
  <c r="C11114" i="2"/>
  <c r="D11113" i="2"/>
  <c r="C11113" i="2"/>
  <c r="D11112" i="2"/>
  <c r="C11112" i="2"/>
  <c r="D11111" i="2"/>
  <c r="C11111" i="2"/>
  <c r="D11110" i="2"/>
  <c r="C11110" i="2"/>
  <c r="D11109" i="2"/>
  <c r="C11109" i="2"/>
  <c r="D11108" i="2"/>
  <c r="C11108" i="2"/>
  <c r="D11107" i="2"/>
  <c r="C11107" i="2"/>
  <c r="D11106" i="2"/>
  <c r="C11106" i="2"/>
  <c r="D11105" i="2"/>
  <c r="C11105" i="2"/>
  <c r="D11104" i="2"/>
  <c r="C11104" i="2"/>
  <c r="D11103" i="2"/>
  <c r="C11103" i="2"/>
  <c r="D11102" i="2"/>
  <c r="C11102" i="2"/>
  <c r="D11101" i="2"/>
  <c r="C11101" i="2"/>
  <c r="D11100" i="2"/>
  <c r="C11100" i="2"/>
  <c r="D11099" i="2"/>
  <c r="C11099" i="2"/>
  <c r="D11098" i="2"/>
  <c r="C11098" i="2"/>
  <c r="D11097" i="2"/>
  <c r="C11097" i="2"/>
  <c r="D11096" i="2"/>
  <c r="C11096" i="2"/>
  <c r="D11095" i="2"/>
  <c r="C11095" i="2"/>
  <c r="D11094" i="2"/>
  <c r="C11094" i="2"/>
  <c r="D11093" i="2"/>
  <c r="C11093" i="2"/>
  <c r="D11092" i="2"/>
  <c r="C11092" i="2"/>
  <c r="D11091" i="2"/>
  <c r="C11091" i="2"/>
  <c r="D11090" i="2"/>
  <c r="C11090" i="2"/>
  <c r="D11089" i="2"/>
  <c r="C11089" i="2"/>
  <c r="D11088" i="2"/>
  <c r="C11088" i="2"/>
  <c r="D11087" i="2"/>
  <c r="C11087" i="2"/>
  <c r="D11086" i="2"/>
  <c r="C11086" i="2"/>
  <c r="D11085" i="2"/>
  <c r="C11085" i="2"/>
  <c r="D11084" i="2"/>
  <c r="C11084" i="2"/>
  <c r="D11083" i="2"/>
  <c r="C11083" i="2"/>
  <c r="D11082" i="2"/>
  <c r="C11082" i="2"/>
  <c r="D11081" i="2"/>
  <c r="C11081" i="2"/>
  <c r="D11080" i="2"/>
  <c r="C11080" i="2"/>
  <c r="D11079" i="2"/>
  <c r="C11079" i="2"/>
  <c r="D11078" i="2"/>
  <c r="C11078" i="2"/>
  <c r="D11077" i="2"/>
  <c r="C11077" i="2"/>
  <c r="D11076" i="2"/>
  <c r="C11076" i="2"/>
  <c r="D11075" i="2"/>
  <c r="C11075" i="2"/>
  <c r="D11074" i="2"/>
  <c r="C11074" i="2"/>
  <c r="D11073" i="2"/>
  <c r="C11073" i="2"/>
  <c r="D11072" i="2"/>
  <c r="C11072" i="2"/>
  <c r="D11071" i="2"/>
  <c r="C11071" i="2"/>
  <c r="D11070" i="2"/>
  <c r="C11070" i="2"/>
  <c r="D11069" i="2"/>
  <c r="C11069" i="2"/>
  <c r="D11068" i="2"/>
  <c r="C11068" i="2"/>
  <c r="D11067" i="2"/>
  <c r="C11067" i="2"/>
  <c r="D11066" i="2"/>
  <c r="C11066" i="2"/>
  <c r="D11065" i="2"/>
  <c r="C11065" i="2"/>
  <c r="D11064" i="2"/>
  <c r="C11064" i="2"/>
  <c r="D11063" i="2"/>
  <c r="C11063" i="2"/>
  <c r="D11062" i="2"/>
  <c r="C11062" i="2"/>
  <c r="D11061" i="2"/>
  <c r="C11061" i="2"/>
  <c r="D11060" i="2"/>
  <c r="C11060" i="2"/>
  <c r="D11059" i="2"/>
  <c r="C11059" i="2"/>
  <c r="D11058" i="2"/>
  <c r="C11058" i="2"/>
  <c r="D11057" i="2"/>
  <c r="C11057" i="2"/>
  <c r="D11056" i="2"/>
  <c r="C11056" i="2"/>
  <c r="D11055" i="2"/>
  <c r="C11055" i="2"/>
  <c r="D11054" i="2"/>
  <c r="C11054" i="2"/>
  <c r="D11053" i="2"/>
  <c r="C11053" i="2"/>
  <c r="D11052" i="2"/>
  <c r="C11052" i="2"/>
  <c r="D11051" i="2"/>
  <c r="C11051" i="2"/>
  <c r="D11050" i="2"/>
  <c r="C11050" i="2"/>
  <c r="D11049" i="2"/>
  <c r="C11049" i="2"/>
  <c r="D11048" i="2"/>
  <c r="C11048" i="2"/>
  <c r="D11047" i="2"/>
  <c r="C11047" i="2"/>
  <c r="D11046" i="2"/>
  <c r="C11046" i="2"/>
  <c r="D11045" i="2"/>
  <c r="C11045" i="2"/>
  <c r="D11044" i="2"/>
  <c r="C11044" i="2"/>
  <c r="D11043" i="2"/>
  <c r="C11043" i="2"/>
  <c r="D11042" i="2"/>
  <c r="C11042" i="2"/>
  <c r="D11041" i="2"/>
  <c r="C11041" i="2"/>
  <c r="D11040" i="2"/>
  <c r="C11040" i="2"/>
  <c r="D11039" i="2"/>
  <c r="C11039" i="2"/>
  <c r="D11038" i="2"/>
  <c r="C11038" i="2"/>
  <c r="D11037" i="2"/>
  <c r="C11037" i="2"/>
  <c r="D11036" i="2"/>
  <c r="C11036" i="2"/>
  <c r="D11035" i="2"/>
  <c r="C11035" i="2"/>
  <c r="D11034" i="2"/>
  <c r="C11034" i="2"/>
  <c r="D11033" i="2"/>
  <c r="C11033" i="2"/>
  <c r="D11032" i="2"/>
  <c r="C11032" i="2"/>
  <c r="D11031" i="2"/>
  <c r="C11031" i="2"/>
  <c r="D11030" i="2"/>
  <c r="C11030" i="2"/>
  <c r="D11029" i="2"/>
  <c r="C11029" i="2"/>
  <c r="D11028" i="2"/>
  <c r="C11028" i="2"/>
  <c r="D11027" i="2"/>
  <c r="C11027" i="2"/>
  <c r="D11026" i="2"/>
  <c r="C11026" i="2"/>
  <c r="D11025" i="2"/>
  <c r="C11025" i="2"/>
  <c r="D11024" i="2"/>
  <c r="C11024" i="2"/>
  <c r="D11023" i="2"/>
  <c r="C11023" i="2"/>
  <c r="D11022" i="2"/>
  <c r="C11022" i="2"/>
  <c r="D11021" i="2"/>
  <c r="C11021" i="2"/>
  <c r="D11020" i="2"/>
  <c r="C11020" i="2"/>
  <c r="D11019" i="2"/>
  <c r="C11019" i="2"/>
  <c r="D11018" i="2"/>
  <c r="C11018" i="2"/>
  <c r="D11017" i="2"/>
  <c r="C11017" i="2"/>
  <c r="D11016" i="2"/>
  <c r="C11016" i="2"/>
  <c r="D11015" i="2"/>
  <c r="C11015" i="2"/>
  <c r="D11014" i="2"/>
  <c r="C11014" i="2"/>
  <c r="D11013" i="2"/>
  <c r="C11013" i="2"/>
  <c r="D11012" i="2"/>
  <c r="C11012" i="2"/>
  <c r="D11011" i="2"/>
  <c r="C11011" i="2"/>
  <c r="D11010" i="2"/>
  <c r="C11010" i="2"/>
  <c r="D11009" i="2"/>
  <c r="C11009" i="2"/>
  <c r="D11008" i="2"/>
  <c r="C11008" i="2"/>
  <c r="D11007" i="2"/>
  <c r="C11007" i="2"/>
  <c r="D11006" i="2"/>
  <c r="C11006" i="2"/>
  <c r="D11005" i="2"/>
  <c r="C11005" i="2"/>
  <c r="D11004" i="2"/>
  <c r="C11004" i="2"/>
  <c r="D11003" i="2"/>
  <c r="C11003" i="2"/>
  <c r="D11002" i="2"/>
  <c r="C11002" i="2"/>
  <c r="D11001" i="2"/>
  <c r="C11001" i="2"/>
  <c r="D11000" i="2"/>
  <c r="C11000" i="2"/>
  <c r="D10999" i="2"/>
  <c r="C10999" i="2"/>
  <c r="D10998" i="2"/>
  <c r="C10998" i="2"/>
  <c r="D10997" i="2"/>
  <c r="C10997" i="2"/>
  <c r="D10996" i="2"/>
  <c r="C10996" i="2"/>
  <c r="D10995" i="2"/>
  <c r="C10995" i="2"/>
  <c r="D10994" i="2"/>
  <c r="C10994" i="2"/>
  <c r="D10993" i="2"/>
  <c r="C10993" i="2"/>
  <c r="D10992" i="2"/>
  <c r="C10992" i="2"/>
  <c r="D10991" i="2"/>
  <c r="C10991" i="2"/>
  <c r="D10990" i="2"/>
  <c r="C10990" i="2"/>
  <c r="D10989" i="2"/>
  <c r="C10989" i="2"/>
  <c r="D10988" i="2"/>
  <c r="C10988" i="2"/>
  <c r="D10987" i="2"/>
  <c r="C10987" i="2"/>
  <c r="D10986" i="2"/>
  <c r="C10986" i="2"/>
  <c r="D10985" i="2"/>
  <c r="C10985" i="2"/>
  <c r="D10984" i="2"/>
  <c r="C10984" i="2"/>
  <c r="D10983" i="2"/>
  <c r="C10983" i="2"/>
  <c r="D10982" i="2"/>
  <c r="C10982" i="2"/>
  <c r="D10981" i="2"/>
  <c r="C10981" i="2"/>
  <c r="D10980" i="2"/>
  <c r="C10980" i="2"/>
  <c r="D10979" i="2"/>
  <c r="C10979" i="2"/>
  <c r="D10978" i="2"/>
  <c r="C10978" i="2"/>
  <c r="D10977" i="2"/>
  <c r="C10977" i="2"/>
  <c r="D10976" i="2"/>
  <c r="C10976" i="2"/>
  <c r="D10975" i="2"/>
  <c r="C10975" i="2"/>
  <c r="D10974" i="2"/>
  <c r="C10974" i="2"/>
  <c r="D10973" i="2"/>
  <c r="C10973" i="2"/>
  <c r="D10972" i="2"/>
  <c r="C10972" i="2"/>
  <c r="D10971" i="2"/>
  <c r="C10971" i="2"/>
  <c r="D10970" i="2"/>
  <c r="C10970" i="2"/>
  <c r="D10969" i="2"/>
  <c r="C10969" i="2"/>
  <c r="D10968" i="2"/>
  <c r="C10968" i="2"/>
  <c r="D10967" i="2"/>
  <c r="C10967" i="2"/>
  <c r="D10966" i="2"/>
  <c r="C10966" i="2"/>
  <c r="D10965" i="2"/>
  <c r="C10965" i="2"/>
  <c r="D10964" i="2"/>
  <c r="C10964" i="2"/>
  <c r="D10963" i="2"/>
  <c r="C10963" i="2"/>
  <c r="D10962" i="2"/>
  <c r="C10962" i="2"/>
  <c r="D10961" i="2"/>
  <c r="C10961" i="2"/>
  <c r="D10960" i="2"/>
  <c r="C10960" i="2"/>
  <c r="D10959" i="2"/>
  <c r="C10959" i="2"/>
  <c r="D10958" i="2"/>
  <c r="C10958" i="2"/>
  <c r="D10957" i="2"/>
  <c r="C10957" i="2"/>
  <c r="D10956" i="2"/>
  <c r="C10956" i="2"/>
  <c r="D10955" i="2"/>
  <c r="C10955" i="2"/>
  <c r="D10954" i="2"/>
  <c r="C10954" i="2"/>
  <c r="D10953" i="2"/>
  <c r="C10953" i="2"/>
  <c r="D10952" i="2"/>
  <c r="C10952" i="2"/>
  <c r="D10951" i="2"/>
  <c r="C10951" i="2"/>
  <c r="D10950" i="2"/>
  <c r="C10950" i="2"/>
  <c r="D10949" i="2"/>
  <c r="C10949" i="2"/>
  <c r="D10948" i="2"/>
  <c r="C10948" i="2"/>
  <c r="D10947" i="2"/>
  <c r="C10947" i="2"/>
  <c r="D10946" i="2"/>
  <c r="C10946" i="2"/>
  <c r="D10945" i="2"/>
  <c r="C10945" i="2"/>
  <c r="D10944" i="2"/>
  <c r="C10944" i="2"/>
  <c r="D10943" i="2"/>
  <c r="C10943" i="2"/>
  <c r="D10942" i="2"/>
  <c r="C10942" i="2"/>
  <c r="D10941" i="2"/>
  <c r="C10941" i="2"/>
  <c r="D10940" i="2"/>
  <c r="C10940" i="2"/>
  <c r="D10939" i="2"/>
  <c r="C10939" i="2"/>
  <c r="D10938" i="2"/>
  <c r="C10938" i="2"/>
  <c r="D10937" i="2"/>
  <c r="C10937" i="2"/>
  <c r="D10936" i="2"/>
  <c r="C10936" i="2"/>
  <c r="D10935" i="2"/>
  <c r="C10935" i="2"/>
  <c r="D10934" i="2"/>
  <c r="C10934" i="2"/>
  <c r="D10933" i="2"/>
  <c r="C10933" i="2"/>
  <c r="D10932" i="2"/>
  <c r="C10932" i="2"/>
  <c r="D10931" i="2"/>
  <c r="C10931" i="2"/>
  <c r="D10930" i="2"/>
  <c r="C10930" i="2"/>
  <c r="D10929" i="2"/>
  <c r="C10929" i="2"/>
  <c r="D10928" i="2"/>
  <c r="C10928" i="2"/>
  <c r="D10927" i="2"/>
  <c r="C10927" i="2"/>
  <c r="D10926" i="2"/>
  <c r="C10926" i="2"/>
  <c r="D10925" i="2"/>
  <c r="C10925" i="2"/>
  <c r="D10924" i="2"/>
  <c r="C10924" i="2"/>
  <c r="D10923" i="2"/>
  <c r="C10923" i="2"/>
  <c r="D10922" i="2"/>
  <c r="C10922" i="2"/>
  <c r="D10921" i="2"/>
  <c r="C10921" i="2"/>
  <c r="D10920" i="2"/>
  <c r="C10920" i="2"/>
  <c r="D10919" i="2"/>
  <c r="C10919" i="2"/>
  <c r="D10918" i="2"/>
  <c r="C10918" i="2"/>
  <c r="D10917" i="2"/>
  <c r="C10917" i="2"/>
  <c r="D10916" i="2"/>
  <c r="C10916" i="2"/>
  <c r="D10915" i="2"/>
  <c r="C10915" i="2"/>
  <c r="D10914" i="2"/>
  <c r="C10914" i="2"/>
  <c r="D10913" i="2"/>
  <c r="C10913" i="2"/>
  <c r="D10912" i="2"/>
  <c r="C10912" i="2"/>
  <c r="D10911" i="2"/>
  <c r="C10911" i="2"/>
  <c r="D10910" i="2"/>
  <c r="C10910" i="2"/>
  <c r="D10909" i="2"/>
  <c r="C10909" i="2"/>
  <c r="D10908" i="2"/>
  <c r="C10908" i="2"/>
  <c r="D10907" i="2"/>
  <c r="C10907" i="2"/>
  <c r="D10906" i="2"/>
  <c r="C10906" i="2"/>
  <c r="D10905" i="2"/>
  <c r="C10905" i="2"/>
  <c r="D10904" i="2"/>
  <c r="C10904" i="2"/>
  <c r="D10903" i="2"/>
  <c r="C10903" i="2"/>
  <c r="D10902" i="2"/>
  <c r="C10902" i="2"/>
  <c r="D10901" i="2"/>
  <c r="C10901" i="2"/>
  <c r="D10900" i="2"/>
  <c r="C10900" i="2"/>
  <c r="D10899" i="2"/>
  <c r="C10899" i="2"/>
  <c r="D10898" i="2"/>
  <c r="C10898" i="2"/>
  <c r="D10897" i="2"/>
  <c r="C10897" i="2"/>
  <c r="D10896" i="2"/>
  <c r="C10896" i="2"/>
  <c r="D10895" i="2"/>
  <c r="C10895" i="2"/>
  <c r="D10894" i="2"/>
  <c r="C10894" i="2"/>
  <c r="D10893" i="2"/>
  <c r="C10893" i="2"/>
  <c r="D10892" i="2"/>
  <c r="C10892" i="2"/>
  <c r="D10891" i="2"/>
  <c r="C10891" i="2"/>
  <c r="D10890" i="2"/>
  <c r="C10890" i="2"/>
  <c r="D10889" i="2"/>
  <c r="C10889" i="2"/>
  <c r="D10888" i="2"/>
  <c r="C10888" i="2"/>
  <c r="D10887" i="2"/>
  <c r="C10887" i="2"/>
  <c r="D10886" i="2"/>
  <c r="C10886" i="2"/>
  <c r="D10885" i="2"/>
  <c r="C10885" i="2"/>
  <c r="D10884" i="2"/>
  <c r="C10884" i="2"/>
  <c r="D10883" i="2"/>
  <c r="C10883" i="2"/>
  <c r="D10882" i="2"/>
  <c r="C10882" i="2"/>
  <c r="D10881" i="2"/>
  <c r="C10881" i="2"/>
  <c r="D10880" i="2"/>
  <c r="C10880" i="2"/>
  <c r="D10879" i="2"/>
  <c r="C10879" i="2"/>
  <c r="D10878" i="2"/>
  <c r="C10878" i="2"/>
  <c r="D10877" i="2"/>
  <c r="C10877" i="2"/>
  <c r="D10876" i="2"/>
  <c r="C10876" i="2"/>
  <c r="D10875" i="2"/>
  <c r="C10875" i="2"/>
  <c r="D10874" i="2"/>
  <c r="C10874" i="2"/>
  <c r="D10873" i="2"/>
  <c r="C10873" i="2"/>
  <c r="D10872" i="2"/>
  <c r="C10872" i="2"/>
  <c r="D10871" i="2"/>
  <c r="C10871" i="2"/>
  <c r="D10870" i="2"/>
  <c r="C10870" i="2"/>
  <c r="D10869" i="2"/>
  <c r="C10869" i="2"/>
  <c r="D10868" i="2"/>
  <c r="C10868" i="2"/>
  <c r="D10867" i="2"/>
  <c r="C10867" i="2"/>
  <c r="D10866" i="2"/>
  <c r="C10866" i="2"/>
  <c r="D10865" i="2"/>
  <c r="C10865" i="2"/>
  <c r="D10864" i="2"/>
  <c r="C10864" i="2"/>
  <c r="D10863" i="2"/>
  <c r="C10863" i="2"/>
  <c r="D10862" i="2"/>
  <c r="C10862" i="2"/>
  <c r="D10861" i="2"/>
  <c r="C10861" i="2"/>
  <c r="D10860" i="2"/>
  <c r="C10860" i="2"/>
  <c r="D10859" i="2"/>
  <c r="C10859" i="2"/>
  <c r="D10858" i="2"/>
  <c r="C10858" i="2"/>
  <c r="D10857" i="2"/>
  <c r="C10857" i="2"/>
  <c r="D10856" i="2"/>
  <c r="C10856" i="2"/>
  <c r="D10855" i="2"/>
  <c r="C10855" i="2"/>
  <c r="D10854" i="2"/>
  <c r="C10854" i="2"/>
  <c r="D10853" i="2"/>
  <c r="C10853" i="2"/>
  <c r="D10852" i="2"/>
  <c r="C10852" i="2"/>
  <c r="D10851" i="2"/>
  <c r="C10851" i="2"/>
  <c r="D10850" i="2"/>
  <c r="C10850" i="2"/>
  <c r="D10849" i="2"/>
  <c r="C10849" i="2"/>
  <c r="D10848" i="2"/>
  <c r="C10848" i="2"/>
  <c r="D10847" i="2"/>
  <c r="C10847" i="2"/>
  <c r="D10846" i="2"/>
  <c r="C10846" i="2"/>
  <c r="D10845" i="2"/>
  <c r="C10845" i="2"/>
  <c r="D10844" i="2"/>
  <c r="C10844" i="2"/>
  <c r="D10843" i="2"/>
  <c r="C10843" i="2"/>
  <c r="D10842" i="2"/>
  <c r="C10842" i="2"/>
  <c r="D10841" i="2"/>
  <c r="C10841" i="2"/>
  <c r="D10840" i="2"/>
  <c r="C10840" i="2"/>
  <c r="D10839" i="2"/>
  <c r="C10839" i="2"/>
  <c r="D10838" i="2"/>
  <c r="C10838" i="2"/>
  <c r="D10837" i="2"/>
  <c r="C10837" i="2"/>
  <c r="D10836" i="2"/>
  <c r="C10836" i="2"/>
  <c r="D10835" i="2"/>
  <c r="C10835" i="2"/>
  <c r="D10834" i="2"/>
  <c r="C10834" i="2"/>
  <c r="D10833" i="2"/>
  <c r="C10833" i="2"/>
  <c r="D10832" i="2"/>
  <c r="C10832" i="2"/>
  <c r="D10831" i="2"/>
  <c r="C10831" i="2"/>
  <c r="D10830" i="2"/>
  <c r="C10830" i="2"/>
  <c r="D10829" i="2"/>
  <c r="C10829" i="2"/>
  <c r="D10828" i="2"/>
  <c r="C10828" i="2"/>
  <c r="D10827" i="2"/>
  <c r="C10827" i="2"/>
  <c r="D10826" i="2"/>
  <c r="C10826" i="2"/>
  <c r="D10825" i="2"/>
  <c r="C10825" i="2"/>
  <c r="D10824" i="2"/>
  <c r="C10824" i="2"/>
  <c r="D10823" i="2"/>
  <c r="C10823" i="2"/>
  <c r="D10822" i="2"/>
  <c r="C10822" i="2"/>
  <c r="D10821" i="2"/>
  <c r="C10821" i="2"/>
  <c r="D10820" i="2"/>
  <c r="C10820" i="2"/>
  <c r="D10819" i="2"/>
  <c r="C10819" i="2"/>
  <c r="D10818" i="2"/>
  <c r="C10818" i="2"/>
  <c r="D10817" i="2"/>
  <c r="C10817" i="2"/>
  <c r="D10816" i="2"/>
  <c r="C10816" i="2"/>
  <c r="D10815" i="2"/>
  <c r="C10815" i="2"/>
  <c r="D10814" i="2"/>
  <c r="C10814" i="2"/>
  <c r="D10813" i="2"/>
  <c r="C10813" i="2"/>
  <c r="D10812" i="2"/>
  <c r="C10812" i="2"/>
  <c r="D10811" i="2"/>
  <c r="C10811" i="2"/>
  <c r="D10810" i="2"/>
  <c r="C10810" i="2"/>
  <c r="D10809" i="2"/>
  <c r="C10809" i="2"/>
  <c r="D10808" i="2"/>
  <c r="C10808" i="2"/>
  <c r="D10807" i="2"/>
  <c r="C10807" i="2"/>
  <c r="D10806" i="2"/>
  <c r="C10806" i="2"/>
  <c r="D10805" i="2"/>
  <c r="C10805" i="2"/>
  <c r="D10804" i="2"/>
  <c r="C10804" i="2"/>
  <c r="D10803" i="2"/>
  <c r="C10803" i="2"/>
  <c r="D10802" i="2"/>
  <c r="C10802" i="2"/>
  <c r="D10801" i="2"/>
  <c r="C10801" i="2"/>
  <c r="D10800" i="2"/>
  <c r="C10800" i="2"/>
  <c r="D10799" i="2"/>
  <c r="C10799" i="2"/>
  <c r="D10798" i="2"/>
  <c r="C10798" i="2"/>
  <c r="D10797" i="2"/>
  <c r="C10797" i="2"/>
  <c r="D10796" i="2"/>
  <c r="C10796" i="2"/>
  <c r="D10795" i="2"/>
  <c r="C10795" i="2"/>
  <c r="D10794" i="2"/>
  <c r="C10794" i="2"/>
  <c r="D10793" i="2"/>
  <c r="C10793" i="2"/>
  <c r="D10792" i="2"/>
  <c r="C10792" i="2"/>
  <c r="D10791" i="2"/>
  <c r="C10791" i="2"/>
  <c r="D10790" i="2"/>
  <c r="C10790" i="2"/>
  <c r="D10789" i="2"/>
  <c r="C10789" i="2"/>
  <c r="D10788" i="2"/>
  <c r="C10788" i="2"/>
  <c r="D10787" i="2"/>
  <c r="C10787" i="2"/>
  <c r="D10786" i="2"/>
  <c r="C10786" i="2"/>
  <c r="D10785" i="2"/>
  <c r="C10785" i="2"/>
  <c r="D10784" i="2"/>
  <c r="C10784" i="2"/>
  <c r="D10783" i="2"/>
  <c r="C10783" i="2"/>
  <c r="D10782" i="2"/>
  <c r="C10782" i="2"/>
  <c r="D10781" i="2"/>
  <c r="C10781" i="2"/>
  <c r="D10780" i="2"/>
  <c r="C10780" i="2"/>
  <c r="D10779" i="2"/>
  <c r="C10779" i="2"/>
  <c r="D10778" i="2"/>
  <c r="C10778" i="2"/>
  <c r="D10777" i="2"/>
  <c r="C10777" i="2"/>
  <c r="D10776" i="2"/>
  <c r="C10776" i="2"/>
  <c r="D10775" i="2"/>
  <c r="C10775" i="2"/>
  <c r="D10774" i="2"/>
  <c r="C10774" i="2"/>
  <c r="D10773" i="2"/>
  <c r="C10773" i="2"/>
  <c r="D10772" i="2"/>
  <c r="C10772" i="2"/>
  <c r="D10771" i="2"/>
  <c r="C10771" i="2"/>
  <c r="D10770" i="2"/>
  <c r="C10770" i="2"/>
  <c r="D10769" i="2"/>
  <c r="C10769" i="2"/>
  <c r="D10768" i="2"/>
  <c r="C10768" i="2"/>
  <c r="D10767" i="2"/>
  <c r="C10767" i="2"/>
  <c r="D10766" i="2"/>
  <c r="C10766" i="2"/>
  <c r="D10765" i="2"/>
  <c r="C10765" i="2"/>
  <c r="D10764" i="2"/>
  <c r="C10764" i="2"/>
  <c r="D10763" i="2"/>
  <c r="C10763" i="2"/>
  <c r="D10762" i="2"/>
  <c r="C10762" i="2"/>
  <c r="D10761" i="2"/>
  <c r="C10761" i="2"/>
  <c r="D10760" i="2"/>
  <c r="C10760" i="2"/>
  <c r="D10759" i="2"/>
  <c r="C10759" i="2"/>
  <c r="D10758" i="2"/>
  <c r="C10758" i="2"/>
  <c r="D10757" i="2"/>
  <c r="C10757" i="2"/>
  <c r="D10756" i="2"/>
  <c r="C10756" i="2"/>
  <c r="D10755" i="2"/>
  <c r="C10755" i="2"/>
  <c r="D10754" i="2"/>
  <c r="C10754" i="2"/>
  <c r="D10753" i="2"/>
  <c r="C10753" i="2"/>
  <c r="D10752" i="2"/>
  <c r="C10752" i="2"/>
  <c r="D10751" i="2"/>
  <c r="C10751" i="2"/>
  <c r="D10750" i="2"/>
  <c r="C10750" i="2"/>
  <c r="D10749" i="2"/>
  <c r="C10749" i="2"/>
  <c r="D10748" i="2"/>
  <c r="C10748" i="2"/>
  <c r="D10747" i="2"/>
  <c r="C10747" i="2"/>
  <c r="D10746" i="2"/>
  <c r="C10746" i="2"/>
  <c r="D10745" i="2"/>
  <c r="C10745" i="2"/>
  <c r="D10744" i="2"/>
  <c r="C10744" i="2"/>
  <c r="D10743" i="2"/>
  <c r="C10743" i="2"/>
  <c r="D10742" i="2"/>
  <c r="C10742" i="2"/>
  <c r="D10741" i="2"/>
  <c r="C10741" i="2"/>
  <c r="D10740" i="2"/>
  <c r="C10740" i="2"/>
  <c r="D10739" i="2"/>
  <c r="C10739" i="2"/>
  <c r="D10738" i="2"/>
  <c r="C10738" i="2"/>
  <c r="D10737" i="2"/>
  <c r="C10737" i="2"/>
  <c r="D10736" i="2"/>
  <c r="C10736" i="2"/>
  <c r="D10735" i="2"/>
  <c r="C10735" i="2"/>
  <c r="D10734" i="2"/>
  <c r="C10734" i="2"/>
  <c r="D10733" i="2"/>
  <c r="C10733" i="2"/>
  <c r="D10732" i="2"/>
  <c r="C10732" i="2"/>
  <c r="D10731" i="2"/>
  <c r="C10731" i="2"/>
  <c r="D10730" i="2"/>
  <c r="C10730" i="2"/>
  <c r="D10729" i="2"/>
  <c r="C10729" i="2"/>
  <c r="D10728" i="2"/>
  <c r="C10728" i="2"/>
  <c r="D10727" i="2"/>
  <c r="C10727" i="2"/>
  <c r="D10726" i="2"/>
  <c r="C10726" i="2"/>
  <c r="D10725" i="2"/>
  <c r="C10725" i="2"/>
  <c r="D10724" i="2"/>
  <c r="C10724" i="2"/>
  <c r="D10723" i="2"/>
  <c r="C10723" i="2"/>
  <c r="D10722" i="2"/>
  <c r="C10722" i="2"/>
  <c r="D10721" i="2"/>
  <c r="C10721" i="2"/>
  <c r="D10720" i="2"/>
  <c r="C10720" i="2"/>
  <c r="D10719" i="2"/>
  <c r="C10719" i="2"/>
  <c r="D10718" i="2"/>
  <c r="C10718" i="2"/>
  <c r="D10717" i="2"/>
  <c r="C10717" i="2"/>
  <c r="D10716" i="2"/>
  <c r="C10716" i="2"/>
  <c r="D10715" i="2"/>
  <c r="C10715" i="2"/>
  <c r="D10714" i="2"/>
  <c r="C10714" i="2"/>
  <c r="D10713" i="2"/>
  <c r="C10713" i="2"/>
  <c r="D10712" i="2"/>
  <c r="C10712" i="2"/>
  <c r="D10711" i="2"/>
  <c r="C10711" i="2"/>
  <c r="D10710" i="2"/>
  <c r="C10710" i="2"/>
  <c r="D10709" i="2"/>
  <c r="C10709" i="2"/>
  <c r="D10708" i="2"/>
  <c r="C10708" i="2"/>
  <c r="D10707" i="2"/>
  <c r="C10707" i="2"/>
  <c r="D10706" i="2"/>
  <c r="C10706" i="2"/>
  <c r="D10705" i="2"/>
  <c r="C10705" i="2"/>
  <c r="D10704" i="2"/>
  <c r="C10704" i="2"/>
  <c r="D10703" i="2"/>
  <c r="C10703" i="2"/>
  <c r="D10702" i="2"/>
  <c r="C10702" i="2"/>
  <c r="D10701" i="2"/>
  <c r="C10701" i="2"/>
  <c r="D10700" i="2"/>
  <c r="C10700" i="2"/>
  <c r="D10699" i="2"/>
  <c r="C10699" i="2"/>
  <c r="D10698" i="2"/>
  <c r="C10698" i="2"/>
  <c r="D10697" i="2"/>
  <c r="C10697" i="2"/>
  <c r="D10696" i="2"/>
  <c r="C10696" i="2"/>
  <c r="D10695" i="2"/>
  <c r="C10695" i="2"/>
  <c r="D10694" i="2"/>
  <c r="C10694" i="2"/>
  <c r="D10693" i="2"/>
  <c r="C10693" i="2"/>
  <c r="D10692" i="2"/>
  <c r="C10692" i="2"/>
  <c r="D10691" i="2"/>
  <c r="C10691" i="2"/>
  <c r="D10690" i="2"/>
  <c r="C10690" i="2"/>
  <c r="D10689" i="2"/>
  <c r="C10689" i="2"/>
  <c r="D10688" i="2"/>
  <c r="C10688" i="2"/>
  <c r="D10687" i="2"/>
  <c r="C10687" i="2"/>
  <c r="D10686" i="2"/>
  <c r="C10686" i="2"/>
  <c r="D10685" i="2"/>
  <c r="C10685" i="2"/>
  <c r="D10684" i="2"/>
  <c r="C10684" i="2"/>
  <c r="D10683" i="2"/>
  <c r="C10683" i="2"/>
  <c r="D10682" i="2"/>
  <c r="C10682" i="2"/>
  <c r="D10681" i="2"/>
  <c r="C10681" i="2"/>
  <c r="D10680" i="2"/>
  <c r="C10680" i="2"/>
  <c r="D10679" i="2"/>
  <c r="C10679" i="2"/>
  <c r="D10678" i="2"/>
  <c r="C10678" i="2"/>
  <c r="D10677" i="2"/>
  <c r="C10677" i="2"/>
  <c r="D10676" i="2"/>
  <c r="C10676" i="2"/>
  <c r="D10675" i="2"/>
  <c r="C10675" i="2"/>
  <c r="D10674" i="2"/>
  <c r="C10674" i="2"/>
  <c r="D10673" i="2"/>
  <c r="C10673" i="2"/>
  <c r="D10672" i="2"/>
  <c r="C10672" i="2"/>
  <c r="D10671" i="2"/>
  <c r="C10671" i="2"/>
  <c r="D10670" i="2"/>
  <c r="C10670" i="2"/>
  <c r="D10669" i="2"/>
  <c r="C10669" i="2"/>
  <c r="D10668" i="2"/>
  <c r="C10668" i="2"/>
  <c r="D10667" i="2"/>
  <c r="C10667" i="2"/>
  <c r="D10666" i="2"/>
  <c r="C10666" i="2"/>
  <c r="D10665" i="2"/>
  <c r="C10665" i="2"/>
  <c r="D10664" i="2"/>
  <c r="C10664" i="2"/>
  <c r="D10663" i="2"/>
  <c r="C10663" i="2"/>
  <c r="D10662" i="2"/>
  <c r="C10662" i="2"/>
  <c r="D10661" i="2"/>
  <c r="C10661" i="2"/>
  <c r="D10660" i="2"/>
  <c r="C10660" i="2"/>
  <c r="D10659" i="2"/>
  <c r="C10659" i="2"/>
  <c r="D10658" i="2"/>
  <c r="C10658" i="2"/>
  <c r="D10657" i="2"/>
  <c r="C10657" i="2"/>
  <c r="D10656" i="2"/>
  <c r="C10656" i="2"/>
  <c r="D10655" i="2"/>
  <c r="C10655" i="2"/>
  <c r="D10654" i="2"/>
  <c r="C10654" i="2"/>
  <c r="D10653" i="2"/>
  <c r="C10653" i="2"/>
  <c r="D10652" i="2"/>
  <c r="C10652" i="2"/>
  <c r="D10651" i="2"/>
  <c r="C10651" i="2"/>
  <c r="D10650" i="2"/>
  <c r="C10650" i="2"/>
  <c r="D10649" i="2"/>
  <c r="C10649" i="2"/>
  <c r="D10648" i="2"/>
  <c r="C10648" i="2"/>
  <c r="D10647" i="2"/>
  <c r="C10647" i="2"/>
  <c r="D10646" i="2"/>
  <c r="C10646" i="2"/>
  <c r="D10645" i="2"/>
  <c r="C10645" i="2"/>
  <c r="D10644" i="2"/>
  <c r="C10644" i="2"/>
  <c r="D10643" i="2"/>
  <c r="C10643" i="2"/>
  <c r="D10642" i="2"/>
  <c r="C10642" i="2"/>
  <c r="D10641" i="2"/>
  <c r="C10641" i="2"/>
  <c r="D10640" i="2"/>
  <c r="C10640" i="2"/>
  <c r="D10639" i="2"/>
  <c r="C10639" i="2"/>
  <c r="D10638" i="2"/>
  <c r="C10638" i="2"/>
  <c r="D10637" i="2"/>
  <c r="C10637" i="2"/>
  <c r="D10636" i="2"/>
  <c r="C10636" i="2"/>
  <c r="D10635" i="2"/>
  <c r="C10635" i="2"/>
  <c r="D10634" i="2"/>
  <c r="C10634" i="2"/>
  <c r="D10633" i="2"/>
  <c r="C10633" i="2"/>
  <c r="D10632" i="2"/>
  <c r="C10632" i="2"/>
  <c r="D10631" i="2"/>
  <c r="C10631" i="2"/>
  <c r="D10630" i="2"/>
  <c r="C10630" i="2"/>
  <c r="D10629" i="2"/>
  <c r="C10629" i="2"/>
  <c r="D10628" i="2"/>
  <c r="C10628" i="2"/>
  <c r="D10627" i="2"/>
  <c r="C10627" i="2"/>
  <c r="D10626" i="2"/>
  <c r="C10626" i="2"/>
  <c r="D10625" i="2"/>
  <c r="C10625" i="2"/>
  <c r="D10624" i="2"/>
  <c r="C10624" i="2"/>
  <c r="D10623" i="2"/>
  <c r="C10623" i="2"/>
  <c r="D10622" i="2"/>
  <c r="C10622" i="2"/>
  <c r="D10621" i="2"/>
  <c r="C10621" i="2"/>
  <c r="D10620" i="2"/>
  <c r="C10620" i="2"/>
  <c r="D10619" i="2"/>
  <c r="C10619" i="2"/>
  <c r="D10618" i="2"/>
  <c r="C10618" i="2"/>
  <c r="D10617" i="2"/>
  <c r="C10617" i="2"/>
  <c r="D10616" i="2"/>
  <c r="C10616" i="2"/>
  <c r="D10615" i="2"/>
  <c r="C10615" i="2"/>
  <c r="D10614" i="2"/>
  <c r="C10614" i="2"/>
  <c r="D10613" i="2"/>
  <c r="C10613" i="2"/>
  <c r="D10612" i="2"/>
  <c r="C10612" i="2"/>
  <c r="D10611" i="2"/>
  <c r="C10611" i="2"/>
  <c r="D10610" i="2"/>
  <c r="C10610" i="2"/>
  <c r="D10609" i="2"/>
  <c r="C10609" i="2"/>
  <c r="D10608" i="2"/>
  <c r="C10608" i="2"/>
  <c r="D10607" i="2"/>
  <c r="C10607" i="2"/>
  <c r="D10606" i="2"/>
  <c r="C10606" i="2"/>
  <c r="D10605" i="2"/>
  <c r="C10605" i="2"/>
  <c r="D10604" i="2"/>
  <c r="C10604" i="2"/>
  <c r="D10603" i="2"/>
  <c r="C10603" i="2"/>
  <c r="D10602" i="2"/>
  <c r="C10602" i="2"/>
  <c r="D10601" i="2"/>
  <c r="C10601" i="2"/>
  <c r="D10600" i="2"/>
  <c r="C10600" i="2"/>
  <c r="D10599" i="2"/>
  <c r="C10599" i="2"/>
  <c r="D10598" i="2"/>
  <c r="C10598" i="2"/>
  <c r="D10597" i="2"/>
  <c r="C10597" i="2"/>
  <c r="D10596" i="2"/>
  <c r="C10596" i="2"/>
  <c r="D10595" i="2"/>
  <c r="C10595" i="2"/>
  <c r="D10594" i="2"/>
  <c r="C10594" i="2"/>
  <c r="D10593" i="2"/>
  <c r="C10593" i="2"/>
  <c r="D10592" i="2"/>
  <c r="C10592" i="2"/>
  <c r="D10591" i="2"/>
  <c r="C10591" i="2"/>
  <c r="D10590" i="2"/>
  <c r="C10590" i="2"/>
  <c r="D10589" i="2"/>
  <c r="C10589" i="2"/>
  <c r="D10588" i="2"/>
  <c r="C10588" i="2"/>
  <c r="D10587" i="2"/>
  <c r="C10587" i="2"/>
  <c r="D10586" i="2"/>
  <c r="C10586" i="2"/>
  <c r="D10585" i="2"/>
  <c r="C10585" i="2"/>
  <c r="D10584" i="2"/>
  <c r="C10584" i="2"/>
  <c r="D10583" i="2"/>
  <c r="C10583" i="2"/>
  <c r="D10582" i="2"/>
  <c r="C10582" i="2"/>
  <c r="D10581" i="2"/>
  <c r="C10581" i="2"/>
  <c r="D10580" i="2"/>
  <c r="C10580" i="2"/>
  <c r="D10579" i="2"/>
  <c r="C10579" i="2"/>
  <c r="D10578" i="2"/>
  <c r="C10578" i="2"/>
  <c r="D10577" i="2"/>
  <c r="C10577" i="2"/>
  <c r="D10576" i="2"/>
  <c r="C10576" i="2"/>
  <c r="D10575" i="2"/>
  <c r="C10575" i="2"/>
  <c r="D10574" i="2"/>
  <c r="C10574" i="2"/>
  <c r="D10573" i="2"/>
  <c r="C10573" i="2"/>
  <c r="D10572" i="2"/>
  <c r="C10572" i="2"/>
  <c r="D10571" i="2"/>
  <c r="C10571" i="2"/>
  <c r="D10570" i="2"/>
  <c r="C10570" i="2"/>
  <c r="D10569" i="2"/>
  <c r="C10569" i="2"/>
  <c r="D10568" i="2"/>
  <c r="C10568" i="2"/>
  <c r="D10567" i="2"/>
  <c r="C10567" i="2"/>
  <c r="D10566" i="2"/>
  <c r="C10566" i="2"/>
  <c r="D10565" i="2"/>
  <c r="C10565" i="2"/>
  <c r="D10564" i="2"/>
  <c r="C10564" i="2"/>
  <c r="D10563" i="2"/>
  <c r="C10563" i="2"/>
  <c r="D10562" i="2"/>
  <c r="C10562" i="2"/>
  <c r="D10561" i="2"/>
  <c r="C10561" i="2"/>
  <c r="D10560" i="2"/>
  <c r="C10560" i="2"/>
  <c r="D10559" i="2"/>
  <c r="C10559" i="2"/>
  <c r="D10558" i="2"/>
  <c r="C10558" i="2"/>
  <c r="D10557" i="2"/>
  <c r="C10557" i="2"/>
  <c r="D10556" i="2"/>
  <c r="C10556" i="2"/>
  <c r="D10555" i="2"/>
  <c r="C10555" i="2"/>
  <c r="D10554" i="2"/>
  <c r="C10554" i="2"/>
  <c r="D10553" i="2"/>
  <c r="C10553" i="2"/>
  <c r="D10552" i="2"/>
  <c r="C10552" i="2"/>
  <c r="D10551" i="2"/>
  <c r="C10551" i="2"/>
  <c r="D10550" i="2"/>
  <c r="C10550" i="2"/>
  <c r="D10549" i="2"/>
  <c r="C10549" i="2"/>
  <c r="D10548" i="2"/>
  <c r="C10548" i="2"/>
  <c r="D10547" i="2"/>
  <c r="C10547" i="2"/>
  <c r="D10546" i="2"/>
  <c r="C10546" i="2"/>
  <c r="D10545" i="2"/>
  <c r="C10545" i="2"/>
  <c r="D10544" i="2"/>
  <c r="C10544" i="2"/>
  <c r="D10543" i="2"/>
  <c r="C10543" i="2"/>
  <c r="D10542" i="2"/>
  <c r="C10542" i="2"/>
  <c r="D10541" i="2"/>
  <c r="C10541" i="2"/>
  <c r="D10540" i="2"/>
  <c r="C10540" i="2"/>
  <c r="D10539" i="2"/>
  <c r="C10539" i="2"/>
  <c r="D10538" i="2"/>
  <c r="C10538" i="2"/>
  <c r="D10537" i="2"/>
  <c r="C10537" i="2"/>
  <c r="D10536" i="2"/>
  <c r="C10536" i="2"/>
  <c r="D10535" i="2"/>
  <c r="C10535" i="2"/>
  <c r="D10534" i="2"/>
  <c r="C10534" i="2"/>
  <c r="D10533" i="2"/>
  <c r="C10533" i="2"/>
  <c r="D10532" i="2"/>
  <c r="C10532" i="2"/>
  <c r="D10531" i="2"/>
  <c r="C10531" i="2"/>
  <c r="D10530" i="2"/>
  <c r="C10530" i="2"/>
  <c r="D10529" i="2"/>
  <c r="C10529" i="2"/>
  <c r="D10528" i="2"/>
  <c r="C10528" i="2"/>
  <c r="D10527" i="2"/>
  <c r="C10527" i="2"/>
  <c r="D10526" i="2"/>
  <c r="C10526" i="2"/>
  <c r="D10525" i="2"/>
  <c r="C10525" i="2"/>
  <c r="D10524" i="2"/>
  <c r="C10524" i="2"/>
  <c r="D10523" i="2"/>
  <c r="C10523" i="2"/>
  <c r="D10522" i="2"/>
  <c r="C10522" i="2"/>
  <c r="D10521" i="2"/>
  <c r="C10521" i="2"/>
  <c r="D10520" i="2"/>
  <c r="C10520" i="2"/>
  <c r="D10519" i="2"/>
  <c r="C10519" i="2"/>
  <c r="D10518" i="2"/>
  <c r="C10518" i="2"/>
  <c r="D10517" i="2"/>
  <c r="C10517" i="2"/>
  <c r="D10516" i="2"/>
  <c r="C10516" i="2"/>
  <c r="D10515" i="2"/>
  <c r="C10515" i="2"/>
  <c r="D10514" i="2"/>
  <c r="C10514" i="2"/>
  <c r="D10513" i="2"/>
  <c r="C10513" i="2"/>
  <c r="D10512" i="2"/>
  <c r="C10512" i="2"/>
  <c r="D10511" i="2"/>
  <c r="C10511" i="2"/>
  <c r="D10510" i="2"/>
  <c r="C10510" i="2"/>
  <c r="D10509" i="2"/>
  <c r="C10509" i="2"/>
  <c r="D10508" i="2"/>
  <c r="C10508" i="2"/>
  <c r="D10507" i="2"/>
  <c r="C10507" i="2"/>
  <c r="D10506" i="2"/>
  <c r="C10506" i="2"/>
  <c r="D10505" i="2"/>
  <c r="C10505" i="2"/>
  <c r="D10504" i="2"/>
  <c r="C10504" i="2"/>
  <c r="D10503" i="2"/>
  <c r="C10503" i="2"/>
  <c r="D10502" i="2"/>
  <c r="C10502" i="2"/>
  <c r="D10501" i="2"/>
  <c r="C10501" i="2"/>
  <c r="D10500" i="2"/>
  <c r="C10500" i="2"/>
  <c r="D10499" i="2"/>
  <c r="C10499" i="2"/>
  <c r="D10498" i="2"/>
  <c r="C10498" i="2"/>
  <c r="D10497" i="2"/>
  <c r="C10497" i="2"/>
  <c r="D10496" i="2"/>
  <c r="C10496" i="2"/>
  <c r="D10495" i="2"/>
  <c r="C10495" i="2"/>
  <c r="D10494" i="2"/>
  <c r="C10494" i="2"/>
  <c r="D10493" i="2"/>
  <c r="C10493" i="2"/>
  <c r="D10492" i="2"/>
  <c r="C10492" i="2"/>
  <c r="D10491" i="2"/>
  <c r="C10491" i="2"/>
  <c r="D10490" i="2"/>
  <c r="C10490" i="2"/>
  <c r="D10489" i="2"/>
  <c r="C10489" i="2"/>
  <c r="D10488" i="2"/>
  <c r="C10488" i="2"/>
  <c r="D10487" i="2"/>
  <c r="C10487" i="2"/>
  <c r="D10486" i="2"/>
  <c r="C10486" i="2"/>
  <c r="D10485" i="2"/>
  <c r="C10485" i="2"/>
  <c r="D10484" i="2"/>
  <c r="C10484" i="2"/>
  <c r="D10483" i="2"/>
  <c r="C10483" i="2"/>
  <c r="D10482" i="2"/>
  <c r="C10482" i="2"/>
  <c r="D10481" i="2"/>
  <c r="C10481" i="2"/>
  <c r="D10480" i="2"/>
  <c r="C10480" i="2"/>
  <c r="D10479" i="2"/>
  <c r="C10479" i="2"/>
  <c r="D10478" i="2"/>
  <c r="C10478" i="2"/>
  <c r="D10477" i="2"/>
  <c r="C10477" i="2"/>
  <c r="D10476" i="2"/>
  <c r="C10476" i="2"/>
  <c r="D10475" i="2"/>
  <c r="C10475" i="2"/>
  <c r="D10474" i="2"/>
  <c r="C10474" i="2"/>
  <c r="D10473" i="2"/>
  <c r="C10473" i="2"/>
  <c r="D10472" i="2"/>
  <c r="C10472" i="2"/>
  <c r="D10471" i="2"/>
  <c r="C10471" i="2"/>
  <c r="D10470" i="2"/>
  <c r="C10470" i="2"/>
  <c r="D10469" i="2"/>
  <c r="C10469" i="2"/>
  <c r="D10468" i="2"/>
  <c r="C10468" i="2"/>
  <c r="D10467" i="2"/>
  <c r="C10467" i="2"/>
  <c r="D10466" i="2"/>
  <c r="C10466" i="2"/>
  <c r="D10465" i="2"/>
  <c r="C10465" i="2"/>
  <c r="D10464" i="2"/>
  <c r="C10464" i="2"/>
  <c r="D10463" i="2"/>
  <c r="C10463" i="2"/>
  <c r="D10462" i="2"/>
  <c r="C10462" i="2"/>
  <c r="D10461" i="2"/>
  <c r="C10461" i="2"/>
  <c r="D10460" i="2"/>
  <c r="C10460" i="2"/>
  <c r="D10459" i="2"/>
  <c r="C10459" i="2"/>
  <c r="D10458" i="2"/>
  <c r="C10458" i="2"/>
  <c r="D10457" i="2"/>
  <c r="C10457" i="2"/>
  <c r="D10456" i="2"/>
  <c r="C10456" i="2"/>
  <c r="D10455" i="2"/>
  <c r="C10455" i="2"/>
  <c r="D10454" i="2"/>
  <c r="C10454" i="2"/>
  <c r="D10453" i="2"/>
  <c r="C10453" i="2"/>
  <c r="D10452" i="2"/>
  <c r="C10452" i="2"/>
  <c r="D10451" i="2"/>
  <c r="C10451" i="2"/>
  <c r="D10450" i="2"/>
  <c r="C10450" i="2"/>
  <c r="D10449" i="2"/>
  <c r="C10449" i="2"/>
  <c r="D10448" i="2"/>
  <c r="C10448" i="2"/>
  <c r="D10447" i="2"/>
  <c r="C10447" i="2"/>
  <c r="D10446" i="2"/>
  <c r="C10446" i="2"/>
  <c r="D10445" i="2"/>
  <c r="C10445" i="2"/>
  <c r="D10444" i="2"/>
  <c r="C10444" i="2"/>
  <c r="D10443" i="2"/>
  <c r="C10443" i="2"/>
  <c r="D10442" i="2"/>
  <c r="C10442" i="2"/>
  <c r="D10441" i="2"/>
  <c r="C10441" i="2"/>
  <c r="D10440" i="2"/>
  <c r="C10440" i="2"/>
  <c r="D10439" i="2"/>
  <c r="C10439" i="2"/>
  <c r="D10438" i="2"/>
  <c r="C10438" i="2"/>
  <c r="D10437" i="2"/>
  <c r="C10437" i="2"/>
  <c r="D10436" i="2"/>
  <c r="C10436" i="2"/>
  <c r="D10435" i="2"/>
  <c r="C10435" i="2"/>
  <c r="D10434" i="2"/>
  <c r="C10434" i="2"/>
  <c r="D10433" i="2"/>
  <c r="C10433" i="2"/>
  <c r="D10432" i="2"/>
  <c r="C10432" i="2"/>
  <c r="D10431" i="2"/>
  <c r="C10431" i="2"/>
  <c r="D10430" i="2"/>
  <c r="C10430" i="2"/>
  <c r="D10429" i="2"/>
  <c r="C10429" i="2"/>
  <c r="D10428" i="2"/>
  <c r="C10428" i="2"/>
  <c r="D10427" i="2"/>
  <c r="C10427" i="2"/>
  <c r="D10426" i="2"/>
  <c r="C10426" i="2"/>
  <c r="D10425" i="2"/>
  <c r="C10425" i="2"/>
  <c r="D10424" i="2"/>
  <c r="C10424" i="2"/>
  <c r="D10423" i="2"/>
  <c r="C10423" i="2"/>
  <c r="D10422" i="2"/>
  <c r="C10422" i="2"/>
  <c r="D10421" i="2"/>
  <c r="C10421" i="2"/>
  <c r="D10420" i="2"/>
  <c r="C10420" i="2"/>
  <c r="D10419" i="2"/>
  <c r="C10419" i="2"/>
  <c r="D10418" i="2"/>
  <c r="C10418" i="2"/>
  <c r="D10417" i="2"/>
  <c r="C10417" i="2"/>
  <c r="D10416" i="2"/>
  <c r="C10416" i="2"/>
  <c r="D10415" i="2"/>
  <c r="C10415" i="2"/>
  <c r="D10414" i="2"/>
  <c r="C10414" i="2"/>
  <c r="D10413" i="2"/>
  <c r="C10413" i="2"/>
  <c r="D10412" i="2"/>
  <c r="C10412" i="2"/>
  <c r="D10411" i="2"/>
  <c r="C10411" i="2"/>
  <c r="D10410" i="2"/>
  <c r="C10410" i="2"/>
  <c r="D10409" i="2"/>
  <c r="C10409" i="2"/>
  <c r="D10408" i="2"/>
  <c r="C10408" i="2"/>
  <c r="D10407" i="2"/>
  <c r="C10407" i="2"/>
  <c r="D10406" i="2"/>
  <c r="C10406" i="2"/>
  <c r="D10405" i="2"/>
  <c r="C10405" i="2"/>
  <c r="D10404" i="2"/>
  <c r="C10404" i="2"/>
  <c r="D10403" i="2"/>
  <c r="C10403" i="2"/>
  <c r="D10402" i="2"/>
  <c r="C10402" i="2"/>
  <c r="D10401" i="2"/>
  <c r="C10401" i="2"/>
  <c r="D10400" i="2"/>
  <c r="C10400" i="2"/>
  <c r="D10399" i="2"/>
  <c r="C10399" i="2"/>
  <c r="D10398" i="2"/>
  <c r="C10398" i="2"/>
  <c r="D10397" i="2"/>
  <c r="C10397" i="2"/>
  <c r="D10396" i="2"/>
  <c r="C10396" i="2"/>
  <c r="D10395" i="2"/>
  <c r="C10395" i="2"/>
  <c r="D10394" i="2"/>
  <c r="C10394" i="2"/>
  <c r="D10393" i="2"/>
  <c r="C10393" i="2"/>
  <c r="D10392" i="2"/>
  <c r="C10392" i="2"/>
  <c r="D10391" i="2"/>
  <c r="C10391" i="2"/>
  <c r="D10390" i="2"/>
  <c r="C10390" i="2"/>
  <c r="D10389" i="2"/>
  <c r="C10389" i="2"/>
  <c r="D10388" i="2"/>
  <c r="C10388" i="2"/>
  <c r="D10387" i="2"/>
  <c r="C10387" i="2"/>
  <c r="D10386" i="2"/>
  <c r="C10386" i="2"/>
  <c r="D10385" i="2"/>
  <c r="C10385" i="2"/>
  <c r="D10384" i="2"/>
  <c r="C10384" i="2"/>
  <c r="D10383" i="2"/>
  <c r="C10383" i="2"/>
  <c r="D10382" i="2"/>
  <c r="C10382" i="2"/>
  <c r="D10381" i="2"/>
  <c r="C10381" i="2"/>
  <c r="D10380" i="2"/>
  <c r="C10380" i="2"/>
  <c r="D10379" i="2"/>
  <c r="C10379" i="2"/>
  <c r="D10378" i="2"/>
  <c r="C10378" i="2"/>
  <c r="D10377" i="2"/>
  <c r="C10377" i="2"/>
  <c r="D10376" i="2"/>
  <c r="C10376" i="2"/>
  <c r="D10375" i="2"/>
  <c r="C10375" i="2"/>
  <c r="D10374" i="2"/>
  <c r="C10374" i="2"/>
  <c r="D10373" i="2"/>
  <c r="C10373" i="2"/>
  <c r="D10372" i="2"/>
  <c r="C10372" i="2"/>
  <c r="D10371" i="2"/>
  <c r="C10371" i="2"/>
  <c r="D10370" i="2"/>
  <c r="C10370" i="2"/>
  <c r="D10369" i="2"/>
  <c r="C10369" i="2"/>
  <c r="D10368" i="2"/>
  <c r="C10368" i="2"/>
  <c r="D10367" i="2"/>
  <c r="C10367" i="2"/>
  <c r="D10366" i="2"/>
  <c r="C10366" i="2"/>
  <c r="D10365" i="2"/>
  <c r="C10365" i="2"/>
  <c r="D10364" i="2"/>
  <c r="C10364" i="2"/>
  <c r="D10363" i="2"/>
  <c r="C10363" i="2"/>
  <c r="D10362" i="2"/>
  <c r="C10362" i="2"/>
  <c r="D10361" i="2"/>
  <c r="C10361" i="2"/>
  <c r="D10360" i="2"/>
  <c r="C10360" i="2"/>
  <c r="D10359" i="2"/>
  <c r="C10359" i="2"/>
  <c r="D10358" i="2"/>
  <c r="C10358" i="2"/>
  <c r="D10357" i="2"/>
  <c r="C10357" i="2"/>
  <c r="D10356" i="2"/>
  <c r="C10356" i="2"/>
  <c r="D10355" i="2"/>
  <c r="C10355" i="2"/>
  <c r="D10354" i="2"/>
  <c r="C10354" i="2"/>
  <c r="D10353" i="2"/>
  <c r="C10353" i="2"/>
  <c r="D10352" i="2"/>
  <c r="C10352" i="2"/>
  <c r="D10351" i="2"/>
  <c r="C10351" i="2"/>
  <c r="D10350" i="2"/>
  <c r="C10350" i="2"/>
  <c r="D10349" i="2"/>
  <c r="C10349" i="2"/>
  <c r="D10348" i="2"/>
  <c r="C10348" i="2"/>
  <c r="D10347" i="2"/>
  <c r="C10347" i="2"/>
  <c r="D10346" i="2"/>
  <c r="C10346" i="2"/>
  <c r="D10345" i="2"/>
  <c r="C10345" i="2"/>
  <c r="D10344" i="2"/>
  <c r="C10344" i="2"/>
  <c r="D10343" i="2"/>
  <c r="C10343" i="2"/>
  <c r="D10342" i="2"/>
  <c r="C10342" i="2"/>
  <c r="D10341" i="2"/>
  <c r="C10341" i="2"/>
  <c r="D10340" i="2"/>
  <c r="C10340" i="2"/>
  <c r="D10339" i="2"/>
  <c r="C10339" i="2"/>
  <c r="D10338" i="2"/>
  <c r="C10338" i="2"/>
  <c r="D10337" i="2"/>
  <c r="C10337" i="2"/>
  <c r="D10336" i="2"/>
  <c r="C10336" i="2"/>
  <c r="D10335" i="2"/>
  <c r="C10335" i="2"/>
  <c r="D10334" i="2"/>
  <c r="C10334" i="2"/>
  <c r="D10333" i="2"/>
  <c r="C10333" i="2"/>
  <c r="D10332" i="2"/>
  <c r="C10332" i="2"/>
  <c r="D10331" i="2"/>
  <c r="C10331" i="2"/>
  <c r="D10330" i="2"/>
  <c r="C10330" i="2"/>
  <c r="D10329" i="2"/>
  <c r="C10329" i="2"/>
  <c r="D10328" i="2"/>
  <c r="C10328" i="2"/>
  <c r="D10327" i="2"/>
  <c r="C10327" i="2"/>
  <c r="D10326" i="2"/>
  <c r="C10326" i="2"/>
  <c r="D10325" i="2"/>
  <c r="C10325" i="2"/>
  <c r="D10324" i="2"/>
  <c r="C10324" i="2"/>
  <c r="D10323" i="2"/>
  <c r="C10323" i="2"/>
  <c r="D10322" i="2"/>
  <c r="C10322" i="2"/>
  <c r="D10321" i="2"/>
  <c r="C10321" i="2"/>
  <c r="D10320" i="2"/>
  <c r="C10320" i="2"/>
  <c r="D10319" i="2"/>
  <c r="C10319" i="2"/>
  <c r="D10318" i="2"/>
  <c r="C10318" i="2"/>
  <c r="D10317" i="2"/>
  <c r="C10317" i="2"/>
  <c r="D10316" i="2"/>
  <c r="C10316" i="2"/>
  <c r="D10315" i="2"/>
  <c r="C10315" i="2"/>
  <c r="D10314" i="2"/>
  <c r="C10314" i="2"/>
  <c r="D10313" i="2"/>
  <c r="C10313" i="2"/>
  <c r="D10312" i="2"/>
  <c r="C10312" i="2"/>
  <c r="D10311" i="2"/>
  <c r="C10311" i="2"/>
  <c r="D10310" i="2"/>
  <c r="C10310" i="2"/>
  <c r="D10309" i="2"/>
  <c r="C10309" i="2"/>
  <c r="D10308" i="2"/>
  <c r="C10308" i="2"/>
  <c r="D10307" i="2"/>
  <c r="C10307" i="2"/>
  <c r="D10306" i="2"/>
  <c r="C10306" i="2"/>
  <c r="D10305" i="2"/>
  <c r="C10305" i="2"/>
  <c r="D10304" i="2"/>
  <c r="C10304" i="2"/>
  <c r="D10303" i="2"/>
  <c r="C10303" i="2"/>
  <c r="D10302" i="2"/>
  <c r="C10302" i="2"/>
  <c r="D10301" i="2"/>
  <c r="C10301" i="2"/>
  <c r="D10300" i="2"/>
  <c r="C10300" i="2"/>
  <c r="D10299" i="2"/>
  <c r="C10299" i="2"/>
  <c r="D10298" i="2"/>
  <c r="C10298" i="2"/>
  <c r="D10297" i="2"/>
  <c r="C10297" i="2"/>
  <c r="D10296" i="2"/>
  <c r="C10296" i="2"/>
  <c r="D10295" i="2"/>
  <c r="C10295" i="2"/>
  <c r="D10294" i="2"/>
  <c r="C10294" i="2"/>
  <c r="D10293" i="2"/>
  <c r="C10293" i="2"/>
  <c r="D10292" i="2"/>
  <c r="C10292" i="2"/>
  <c r="D10291" i="2"/>
  <c r="C10291" i="2"/>
  <c r="D10290" i="2"/>
  <c r="C10290" i="2"/>
  <c r="D10289" i="2"/>
  <c r="C10289" i="2"/>
  <c r="D10288" i="2"/>
  <c r="C10288" i="2"/>
  <c r="D10287" i="2"/>
  <c r="C10287" i="2"/>
  <c r="D10286" i="2"/>
  <c r="C10286" i="2"/>
  <c r="D10285" i="2"/>
  <c r="C10285" i="2"/>
  <c r="D10284" i="2"/>
  <c r="C10284" i="2"/>
  <c r="D10283" i="2"/>
  <c r="C10283" i="2"/>
  <c r="D10282" i="2"/>
  <c r="C10282" i="2"/>
  <c r="D10281" i="2"/>
  <c r="C10281" i="2"/>
  <c r="D10280" i="2"/>
  <c r="C10280" i="2"/>
  <c r="D10279" i="2"/>
  <c r="C10279" i="2"/>
  <c r="D10278" i="2"/>
  <c r="C10278" i="2"/>
  <c r="D10277" i="2"/>
  <c r="C10277" i="2"/>
  <c r="D10276" i="2"/>
  <c r="C10276" i="2"/>
  <c r="D10275" i="2"/>
  <c r="C10275" i="2"/>
  <c r="D10274" i="2"/>
  <c r="C10274" i="2"/>
  <c r="D10273" i="2"/>
  <c r="C10273" i="2"/>
  <c r="D10272" i="2"/>
  <c r="C10272" i="2"/>
  <c r="D10271" i="2"/>
  <c r="C10271" i="2"/>
  <c r="D10270" i="2"/>
  <c r="C10270" i="2"/>
  <c r="D10269" i="2"/>
  <c r="C10269" i="2"/>
  <c r="D10268" i="2"/>
  <c r="C10268" i="2"/>
  <c r="D10267" i="2"/>
  <c r="C10267" i="2"/>
  <c r="D10266" i="2"/>
  <c r="C10266" i="2"/>
  <c r="D10265" i="2"/>
  <c r="C10265" i="2"/>
  <c r="D10264" i="2"/>
  <c r="C10264" i="2"/>
  <c r="D10263" i="2"/>
  <c r="C10263" i="2"/>
  <c r="D10262" i="2"/>
  <c r="C10262" i="2"/>
  <c r="D10261" i="2"/>
  <c r="C10261" i="2"/>
  <c r="D10260" i="2"/>
  <c r="C10260" i="2"/>
  <c r="D10259" i="2"/>
  <c r="C10259" i="2"/>
  <c r="D10258" i="2"/>
  <c r="C10258" i="2"/>
  <c r="D10257" i="2"/>
  <c r="C10257" i="2"/>
  <c r="D10256" i="2"/>
  <c r="C10256" i="2"/>
  <c r="D10255" i="2"/>
  <c r="C10255" i="2"/>
  <c r="D10254" i="2"/>
  <c r="C10254" i="2"/>
  <c r="D10253" i="2"/>
  <c r="C10253" i="2"/>
  <c r="D10252" i="2"/>
  <c r="C10252" i="2"/>
  <c r="D10251" i="2"/>
  <c r="C10251" i="2"/>
  <c r="D10250" i="2"/>
  <c r="C10250" i="2"/>
  <c r="D10249" i="2"/>
  <c r="C10249" i="2"/>
  <c r="D10248" i="2"/>
  <c r="C10248" i="2"/>
  <c r="D10247" i="2"/>
  <c r="C10247" i="2"/>
  <c r="D10246" i="2"/>
  <c r="C10246" i="2"/>
  <c r="D10245" i="2"/>
  <c r="C10245" i="2"/>
  <c r="D10244" i="2"/>
  <c r="C10244" i="2"/>
  <c r="D10243" i="2"/>
  <c r="C10243" i="2"/>
  <c r="D10242" i="2"/>
  <c r="C10242" i="2"/>
  <c r="D10241" i="2"/>
  <c r="C10241" i="2"/>
  <c r="D10240" i="2"/>
  <c r="C10240" i="2"/>
  <c r="D10239" i="2"/>
  <c r="C10239" i="2"/>
  <c r="D10238" i="2"/>
  <c r="C10238" i="2"/>
  <c r="D10237" i="2"/>
  <c r="C10237" i="2"/>
  <c r="D10236" i="2"/>
  <c r="C10236" i="2"/>
  <c r="D10235" i="2"/>
  <c r="C10235" i="2"/>
  <c r="D10234" i="2"/>
  <c r="C10234" i="2"/>
  <c r="D10233" i="2"/>
  <c r="C10233" i="2"/>
  <c r="D10232" i="2"/>
  <c r="C10232" i="2"/>
  <c r="D10231" i="2"/>
  <c r="C10231" i="2"/>
  <c r="D10230" i="2"/>
  <c r="C10230" i="2"/>
  <c r="D10229" i="2"/>
  <c r="C10229" i="2"/>
  <c r="D10228" i="2"/>
  <c r="C10228" i="2"/>
  <c r="D10227" i="2"/>
  <c r="C10227" i="2"/>
  <c r="D10226" i="2"/>
  <c r="C10226" i="2"/>
  <c r="D10225" i="2"/>
  <c r="C10225" i="2"/>
  <c r="D10224" i="2"/>
  <c r="C10224" i="2"/>
  <c r="D10223" i="2"/>
  <c r="C10223" i="2"/>
  <c r="D10222" i="2"/>
  <c r="C10222" i="2"/>
  <c r="D10221" i="2"/>
  <c r="C10221" i="2"/>
  <c r="D10220" i="2"/>
  <c r="C10220" i="2"/>
  <c r="D10219" i="2"/>
  <c r="C10219" i="2"/>
  <c r="D10218" i="2"/>
  <c r="C10218" i="2"/>
  <c r="D10217" i="2"/>
  <c r="C10217" i="2"/>
  <c r="D10216" i="2"/>
  <c r="C10216" i="2"/>
  <c r="D10215" i="2"/>
  <c r="C10215" i="2"/>
  <c r="D10214" i="2"/>
  <c r="C10214" i="2"/>
  <c r="D10213" i="2"/>
  <c r="C10213" i="2"/>
  <c r="D10212" i="2"/>
  <c r="C10212" i="2"/>
  <c r="D10211" i="2"/>
  <c r="C10211" i="2"/>
  <c r="D10210" i="2"/>
  <c r="C10210" i="2"/>
  <c r="D10209" i="2"/>
  <c r="C10209" i="2"/>
  <c r="D10208" i="2"/>
  <c r="C10208" i="2"/>
  <c r="D10207" i="2"/>
  <c r="C10207" i="2"/>
  <c r="D10206" i="2"/>
  <c r="C10206" i="2"/>
  <c r="D10205" i="2"/>
  <c r="C10205" i="2"/>
  <c r="D10204" i="2"/>
  <c r="C10204" i="2"/>
  <c r="D10203" i="2"/>
  <c r="C10203" i="2"/>
  <c r="D10202" i="2"/>
  <c r="C10202" i="2"/>
  <c r="D10201" i="2"/>
  <c r="C10201" i="2"/>
  <c r="D10200" i="2"/>
  <c r="C10200" i="2"/>
  <c r="D10199" i="2"/>
  <c r="C10199" i="2"/>
  <c r="D10198" i="2"/>
  <c r="C10198" i="2"/>
  <c r="D10197" i="2"/>
  <c r="C10197" i="2"/>
  <c r="D10196" i="2"/>
  <c r="C10196" i="2"/>
  <c r="D10195" i="2"/>
  <c r="C10195" i="2"/>
  <c r="D10194" i="2"/>
  <c r="C10194" i="2"/>
  <c r="D10193" i="2"/>
  <c r="C10193" i="2"/>
  <c r="D10192" i="2"/>
  <c r="C10192" i="2"/>
  <c r="D10191" i="2"/>
  <c r="C10191" i="2"/>
  <c r="D10190" i="2"/>
  <c r="C10190" i="2"/>
  <c r="D10189" i="2"/>
  <c r="C10189" i="2"/>
  <c r="D10188" i="2"/>
  <c r="C10188" i="2"/>
  <c r="D10187" i="2"/>
  <c r="C10187" i="2"/>
  <c r="D10186" i="2"/>
  <c r="C10186" i="2"/>
  <c r="D10185" i="2"/>
  <c r="C10185" i="2"/>
  <c r="D10184" i="2"/>
  <c r="C10184" i="2"/>
  <c r="D10183" i="2"/>
  <c r="C10183" i="2"/>
  <c r="D10182" i="2"/>
  <c r="C10182" i="2"/>
  <c r="D10181" i="2"/>
  <c r="C10181" i="2"/>
  <c r="D10180" i="2"/>
  <c r="C10180" i="2"/>
  <c r="D10179" i="2"/>
  <c r="C10179" i="2"/>
  <c r="D10178" i="2"/>
  <c r="C10178" i="2"/>
  <c r="D10177" i="2"/>
  <c r="C10177" i="2"/>
  <c r="D10176" i="2"/>
  <c r="C10176" i="2"/>
  <c r="D10175" i="2"/>
  <c r="C10175" i="2"/>
  <c r="D10174" i="2"/>
  <c r="C10174" i="2"/>
  <c r="D10173" i="2"/>
  <c r="C10173" i="2"/>
  <c r="D10172" i="2"/>
  <c r="C10172" i="2"/>
  <c r="D10171" i="2"/>
  <c r="C10171" i="2"/>
  <c r="D10170" i="2"/>
  <c r="C10170" i="2"/>
  <c r="D10169" i="2"/>
  <c r="C10169" i="2"/>
  <c r="D10168" i="2"/>
  <c r="C10168" i="2"/>
  <c r="D10167" i="2"/>
  <c r="C10167" i="2"/>
  <c r="D10166" i="2"/>
  <c r="C10166" i="2"/>
  <c r="D10165" i="2"/>
  <c r="C10165" i="2"/>
  <c r="D10164" i="2"/>
  <c r="C10164" i="2"/>
  <c r="D10163" i="2"/>
  <c r="C10163" i="2"/>
  <c r="D10162" i="2"/>
  <c r="C10162" i="2"/>
  <c r="D10161" i="2"/>
  <c r="C10161" i="2"/>
  <c r="D10160" i="2"/>
  <c r="C10160" i="2"/>
  <c r="D10159" i="2"/>
  <c r="C10159" i="2"/>
  <c r="D10158" i="2"/>
  <c r="C10158" i="2"/>
  <c r="D10157" i="2"/>
  <c r="C10157" i="2"/>
  <c r="D10156" i="2"/>
  <c r="C10156" i="2"/>
  <c r="D10155" i="2"/>
  <c r="C10155" i="2"/>
  <c r="D10154" i="2"/>
  <c r="C10154" i="2"/>
  <c r="D10153" i="2"/>
  <c r="C10153" i="2"/>
  <c r="D10152" i="2"/>
  <c r="C10152" i="2"/>
  <c r="D10151" i="2"/>
  <c r="C10151" i="2"/>
  <c r="D10150" i="2"/>
  <c r="C10150" i="2"/>
  <c r="D10149" i="2"/>
  <c r="C10149" i="2"/>
  <c r="D10148" i="2"/>
  <c r="C10148" i="2"/>
  <c r="D10147" i="2"/>
  <c r="C10147" i="2"/>
  <c r="D10146" i="2"/>
  <c r="C10146" i="2"/>
  <c r="D10145" i="2"/>
  <c r="C10145" i="2"/>
  <c r="D10144" i="2"/>
  <c r="C10144" i="2"/>
  <c r="D10143" i="2"/>
  <c r="C10143" i="2"/>
  <c r="D10142" i="2"/>
  <c r="C10142" i="2"/>
  <c r="D10141" i="2"/>
  <c r="C10141" i="2"/>
  <c r="D10140" i="2"/>
  <c r="C10140" i="2"/>
  <c r="D10139" i="2"/>
  <c r="C10139" i="2"/>
  <c r="D10138" i="2"/>
  <c r="C10138" i="2"/>
  <c r="D10137" i="2"/>
  <c r="C10137" i="2"/>
  <c r="D10136" i="2"/>
  <c r="C10136" i="2"/>
  <c r="D10135" i="2"/>
  <c r="C10135" i="2"/>
  <c r="D10134" i="2"/>
  <c r="C10134" i="2"/>
  <c r="D10133" i="2"/>
  <c r="C10133" i="2"/>
  <c r="D10132" i="2"/>
  <c r="C10132" i="2"/>
  <c r="D10131" i="2"/>
  <c r="C10131" i="2"/>
  <c r="D10130" i="2"/>
  <c r="C10130" i="2"/>
  <c r="D10129" i="2"/>
  <c r="C10129" i="2"/>
  <c r="D10128" i="2"/>
  <c r="C10128" i="2"/>
  <c r="D10127" i="2"/>
  <c r="C10127" i="2"/>
  <c r="D10126" i="2"/>
  <c r="C10126" i="2"/>
  <c r="D10125" i="2"/>
  <c r="C10125" i="2"/>
  <c r="D10124" i="2"/>
  <c r="C10124" i="2"/>
  <c r="D10123" i="2"/>
  <c r="C10123" i="2"/>
  <c r="D10122" i="2"/>
  <c r="C10122" i="2"/>
  <c r="D10121" i="2"/>
  <c r="C10121" i="2"/>
  <c r="D10120" i="2"/>
  <c r="C10120" i="2"/>
  <c r="D10119" i="2"/>
  <c r="C10119" i="2"/>
  <c r="D10118" i="2"/>
  <c r="C10118" i="2"/>
  <c r="D10117" i="2"/>
  <c r="C10117" i="2"/>
  <c r="D10116" i="2"/>
  <c r="C10116" i="2"/>
  <c r="D10115" i="2"/>
  <c r="C10115" i="2"/>
  <c r="D10114" i="2"/>
  <c r="C10114" i="2"/>
  <c r="D10113" i="2"/>
  <c r="C10113" i="2"/>
  <c r="D10112" i="2"/>
  <c r="C10112" i="2"/>
  <c r="D10111" i="2"/>
  <c r="C10111" i="2"/>
  <c r="D10110" i="2"/>
  <c r="C10110" i="2"/>
  <c r="D10109" i="2"/>
  <c r="C10109" i="2"/>
  <c r="D10108" i="2"/>
  <c r="C10108" i="2"/>
  <c r="D10107" i="2"/>
  <c r="C10107" i="2"/>
  <c r="D10106" i="2"/>
  <c r="C10106" i="2"/>
  <c r="D10105" i="2"/>
  <c r="C10105" i="2"/>
  <c r="D10104" i="2"/>
  <c r="C10104" i="2"/>
  <c r="D10103" i="2"/>
  <c r="C10103" i="2"/>
  <c r="D10102" i="2"/>
  <c r="C10102" i="2"/>
  <c r="D10101" i="2"/>
  <c r="C10101" i="2"/>
  <c r="D10100" i="2"/>
  <c r="C10100" i="2"/>
  <c r="D10099" i="2"/>
  <c r="C10099" i="2"/>
  <c r="D10098" i="2"/>
  <c r="C10098" i="2"/>
  <c r="D10097" i="2"/>
  <c r="C10097" i="2"/>
  <c r="D10096" i="2"/>
  <c r="C10096" i="2"/>
  <c r="D10095" i="2"/>
  <c r="C10095" i="2"/>
  <c r="D10094" i="2"/>
  <c r="C10094" i="2"/>
  <c r="D10093" i="2"/>
  <c r="C10093" i="2"/>
  <c r="D10092" i="2"/>
  <c r="C10092" i="2"/>
  <c r="D10091" i="2"/>
  <c r="C10091" i="2"/>
  <c r="D10090" i="2"/>
  <c r="C10090" i="2"/>
  <c r="D10089" i="2"/>
  <c r="C10089" i="2"/>
  <c r="D10088" i="2"/>
  <c r="C10088" i="2"/>
  <c r="D10087" i="2"/>
  <c r="C10087" i="2"/>
  <c r="D10086" i="2"/>
  <c r="C10086" i="2"/>
  <c r="D10085" i="2"/>
  <c r="C10085" i="2"/>
  <c r="D10084" i="2"/>
  <c r="C10084" i="2"/>
  <c r="D10083" i="2"/>
  <c r="C10083" i="2"/>
  <c r="D10082" i="2"/>
  <c r="C10082" i="2"/>
  <c r="D10081" i="2"/>
  <c r="C10081" i="2"/>
  <c r="D10080" i="2"/>
  <c r="C10080" i="2"/>
  <c r="D10079" i="2"/>
  <c r="C10079" i="2"/>
  <c r="D10078" i="2"/>
  <c r="C10078" i="2"/>
  <c r="D10077" i="2"/>
  <c r="C10077" i="2"/>
  <c r="D10076" i="2"/>
  <c r="C10076" i="2"/>
  <c r="D10075" i="2"/>
  <c r="C10075" i="2"/>
  <c r="D10074" i="2"/>
  <c r="C10074" i="2"/>
  <c r="D10073" i="2"/>
  <c r="C10073" i="2"/>
  <c r="D10072" i="2"/>
  <c r="C10072" i="2"/>
  <c r="D10071" i="2"/>
  <c r="C10071" i="2"/>
  <c r="D10070" i="2"/>
  <c r="C10070" i="2"/>
  <c r="D10069" i="2"/>
  <c r="C10069" i="2"/>
  <c r="D10068" i="2"/>
  <c r="C10068" i="2"/>
  <c r="D10067" i="2"/>
  <c r="C10067" i="2"/>
  <c r="D10066" i="2"/>
  <c r="C10066" i="2"/>
  <c r="D10065" i="2"/>
  <c r="C10065" i="2"/>
  <c r="D10064" i="2"/>
  <c r="C10064" i="2"/>
  <c r="D10063" i="2"/>
  <c r="C10063" i="2"/>
  <c r="D10062" i="2"/>
  <c r="C10062" i="2"/>
  <c r="D10061" i="2"/>
  <c r="C10061" i="2"/>
  <c r="D10060" i="2"/>
  <c r="C10060" i="2"/>
  <c r="D10059" i="2"/>
  <c r="C10059" i="2"/>
  <c r="D10058" i="2"/>
  <c r="C10058" i="2"/>
  <c r="D10057" i="2"/>
  <c r="C10057" i="2"/>
  <c r="D10056" i="2"/>
  <c r="C10056" i="2"/>
  <c r="D10055" i="2"/>
  <c r="C10055" i="2"/>
  <c r="D10054" i="2"/>
  <c r="C10054" i="2"/>
  <c r="D10053" i="2"/>
  <c r="C10053" i="2"/>
  <c r="D10052" i="2"/>
  <c r="C10052" i="2"/>
  <c r="D10051" i="2"/>
  <c r="C10051" i="2"/>
  <c r="D10050" i="2"/>
  <c r="C10050" i="2"/>
  <c r="D10049" i="2"/>
  <c r="C10049" i="2"/>
  <c r="D10048" i="2"/>
  <c r="C10048" i="2"/>
  <c r="D10047" i="2"/>
  <c r="C10047" i="2"/>
  <c r="D10046" i="2"/>
  <c r="C10046" i="2"/>
  <c r="D10045" i="2"/>
  <c r="C10045" i="2"/>
  <c r="D10044" i="2"/>
  <c r="C10044" i="2"/>
  <c r="D10043" i="2"/>
  <c r="C10043" i="2"/>
  <c r="D10042" i="2"/>
  <c r="C10042" i="2"/>
  <c r="D10041" i="2"/>
  <c r="C10041" i="2"/>
  <c r="D10040" i="2"/>
  <c r="C10040" i="2"/>
  <c r="D10039" i="2"/>
  <c r="C10039" i="2"/>
  <c r="D10038" i="2"/>
  <c r="C10038" i="2"/>
  <c r="D10037" i="2"/>
  <c r="C10037" i="2"/>
  <c r="D10036" i="2"/>
  <c r="C10036" i="2"/>
  <c r="D10035" i="2"/>
  <c r="C10035" i="2"/>
  <c r="D10034" i="2"/>
  <c r="C10034" i="2"/>
  <c r="D10033" i="2"/>
  <c r="C10033" i="2"/>
  <c r="D10032" i="2"/>
  <c r="C10032" i="2"/>
  <c r="D10031" i="2"/>
  <c r="C10031" i="2"/>
  <c r="D10030" i="2"/>
  <c r="C10030" i="2"/>
  <c r="D10029" i="2"/>
  <c r="C10029" i="2"/>
  <c r="D10028" i="2"/>
  <c r="C10028" i="2"/>
  <c r="D10027" i="2"/>
  <c r="C10027" i="2"/>
  <c r="D10026" i="2"/>
  <c r="C10026" i="2"/>
  <c r="D10025" i="2"/>
  <c r="C10025" i="2"/>
  <c r="D10024" i="2"/>
  <c r="C10024" i="2"/>
  <c r="D10023" i="2"/>
  <c r="C10023" i="2"/>
  <c r="D10022" i="2"/>
  <c r="C10022" i="2"/>
  <c r="D10021" i="2"/>
  <c r="C10021" i="2"/>
  <c r="D10020" i="2"/>
  <c r="C10020" i="2"/>
  <c r="D10019" i="2"/>
  <c r="C10019" i="2"/>
  <c r="D10018" i="2"/>
  <c r="C10018" i="2"/>
  <c r="D10017" i="2"/>
  <c r="C10017" i="2"/>
  <c r="D10016" i="2"/>
  <c r="C10016" i="2"/>
  <c r="D10015" i="2"/>
  <c r="C10015" i="2"/>
  <c r="D10014" i="2"/>
  <c r="C10014" i="2"/>
  <c r="D10013" i="2"/>
  <c r="C10013" i="2"/>
  <c r="D10012" i="2"/>
  <c r="C10012" i="2"/>
  <c r="D10011" i="2"/>
  <c r="C10011" i="2"/>
  <c r="D10010" i="2"/>
  <c r="C10010" i="2"/>
  <c r="D10009" i="2"/>
  <c r="C10009" i="2"/>
  <c r="D10008" i="2"/>
  <c r="C10008" i="2"/>
  <c r="D10007" i="2"/>
  <c r="C10007" i="2"/>
  <c r="D10006" i="2"/>
  <c r="C10006" i="2"/>
  <c r="D10005" i="2"/>
  <c r="C10005" i="2"/>
  <c r="D10004" i="2"/>
  <c r="C10004" i="2"/>
  <c r="D10003" i="2"/>
  <c r="C10003" i="2"/>
  <c r="D10002" i="2"/>
  <c r="C10002" i="2"/>
  <c r="D10001" i="2"/>
  <c r="C10001" i="2"/>
  <c r="D10000" i="2"/>
  <c r="C10000" i="2"/>
  <c r="D9999" i="2"/>
  <c r="C9999" i="2"/>
  <c r="D9998" i="2"/>
  <c r="C9998" i="2"/>
  <c r="D9988" i="2"/>
  <c r="C9988" i="2"/>
  <c r="D9978" i="2"/>
  <c r="C9978" i="2"/>
  <c r="D9977" i="2"/>
  <c r="C9977" i="2"/>
  <c r="D9976" i="2"/>
  <c r="C9976" i="2"/>
  <c r="D9975" i="2"/>
  <c r="C9975" i="2"/>
  <c r="D9974" i="2"/>
  <c r="C9974" i="2"/>
  <c r="D9973" i="2"/>
  <c r="C9973" i="2"/>
  <c r="D9972" i="2"/>
  <c r="C9972" i="2"/>
  <c r="D9971" i="2"/>
  <c r="C9971" i="2"/>
  <c r="D9970" i="2"/>
  <c r="C9970" i="2"/>
  <c r="D9969" i="2"/>
  <c r="C9969" i="2"/>
  <c r="D9968" i="2"/>
  <c r="C9968" i="2"/>
  <c r="D9967" i="2"/>
  <c r="C9967" i="2"/>
  <c r="D9966" i="2"/>
  <c r="C9966" i="2"/>
  <c r="D9965" i="2"/>
  <c r="C9965" i="2"/>
  <c r="D9964" i="2"/>
  <c r="C9964" i="2"/>
  <c r="D9963" i="2"/>
  <c r="C9963" i="2"/>
  <c r="D9962" i="2"/>
  <c r="C9962" i="2"/>
  <c r="D9961" i="2"/>
  <c r="C9961" i="2"/>
  <c r="D9960" i="2"/>
  <c r="C9960" i="2"/>
  <c r="D9959" i="2"/>
  <c r="C9959" i="2"/>
  <c r="D9958" i="2"/>
  <c r="C9958" i="2"/>
  <c r="D9957" i="2"/>
  <c r="C9957" i="2"/>
  <c r="D9956" i="2"/>
  <c r="C9956" i="2"/>
  <c r="D9955" i="2"/>
  <c r="C9955" i="2"/>
  <c r="D9954" i="2"/>
  <c r="C9954" i="2"/>
  <c r="D9953" i="2"/>
  <c r="C9953" i="2"/>
  <c r="D9952" i="2"/>
  <c r="C9952" i="2"/>
  <c r="D9951" i="2"/>
  <c r="C9951" i="2"/>
  <c r="D9950" i="2"/>
  <c r="C9950" i="2"/>
  <c r="D9949" i="2"/>
  <c r="C9949" i="2"/>
  <c r="D9948" i="2"/>
  <c r="C9948" i="2"/>
  <c r="D9947" i="2"/>
  <c r="C9947" i="2"/>
  <c r="D9946" i="2"/>
  <c r="C9946" i="2"/>
  <c r="D9945" i="2"/>
  <c r="C9945" i="2"/>
  <c r="D9944" i="2"/>
  <c r="C9944" i="2"/>
  <c r="D9943" i="2"/>
  <c r="C9943" i="2"/>
  <c r="D9942" i="2"/>
  <c r="C9942" i="2"/>
  <c r="D9941" i="2"/>
  <c r="C9941" i="2"/>
  <c r="D9940" i="2"/>
  <c r="C9940" i="2"/>
  <c r="D9939" i="2"/>
  <c r="C9939" i="2"/>
  <c r="D9938" i="2"/>
  <c r="C9938" i="2"/>
  <c r="D9937" i="2"/>
  <c r="C9937" i="2"/>
  <c r="D9936" i="2"/>
  <c r="C9936" i="2"/>
  <c r="D9935" i="2"/>
  <c r="C9935" i="2"/>
  <c r="D9934" i="2"/>
  <c r="C9934" i="2"/>
  <c r="D9933" i="2"/>
  <c r="C9933" i="2"/>
  <c r="D9932" i="2"/>
  <c r="C9932" i="2"/>
  <c r="D9931" i="2"/>
  <c r="C9931" i="2"/>
  <c r="D9930" i="2"/>
  <c r="C9930" i="2"/>
  <c r="D9929" i="2"/>
  <c r="C9929" i="2"/>
  <c r="D9928" i="2"/>
  <c r="C9928" i="2"/>
  <c r="D9927" i="2"/>
  <c r="C9927" i="2"/>
  <c r="D9926" i="2"/>
  <c r="C9926" i="2"/>
  <c r="D9925" i="2"/>
  <c r="C9925" i="2"/>
  <c r="D9924" i="2"/>
  <c r="C9924" i="2"/>
  <c r="D9923" i="2"/>
  <c r="C9923" i="2"/>
  <c r="D9922" i="2"/>
  <c r="C9922" i="2"/>
  <c r="D9921" i="2"/>
  <c r="C9921" i="2"/>
  <c r="D9920" i="2"/>
  <c r="C9920" i="2"/>
  <c r="D9919" i="2"/>
  <c r="C9919" i="2"/>
  <c r="D9918" i="2"/>
  <c r="C9918" i="2"/>
  <c r="D9917" i="2"/>
  <c r="C9917" i="2"/>
  <c r="D9916" i="2"/>
  <c r="C9916" i="2"/>
  <c r="D9915" i="2"/>
  <c r="C9915" i="2"/>
  <c r="D9914" i="2"/>
  <c r="C9914" i="2"/>
  <c r="D9913" i="2"/>
  <c r="C9913" i="2"/>
  <c r="D9912" i="2"/>
  <c r="C9912" i="2"/>
  <c r="D9911" i="2"/>
  <c r="C9911" i="2"/>
  <c r="D9910" i="2"/>
  <c r="C9910" i="2"/>
  <c r="D9909" i="2"/>
  <c r="C9909" i="2"/>
  <c r="D9908" i="2"/>
  <c r="C9908" i="2"/>
  <c r="D9907" i="2"/>
  <c r="C9907" i="2"/>
  <c r="D9906" i="2"/>
  <c r="C9906" i="2"/>
  <c r="D9905" i="2"/>
  <c r="C9905" i="2"/>
  <c r="D9904" i="2"/>
  <c r="C9904" i="2"/>
  <c r="D9903" i="2"/>
  <c r="C9903" i="2"/>
  <c r="D9902" i="2"/>
  <c r="C9902" i="2"/>
  <c r="D9901" i="2"/>
  <c r="C9901" i="2"/>
  <c r="D9900" i="2"/>
  <c r="C9900" i="2"/>
  <c r="D9899" i="2"/>
  <c r="C9899" i="2"/>
  <c r="D9898" i="2"/>
  <c r="C9898" i="2"/>
  <c r="D9897" i="2"/>
  <c r="C9897" i="2"/>
  <c r="D9896" i="2"/>
  <c r="C9896" i="2"/>
  <c r="D9895" i="2"/>
  <c r="C9895" i="2"/>
  <c r="D9894" i="2"/>
  <c r="C9894" i="2"/>
  <c r="D9893" i="2"/>
  <c r="C9893" i="2"/>
  <c r="D9892" i="2"/>
  <c r="C9892" i="2"/>
  <c r="D9891" i="2"/>
  <c r="C9891" i="2"/>
  <c r="D9890" i="2"/>
  <c r="C9890" i="2"/>
  <c r="D9889" i="2"/>
  <c r="C9889" i="2"/>
  <c r="D9888" i="2"/>
  <c r="C9888" i="2"/>
  <c r="D9887" i="2"/>
  <c r="C9887" i="2"/>
  <c r="D9886" i="2"/>
  <c r="C9886" i="2"/>
  <c r="D9885" i="2"/>
  <c r="C9885" i="2"/>
  <c r="D9884" i="2"/>
  <c r="C9884" i="2"/>
  <c r="D9883" i="2"/>
  <c r="C9883" i="2"/>
  <c r="D9882" i="2"/>
  <c r="C9882" i="2"/>
  <c r="D9881" i="2"/>
  <c r="C9881" i="2"/>
  <c r="D9880" i="2"/>
  <c r="C9880" i="2"/>
  <c r="D9879" i="2"/>
  <c r="C9879" i="2"/>
  <c r="D9878" i="2"/>
  <c r="C9878" i="2"/>
  <c r="D9877" i="2"/>
  <c r="C9877" i="2"/>
  <c r="D9876" i="2"/>
  <c r="C9876" i="2"/>
  <c r="D9875" i="2"/>
  <c r="C9875" i="2"/>
  <c r="D9874" i="2"/>
  <c r="C9874" i="2"/>
  <c r="D9873" i="2"/>
  <c r="C9873" i="2"/>
  <c r="D9872" i="2"/>
  <c r="C9872" i="2"/>
  <c r="D9871" i="2"/>
  <c r="C9871" i="2"/>
  <c r="D9870" i="2"/>
  <c r="C9870" i="2"/>
  <c r="D9869" i="2"/>
  <c r="C9869" i="2"/>
  <c r="D9868" i="2"/>
  <c r="C9868" i="2"/>
  <c r="D9867" i="2"/>
  <c r="C9867" i="2"/>
  <c r="D9866" i="2"/>
  <c r="C9866" i="2"/>
  <c r="D9865" i="2"/>
  <c r="C9865" i="2"/>
  <c r="D9864" i="2"/>
  <c r="C9864" i="2"/>
  <c r="D9863" i="2"/>
  <c r="C9863" i="2"/>
  <c r="D9862" i="2"/>
  <c r="C9862" i="2"/>
  <c r="D9861" i="2"/>
  <c r="C9861" i="2"/>
  <c r="D9860" i="2"/>
  <c r="C9860" i="2"/>
  <c r="D9859" i="2"/>
  <c r="C9859" i="2"/>
  <c r="D9858" i="2"/>
  <c r="C9858" i="2"/>
  <c r="D9857" i="2"/>
  <c r="C9857" i="2"/>
  <c r="D9856" i="2"/>
  <c r="C9856" i="2"/>
  <c r="D9855" i="2"/>
  <c r="C9855" i="2"/>
  <c r="D9854" i="2"/>
  <c r="C9854" i="2"/>
  <c r="D9853" i="2"/>
  <c r="C9853" i="2"/>
  <c r="D9852" i="2"/>
  <c r="C9852" i="2"/>
  <c r="D9851" i="2"/>
  <c r="C9851" i="2"/>
  <c r="D9850" i="2"/>
  <c r="C9850" i="2"/>
  <c r="D9849" i="2"/>
  <c r="C9849" i="2"/>
  <c r="D9848" i="2"/>
  <c r="C9848" i="2"/>
  <c r="D9847" i="2"/>
  <c r="C9847" i="2"/>
  <c r="D9837" i="2"/>
  <c r="C9837" i="2"/>
  <c r="D9836" i="2"/>
  <c r="C9836" i="2"/>
  <c r="D9835" i="2"/>
  <c r="C9835" i="2"/>
  <c r="D9834" i="2"/>
  <c r="C9834" i="2"/>
  <c r="D9833" i="2"/>
  <c r="C9833" i="2"/>
  <c r="D9832" i="2"/>
  <c r="C9832" i="2"/>
  <c r="D9831" i="2"/>
  <c r="C9831" i="2"/>
  <c r="D9830" i="2"/>
  <c r="C9830" i="2"/>
  <c r="D9829" i="2"/>
  <c r="C9829" i="2"/>
  <c r="D9828" i="2"/>
  <c r="C9828" i="2"/>
  <c r="D9827" i="2"/>
  <c r="C9827" i="2"/>
  <c r="D9826" i="2"/>
  <c r="C9826" i="2"/>
  <c r="D9825" i="2"/>
  <c r="C9825" i="2"/>
  <c r="D9824" i="2"/>
  <c r="C9824" i="2"/>
  <c r="D9823" i="2"/>
  <c r="C9823" i="2"/>
  <c r="D9822" i="2"/>
  <c r="C9822" i="2"/>
  <c r="D9821" i="2"/>
  <c r="C9821" i="2"/>
  <c r="D9820" i="2"/>
  <c r="C9820" i="2"/>
  <c r="D9819" i="2"/>
  <c r="C9819" i="2"/>
  <c r="D9818" i="2"/>
  <c r="C9818" i="2"/>
  <c r="D9817" i="2"/>
  <c r="C9817" i="2"/>
  <c r="D9816" i="2"/>
  <c r="C9816" i="2"/>
  <c r="D9815" i="2"/>
  <c r="C9815" i="2"/>
  <c r="D9814" i="2"/>
  <c r="C9814" i="2"/>
  <c r="D9813" i="2"/>
  <c r="C9813" i="2"/>
  <c r="D9812" i="2"/>
  <c r="C9812" i="2"/>
  <c r="D9811" i="2"/>
  <c r="C9811" i="2"/>
  <c r="D9810" i="2"/>
  <c r="C9810" i="2"/>
  <c r="D9809" i="2"/>
  <c r="C9809" i="2"/>
  <c r="D9808" i="2"/>
  <c r="C9808" i="2"/>
  <c r="D9807" i="2"/>
  <c r="C9807" i="2"/>
  <c r="D9806" i="2"/>
  <c r="C9806" i="2"/>
  <c r="D9805" i="2"/>
  <c r="C9805" i="2"/>
  <c r="D9804" i="2"/>
  <c r="C9804" i="2"/>
  <c r="D9803" i="2"/>
  <c r="C9803" i="2"/>
  <c r="D9802" i="2"/>
  <c r="C9802" i="2"/>
  <c r="D9801" i="2"/>
  <c r="C9801" i="2"/>
  <c r="D9800" i="2"/>
  <c r="C9800" i="2"/>
  <c r="D9799" i="2"/>
  <c r="C9799" i="2"/>
  <c r="D9798" i="2"/>
  <c r="C9798" i="2"/>
  <c r="D9797" i="2"/>
  <c r="C9797" i="2"/>
  <c r="D9796" i="2"/>
  <c r="C9796" i="2"/>
  <c r="D9795" i="2"/>
  <c r="C9795" i="2"/>
  <c r="D9794" i="2"/>
  <c r="C9794" i="2"/>
  <c r="D9793" i="2"/>
  <c r="C9793" i="2"/>
  <c r="D9792" i="2"/>
  <c r="C9792" i="2"/>
  <c r="D9791" i="2"/>
  <c r="C9791" i="2"/>
  <c r="D9790" i="2"/>
  <c r="C9790" i="2"/>
  <c r="D9789" i="2"/>
  <c r="C9789" i="2"/>
  <c r="D9788" i="2"/>
  <c r="C9788" i="2"/>
  <c r="D9787" i="2"/>
  <c r="C9787" i="2"/>
  <c r="D9786" i="2"/>
  <c r="C9786" i="2"/>
  <c r="D9785" i="2"/>
  <c r="C9785" i="2"/>
  <c r="D9784" i="2"/>
  <c r="C9784" i="2"/>
  <c r="D9774" i="2"/>
  <c r="C9774" i="2"/>
  <c r="D9773" i="2"/>
  <c r="C9773" i="2"/>
  <c r="D9772" i="2"/>
  <c r="C9772" i="2"/>
  <c r="D9771" i="2"/>
  <c r="C9771" i="2"/>
  <c r="D9770" i="2"/>
  <c r="C9770" i="2"/>
  <c r="D9769" i="2"/>
  <c r="C9769" i="2"/>
  <c r="D9768" i="2"/>
  <c r="C9768" i="2"/>
  <c r="D9767" i="2"/>
  <c r="C9767" i="2"/>
  <c r="D9766" i="2"/>
  <c r="C9766" i="2"/>
  <c r="D9765" i="2"/>
  <c r="C9765" i="2"/>
  <c r="D9764" i="2"/>
  <c r="C9764" i="2"/>
  <c r="D9763" i="2"/>
  <c r="C9763" i="2"/>
  <c r="D9762" i="2"/>
  <c r="C9762" i="2"/>
  <c r="D9761" i="2"/>
  <c r="C9761" i="2"/>
  <c r="D9760" i="2"/>
  <c r="C9760" i="2"/>
  <c r="D9759" i="2"/>
  <c r="C9759" i="2"/>
  <c r="D9758" i="2"/>
  <c r="C9758" i="2"/>
  <c r="D9757" i="2"/>
  <c r="C9757" i="2"/>
  <c r="D9756" i="2"/>
  <c r="C9756" i="2"/>
  <c r="D9755" i="2"/>
  <c r="C9755" i="2"/>
  <c r="D9754" i="2"/>
  <c r="C9754" i="2"/>
  <c r="D9753" i="2"/>
  <c r="C9753" i="2"/>
  <c r="D9752" i="2"/>
  <c r="C9752" i="2"/>
  <c r="D9751" i="2"/>
  <c r="C9751" i="2"/>
  <c r="D9750" i="2"/>
  <c r="C9750" i="2"/>
  <c r="D9749" i="2"/>
  <c r="C9749" i="2"/>
  <c r="D9748" i="2"/>
  <c r="C9748" i="2"/>
  <c r="D9747" i="2"/>
  <c r="C9747" i="2"/>
  <c r="D9746" i="2"/>
  <c r="C9746" i="2"/>
  <c r="D9745" i="2"/>
  <c r="C9745" i="2"/>
  <c r="D9744" i="2"/>
  <c r="C9744" i="2"/>
  <c r="D9743" i="2"/>
  <c r="C9743" i="2"/>
  <c r="D9742" i="2"/>
  <c r="C9742" i="2"/>
  <c r="D9741" i="2"/>
  <c r="C9741" i="2"/>
  <c r="D9740" i="2"/>
  <c r="C9740" i="2"/>
  <c r="D9739" i="2"/>
  <c r="C9739" i="2"/>
  <c r="D9738" i="2"/>
  <c r="C9738" i="2"/>
  <c r="D9737" i="2"/>
  <c r="C9737" i="2"/>
  <c r="D9736" i="2"/>
  <c r="C9736" i="2"/>
  <c r="D9735" i="2"/>
  <c r="C9735" i="2"/>
  <c r="D9734" i="2"/>
  <c r="C9734" i="2"/>
  <c r="D9733" i="2"/>
  <c r="C9733" i="2"/>
  <c r="D9732" i="2"/>
  <c r="C9732" i="2"/>
  <c r="D9731" i="2"/>
  <c r="C9731" i="2"/>
  <c r="D9730" i="2"/>
  <c r="C9730" i="2"/>
  <c r="D9729" i="2"/>
  <c r="C9729" i="2"/>
  <c r="D9728" i="2"/>
  <c r="C9728" i="2"/>
  <c r="D9727" i="2"/>
  <c r="C9727" i="2"/>
  <c r="D9726" i="2"/>
  <c r="C9726" i="2"/>
  <c r="D9725" i="2"/>
  <c r="C9725" i="2"/>
  <c r="D9724" i="2"/>
  <c r="C9724" i="2"/>
  <c r="D9723" i="2"/>
  <c r="C9723" i="2"/>
  <c r="D9722" i="2"/>
  <c r="C9722" i="2"/>
  <c r="D9721" i="2"/>
  <c r="C9721" i="2"/>
  <c r="D9720" i="2"/>
  <c r="C9720" i="2"/>
  <c r="D9719" i="2"/>
  <c r="C9719" i="2"/>
  <c r="D9718" i="2"/>
  <c r="C9718" i="2"/>
  <c r="D9717" i="2"/>
  <c r="C9717" i="2"/>
  <c r="D9716" i="2"/>
  <c r="C9716" i="2"/>
  <c r="D9715" i="2"/>
  <c r="C9715" i="2"/>
  <c r="D9714" i="2"/>
  <c r="C9714" i="2"/>
  <c r="D9713" i="2"/>
  <c r="C9713" i="2"/>
  <c r="D9712" i="2"/>
  <c r="C9712" i="2"/>
  <c r="D9711" i="2"/>
  <c r="C9711" i="2"/>
  <c r="D9710" i="2"/>
  <c r="C9710" i="2"/>
  <c r="D9709" i="2"/>
  <c r="C9709" i="2"/>
  <c r="D9708" i="2"/>
  <c r="C9708" i="2"/>
  <c r="D9707" i="2"/>
  <c r="C9707" i="2"/>
  <c r="D9706" i="2"/>
  <c r="C9706" i="2"/>
  <c r="D9705" i="2"/>
  <c r="C9705" i="2"/>
  <c r="D9704" i="2"/>
  <c r="C9704" i="2"/>
  <c r="D9703" i="2"/>
  <c r="C9703" i="2"/>
  <c r="D9702" i="2"/>
  <c r="C9702" i="2"/>
  <c r="D9701" i="2"/>
  <c r="C9701" i="2"/>
  <c r="D9700" i="2"/>
  <c r="C9700" i="2"/>
  <c r="D9699" i="2"/>
  <c r="C9699" i="2"/>
  <c r="D9698" i="2"/>
  <c r="C9698" i="2"/>
  <c r="D9697" i="2"/>
  <c r="C9697" i="2"/>
  <c r="D9696" i="2"/>
  <c r="C9696" i="2"/>
  <c r="D9695" i="2"/>
  <c r="C9695" i="2"/>
  <c r="D9694" i="2"/>
  <c r="C9694" i="2"/>
  <c r="D9693" i="2"/>
  <c r="C9693" i="2"/>
  <c r="D9692" i="2"/>
  <c r="C9692" i="2"/>
  <c r="D9691" i="2"/>
  <c r="C9691" i="2"/>
  <c r="D9690" i="2"/>
  <c r="C9690" i="2"/>
  <c r="D9689" i="2"/>
  <c r="C9689" i="2"/>
  <c r="D9688" i="2"/>
  <c r="C9688" i="2"/>
  <c r="D9687" i="2"/>
  <c r="C9687" i="2"/>
  <c r="D9686" i="2"/>
  <c r="C9686" i="2"/>
  <c r="D9685" i="2"/>
  <c r="C9685" i="2"/>
  <c r="D9684" i="2"/>
  <c r="C9684" i="2"/>
  <c r="D9683" i="2"/>
  <c r="C9683" i="2"/>
  <c r="D9682" i="2"/>
  <c r="C9682" i="2"/>
  <c r="D9681" i="2"/>
  <c r="C9681" i="2"/>
  <c r="D9680" i="2"/>
  <c r="C9680" i="2"/>
  <c r="D9679" i="2"/>
  <c r="C9679" i="2"/>
  <c r="D9678" i="2"/>
  <c r="C9678" i="2"/>
  <c r="D9677" i="2"/>
  <c r="C9677" i="2"/>
  <c r="D9676" i="2"/>
  <c r="C9676" i="2"/>
  <c r="D9675" i="2"/>
  <c r="C9675" i="2"/>
  <c r="D9674" i="2"/>
  <c r="C9674" i="2"/>
  <c r="D9673" i="2"/>
  <c r="C9673" i="2"/>
  <c r="D9672" i="2"/>
  <c r="C9672" i="2"/>
  <c r="D9671" i="2"/>
  <c r="C9671" i="2"/>
  <c r="D9670" i="2"/>
  <c r="C9670" i="2"/>
  <c r="D9669" i="2"/>
  <c r="C9669" i="2"/>
  <c r="D9668" i="2"/>
  <c r="C9668" i="2"/>
  <c r="D9667" i="2"/>
  <c r="C9667" i="2"/>
  <c r="D9666" i="2"/>
  <c r="C9666" i="2"/>
  <c r="D9665" i="2"/>
  <c r="C9665" i="2"/>
  <c r="D9664" i="2"/>
  <c r="C9664" i="2"/>
  <c r="D9663" i="2"/>
  <c r="C9663" i="2"/>
  <c r="D9662" i="2"/>
  <c r="C9662" i="2"/>
  <c r="D9661" i="2"/>
  <c r="C9661" i="2"/>
  <c r="D9660" i="2"/>
  <c r="C9660" i="2"/>
  <c r="D9659" i="2"/>
  <c r="C9659" i="2"/>
  <c r="D9658" i="2"/>
  <c r="C9658" i="2"/>
  <c r="D9657" i="2"/>
  <c r="C9657" i="2"/>
  <c r="D9656" i="2"/>
  <c r="C9656" i="2"/>
  <c r="D9655" i="2"/>
  <c r="C9655" i="2"/>
  <c r="D9654" i="2"/>
  <c r="C9654" i="2"/>
  <c r="D9653" i="2"/>
  <c r="C9653" i="2"/>
  <c r="D9652" i="2"/>
  <c r="C9652" i="2"/>
  <c r="D9651" i="2"/>
  <c r="C9651" i="2"/>
  <c r="D9650" i="2"/>
  <c r="C9650" i="2"/>
  <c r="D9649" i="2"/>
  <c r="C9649" i="2"/>
  <c r="D9648" i="2"/>
  <c r="C9648" i="2"/>
  <c r="D9647" i="2"/>
  <c r="C9647" i="2"/>
  <c r="D9646" i="2"/>
  <c r="C9646" i="2"/>
  <c r="D9645" i="2"/>
  <c r="C9645" i="2"/>
  <c r="D9644" i="2"/>
  <c r="C9644" i="2"/>
  <c r="D9643" i="2"/>
  <c r="C9643" i="2"/>
  <c r="D9642" i="2"/>
  <c r="C9642" i="2"/>
  <c r="D9641" i="2"/>
  <c r="C9641" i="2"/>
  <c r="D9640" i="2"/>
  <c r="C9640" i="2"/>
  <c r="D9639" i="2"/>
  <c r="C9639" i="2"/>
  <c r="D9638" i="2"/>
  <c r="C9638" i="2"/>
  <c r="D9637" i="2"/>
  <c r="C9637" i="2"/>
  <c r="D9636" i="2"/>
  <c r="C9636" i="2"/>
  <c r="D9635" i="2"/>
  <c r="C9635" i="2"/>
  <c r="D9634" i="2"/>
  <c r="C9634" i="2"/>
  <c r="D9633" i="2"/>
  <c r="C9633" i="2"/>
  <c r="D9632" i="2"/>
  <c r="C9632" i="2"/>
  <c r="D9631" i="2"/>
  <c r="C9631" i="2"/>
  <c r="D9630" i="2"/>
  <c r="C9630" i="2"/>
  <c r="D9629" i="2"/>
  <c r="C9629" i="2"/>
  <c r="D9628" i="2"/>
  <c r="C9628" i="2"/>
  <c r="D9627" i="2"/>
  <c r="C9627" i="2"/>
  <c r="D9626" i="2"/>
  <c r="C9626" i="2"/>
  <c r="D9625" i="2"/>
  <c r="C9625" i="2"/>
  <c r="D9624" i="2"/>
  <c r="C9624" i="2"/>
  <c r="D9623" i="2"/>
  <c r="C9623" i="2"/>
  <c r="D9622" i="2"/>
  <c r="C9622" i="2"/>
  <c r="D9621" i="2"/>
  <c r="C9621" i="2"/>
  <c r="D9620" i="2"/>
  <c r="C9620" i="2"/>
  <c r="D9619" i="2"/>
  <c r="C9619" i="2"/>
  <c r="D9618" i="2"/>
  <c r="C9618" i="2"/>
  <c r="D9617" i="2"/>
  <c r="C9617" i="2"/>
  <c r="D9616" i="2"/>
  <c r="C9616" i="2"/>
  <c r="D9615" i="2"/>
  <c r="C9615" i="2"/>
  <c r="D9614" i="2"/>
  <c r="C9614" i="2"/>
  <c r="D9613" i="2"/>
  <c r="C9613" i="2"/>
  <c r="D9612" i="2"/>
  <c r="C9612" i="2"/>
  <c r="D9611" i="2"/>
  <c r="C9611" i="2"/>
  <c r="D9610" i="2"/>
  <c r="C9610" i="2"/>
  <c r="D9609" i="2"/>
  <c r="C9609" i="2"/>
  <c r="D9608" i="2"/>
  <c r="C9608" i="2"/>
  <c r="D9607" i="2"/>
  <c r="C9607" i="2"/>
  <c r="D9606" i="2"/>
  <c r="C9606" i="2"/>
  <c r="D9605" i="2"/>
  <c r="C9605" i="2"/>
  <c r="D9604" i="2"/>
  <c r="C9604" i="2"/>
  <c r="D9603" i="2"/>
  <c r="C9603" i="2"/>
  <c r="D9602" i="2"/>
  <c r="C9602" i="2"/>
  <c r="D9601" i="2"/>
  <c r="C9601" i="2"/>
  <c r="D9600" i="2"/>
  <c r="C9600" i="2"/>
  <c r="D9599" i="2"/>
  <c r="C9599" i="2"/>
  <c r="D9598" i="2"/>
  <c r="C9598" i="2"/>
  <c r="D9597" i="2"/>
  <c r="C9597" i="2"/>
  <c r="D9596" i="2"/>
  <c r="C9596" i="2"/>
  <c r="D9595" i="2"/>
  <c r="C9595" i="2"/>
  <c r="D9594" i="2"/>
  <c r="C9594" i="2"/>
  <c r="D9593" i="2"/>
  <c r="C9593" i="2"/>
  <c r="D9592" i="2"/>
  <c r="C9592" i="2"/>
  <c r="D9591" i="2"/>
  <c r="C9591" i="2"/>
  <c r="D9590" i="2"/>
  <c r="C9590" i="2"/>
  <c r="D9589" i="2"/>
  <c r="C9589" i="2"/>
  <c r="D9588" i="2"/>
  <c r="C9588" i="2"/>
  <c r="D9587" i="2"/>
  <c r="C9587" i="2"/>
  <c r="D9586" i="2"/>
  <c r="C9586" i="2"/>
  <c r="D9585" i="2"/>
  <c r="C9585" i="2"/>
  <c r="D9584" i="2"/>
  <c r="C9584" i="2"/>
  <c r="D9583" i="2"/>
  <c r="C9583" i="2"/>
  <c r="D9582" i="2"/>
  <c r="C9582" i="2"/>
  <c r="D9581" i="2"/>
  <c r="C9581" i="2"/>
  <c r="D9580" i="2"/>
  <c r="C9580" i="2"/>
  <c r="D9579" i="2"/>
  <c r="C9579" i="2"/>
  <c r="D9578" i="2"/>
  <c r="C9578" i="2"/>
  <c r="D9577" i="2"/>
  <c r="C9577" i="2"/>
  <c r="D9576" i="2"/>
  <c r="C9576" i="2"/>
  <c r="D9575" i="2"/>
  <c r="C9575" i="2"/>
  <c r="D9574" i="2"/>
  <c r="C9574" i="2"/>
  <c r="D9573" i="2"/>
  <c r="C9573" i="2"/>
  <c r="D9572" i="2"/>
  <c r="C9572" i="2"/>
  <c r="D9571" i="2"/>
  <c r="C9571" i="2"/>
  <c r="D9570" i="2"/>
  <c r="C9570" i="2"/>
  <c r="D9569" i="2"/>
  <c r="C9569" i="2"/>
  <c r="D9568" i="2"/>
  <c r="C9568" i="2"/>
  <c r="D9567" i="2"/>
  <c r="C9567" i="2"/>
  <c r="D9566" i="2"/>
  <c r="C9566" i="2"/>
  <c r="D9565" i="2"/>
  <c r="C9565" i="2"/>
  <c r="D9564" i="2"/>
  <c r="C9564" i="2"/>
  <c r="D9563" i="2"/>
  <c r="C9563" i="2"/>
  <c r="D9562" i="2"/>
  <c r="C9562" i="2"/>
  <c r="D9561" i="2"/>
  <c r="C9561" i="2"/>
  <c r="D9560" i="2"/>
  <c r="C9560" i="2"/>
  <c r="D9559" i="2"/>
  <c r="C9559" i="2"/>
  <c r="D9558" i="2"/>
  <c r="C9558" i="2"/>
  <c r="D9557" i="2"/>
  <c r="C9557" i="2"/>
  <c r="D9556" i="2"/>
  <c r="C9556" i="2"/>
  <c r="D9555" i="2"/>
  <c r="C9555" i="2"/>
  <c r="D9554" i="2"/>
  <c r="C9554" i="2"/>
  <c r="D9553" i="2"/>
  <c r="C9553" i="2"/>
  <c r="D9552" i="2"/>
  <c r="C9552" i="2"/>
  <c r="D9551" i="2"/>
  <c r="C9551" i="2"/>
  <c r="D9550" i="2"/>
  <c r="C9550" i="2"/>
  <c r="D9549" i="2"/>
  <c r="C9549" i="2"/>
  <c r="D9548" i="2"/>
  <c r="C9548" i="2"/>
  <c r="D9547" i="2"/>
  <c r="C9547" i="2"/>
  <c r="D9546" i="2"/>
  <c r="C9546" i="2"/>
  <c r="D9545" i="2"/>
  <c r="C9545" i="2"/>
  <c r="D9544" i="2"/>
  <c r="C9544" i="2"/>
  <c r="D9543" i="2"/>
  <c r="C9543" i="2"/>
  <c r="D9542" i="2"/>
  <c r="C9542" i="2"/>
  <c r="D9541" i="2"/>
  <c r="C9541" i="2"/>
  <c r="D9540" i="2"/>
  <c r="C9540" i="2"/>
  <c r="D9539" i="2"/>
  <c r="C9539" i="2"/>
  <c r="D9538" i="2"/>
  <c r="C9538" i="2"/>
  <c r="D9537" i="2"/>
  <c r="C9537" i="2"/>
  <c r="D9536" i="2"/>
  <c r="C9536" i="2"/>
  <c r="D9535" i="2"/>
  <c r="C9535" i="2"/>
  <c r="D9534" i="2"/>
  <c r="C9534" i="2"/>
  <c r="D9533" i="2"/>
  <c r="C9533" i="2"/>
  <c r="D9532" i="2"/>
  <c r="C9532" i="2"/>
  <c r="D9531" i="2"/>
  <c r="C9531" i="2"/>
  <c r="D9530" i="2"/>
  <c r="C9530" i="2"/>
  <c r="D9529" i="2"/>
  <c r="C9529" i="2"/>
  <c r="D9528" i="2"/>
  <c r="C9528" i="2"/>
  <c r="D9527" i="2"/>
  <c r="C9527" i="2"/>
  <c r="D9526" i="2"/>
  <c r="C9526" i="2"/>
  <c r="D9525" i="2"/>
  <c r="C9525" i="2"/>
  <c r="D9524" i="2"/>
  <c r="C9524" i="2"/>
  <c r="D9523" i="2"/>
  <c r="C9523" i="2"/>
  <c r="D9522" i="2"/>
  <c r="C9522" i="2"/>
  <c r="D9521" i="2"/>
  <c r="C9521" i="2"/>
  <c r="D9520" i="2"/>
  <c r="C9520" i="2"/>
  <c r="D9519" i="2"/>
  <c r="C9519" i="2"/>
  <c r="D9518" i="2"/>
  <c r="C9518" i="2"/>
  <c r="D9517" i="2"/>
  <c r="C9517" i="2"/>
  <c r="D9516" i="2"/>
  <c r="C9516" i="2"/>
  <c r="D9515" i="2"/>
  <c r="C9515" i="2"/>
  <c r="D9514" i="2"/>
  <c r="C9514" i="2"/>
  <c r="D9513" i="2"/>
  <c r="C9513" i="2"/>
  <c r="D9512" i="2"/>
  <c r="C9512" i="2"/>
  <c r="D9511" i="2"/>
  <c r="C9511" i="2"/>
  <c r="D9510" i="2"/>
  <c r="C9510" i="2"/>
  <c r="D9509" i="2"/>
  <c r="C9509" i="2"/>
  <c r="D9508" i="2"/>
  <c r="C9508" i="2"/>
  <c r="D9507" i="2"/>
  <c r="C9507" i="2"/>
  <c r="D9506" i="2"/>
  <c r="C9506" i="2"/>
  <c r="D9505" i="2"/>
  <c r="C9505" i="2"/>
  <c r="D9504" i="2"/>
  <c r="C9504" i="2"/>
  <c r="D9503" i="2"/>
  <c r="C9503" i="2"/>
  <c r="D9502" i="2"/>
  <c r="C9502" i="2"/>
  <c r="D9501" i="2"/>
  <c r="C9501" i="2"/>
  <c r="D9500" i="2"/>
  <c r="C9500" i="2"/>
  <c r="D9499" i="2"/>
  <c r="C9499" i="2"/>
  <c r="D9498" i="2"/>
  <c r="C9498" i="2"/>
  <c r="D9497" i="2"/>
  <c r="C9497" i="2"/>
  <c r="D9496" i="2"/>
  <c r="C9496" i="2"/>
  <c r="D9495" i="2"/>
  <c r="C9495" i="2"/>
  <c r="D9494" i="2"/>
  <c r="C9494" i="2"/>
  <c r="D9493" i="2"/>
  <c r="C9493" i="2"/>
  <c r="D9492" i="2"/>
  <c r="C9492" i="2"/>
  <c r="D9491" i="2"/>
  <c r="C9491" i="2"/>
  <c r="D9490" i="2"/>
  <c r="C9490" i="2"/>
  <c r="D9489" i="2"/>
  <c r="C9489" i="2"/>
  <c r="D9488" i="2"/>
  <c r="C9488" i="2"/>
  <c r="D9487" i="2"/>
  <c r="C9487" i="2"/>
  <c r="D9486" i="2"/>
  <c r="C9486" i="2"/>
  <c r="D9485" i="2"/>
  <c r="C9485" i="2"/>
  <c r="D9484" i="2"/>
  <c r="C9484" i="2"/>
  <c r="D9483" i="2"/>
  <c r="C9483" i="2"/>
  <c r="D9482" i="2"/>
  <c r="C9482" i="2"/>
  <c r="D9481" i="2"/>
  <c r="C9481" i="2"/>
  <c r="D9480" i="2"/>
  <c r="C9480" i="2"/>
  <c r="D9479" i="2"/>
  <c r="C9479" i="2"/>
  <c r="D9478" i="2"/>
  <c r="C9478" i="2"/>
  <c r="D9477" i="2"/>
  <c r="C9477" i="2"/>
  <c r="D9476" i="2"/>
  <c r="C9476" i="2"/>
  <c r="D9475" i="2"/>
  <c r="C9475" i="2"/>
  <c r="D9474" i="2"/>
  <c r="C9474" i="2"/>
  <c r="D9473" i="2"/>
  <c r="C9473" i="2"/>
  <c r="D9472" i="2"/>
  <c r="C9472" i="2"/>
  <c r="D9471" i="2"/>
  <c r="C9471" i="2"/>
  <c r="D9470" i="2"/>
  <c r="C9470" i="2"/>
  <c r="D9469" i="2"/>
  <c r="C9469" i="2"/>
  <c r="D9468" i="2"/>
  <c r="C9468" i="2"/>
  <c r="D9467" i="2"/>
  <c r="C9467" i="2"/>
  <c r="D9466" i="2"/>
  <c r="C9466" i="2"/>
  <c r="D9465" i="2"/>
  <c r="C9465" i="2"/>
  <c r="D9464" i="2"/>
  <c r="C9464" i="2"/>
  <c r="D9463" i="2"/>
  <c r="C9463" i="2"/>
  <c r="D9462" i="2"/>
  <c r="C9462" i="2"/>
  <c r="D9461" i="2"/>
  <c r="C9461" i="2"/>
  <c r="D9460" i="2"/>
  <c r="C9460" i="2"/>
  <c r="D9459" i="2"/>
  <c r="C9459" i="2"/>
  <c r="D9458" i="2"/>
  <c r="C9458" i="2"/>
  <c r="D9457" i="2"/>
  <c r="C9457" i="2"/>
  <c r="D9456" i="2"/>
  <c r="C9456" i="2"/>
  <c r="D9455" i="2"/>
  <c r="C9455" i="2"/>
  <c r="D9454" i="2"/>
  <c r="C9454" i="2"/>
  <c r="D9453" i="2"/>
  <c r="C9453" i="2"/>
  <c r="D9452" i="2"/>
  <c r="C9452" i="2"/>
  <c r="D9451" i="2"/>
  <c r="C9451" i="2"/>
  <c r="D9450" i="2"/>
  <c r="C9450" i="2"/>
  <c r="D9449" i="2"/>
  <c r="C9449" i="2"/>
  <c r="D9448" i="2"/>
  <c r="C9448" i="2"/>
  <c r="D9447" i="2"/>
  <c r="C9447" i="2"/>
  <c r="D9446" i="2"/>
  <c r="C9446" i="2"/>
  <c r="D9445" i="2"/>
  <c r="C9445" i="2"/>
  <c r="D9444" i="2"/>
  <c r="C9444" i="2"/>
  <c r="D9443" i="2"/>
  <c r="C9443" i="2"/>
  <c r="D9442" i="2"/>
  <c r="C9442" i="2"/>
  <c r="D9441" i="2"/>
  <c r="C9441" i="2"/>
  <c r="D9440" i="2"/>
  <c r="C9440" i="2"/>
  <c r="D9439" i="2"/>
  <c r="C9439" i="2"/>
  <c r="D9438" i="2"/>
  <c r="C9438" i="2"/>
  <c r="D9437" i="2"/>
  <c r="C9437" i="2"/>
  <c r="D9436" i="2"/>
  <c r="C9436" i="2"/>
  <c r="D9435" i="2"/>
  <c r="C9435" i="2"/>
  <c r="D9434" i="2"/>
  <c r="C9434" i="2"/>
  <c r="D9433" i="2"/>
  <c r="C9433" i="2"/>
  <c r="D9432" i="2"/>
  <c r="C9432" i="2"/>
  <c r="D9431" i="2"/>
  <c r="C9431" i="2"/>
  <c r="D9430" i="2"/>
  <c r="C9430" i="2"/>
  <c r="D9429" i="2"/>
  <c r="C9429" i="2"/>
  <c r="D9428" i="2"/>
  <c r="C9428" i="2"/>
  <c r="D9427" i="2"/>
  <c r="C9427" i="2"/>
  <c r="D9426" i="2"/>
  <c r="C9426" i="2"/>
  <c r="D9425" i="2"/>
  <c r="C9425" i="2"/>
  <c r="D9424" i="2"/>
  <c r="C9424" i="2"/>
  <c r="D9423" i="2"/>
  <c r="C9423" i="2"/>
  <c r="D9422" i="2"/>
  <c r="C9422" i="2"/>
  <c r="D9421" i="2"/>
  <c r="C9421" i="2"/>
  <c r="D9420" i="2"/>
  <c r="C9420" i="2"/>
  <c r="D9419" i="2"/>
  <c r="C9419" i="2"/>
  <c r="D9418" i="2"/>
  <c r="C9418" i="2"/>
  <c r="D9417" i="2"/>
  <c r="C9417" i="2"/>
  <c r="D9416" i="2"/>
  <c r="C9416" i="2"/>
  <c r="D9415" i="2"/>
  <c r="C9415" i="2"/>
  <c r="D9414" i="2"/>
  <c r="C9414" i="2"/>
  <c r="D9413" i="2"/>
  <c r="C9413" i="2"/>
  <c r="D9412" i="2"/>
  <c r="C9412" i="2"/>
  <c r="D9411" i="2"/>
  <c r="C9411" i="2"/>
  <c r="D9410" i="2"/>
  <c r="C9410" i="2"/>
  <c r="D9409" i="2"/>
  <c r="C9409" i="2"/>
  <c r="D9408" i="2"/>
  <c r="C9408" i="2"/>
  <c r="D9398" i="2"/>
  <c r="C9398" i="2"/>
  <c r="D9388" i="2"/>
  <c r="C9388" i="2"/>
  <c r="D9378" i="2"/>
  <c r="C9378" i="2"/>
  <c r="D9368" i="2"/>
  <c r="C9368" i="2"/>
  <c r="D9358" i="2"/>
  <c r="C9358" i="2"/>
  <c r="D9348" i="2"/>
  <c r="C9348" i="2"/>
  <c r="D9347" i="2"/>
  <c r="C9347" i="2"/>
  <c r="D9346" i="2"/>
  <c r="C9346" i="2"/>
  <c r="D9345" i="2"/>
  <c r="C9345" i="2"/>
  <c r="D9344" i="2"/>
  <c r="C9344" i="2"/>
  <c r="D9343" i="2"/>
  <c r="C9343" i="2"/>
  <c r="D9342" i="2"/>
  <c r="C9342" i="2"/>
  <c r="D9341" i="2"/>
  <c r="C9341" i="2"/>
  <c r="D9340" i="2"/>
  <c r="C9340" i="2"/>
  <c r="D9339" i="2"/>
  <c r="C9339" i="2"/>
  <c r="D9338" i="2"/>
  <c r="C9338" i="2"/>
  <c r="D9337" i="2"/>
  <c r="C9337" i="2"/>
  <c r="D9336" i="2"/>
  <c r="C9336" i="2"/>
  <c r="D9335" i="2"/>
  <c r="C9335" i="2"/>
  <c r="D9334" i="2"/>
  <c r="C9334" i="2"/>
  <c r="D9333" i="2"/>
  <c r="C9333" i="2"/>
  <c r="D9332" i="2"/>
  <c r="C9332" i="2"/>
  <c r="D9331" i="2"/>
  <c r="C9331" i="2"/>
  <c r="D9330" i="2"/>
  <c r="C9330" i="2"/>
  <c r="D9329" i="2"/>
  <c r="C9329" i="2"/>
  <c r="D9328" i="2"/>
  <c r="C9328" i="2"/>
  <c r="D9327" i="2"/>
  <c r="C9327" i="2"/>
  <c r="D9326" i="2"/>
  <c r="C9326" i="2"/>
  <c r="D9325" i="2"/>
  <c r="C9325" i="2"/>
  <c r="D9324" i="2"/>
  <c r="C9324" i="2"/>
  <c r="D9323" i="2"/>
  <c r="C9323" i="2"/>
  <c r="D9322" i="2"/>
  <c r="C9322" i="2"/>
  <c r="D9321" i="2"/>
  <c r="C9321" i="2"/>
  <c r="D9320" i="2"/>
  <c r="C9320" i="2"/>
  <c r="D9319" i="2"/>
  <c r="C9319" i="2"/>
  <c r="D9318" i="2"/>
  <c r="C9318" i="2"/>
  <c r="D9317" i="2"/>
  <c r="C9317" i="2"/>
  <c r="D9316" i="2"/>
  <c r="C9316" i="2"/>
  <c r="D9315" i="2"/>
  <c r="C9315" i="2"/>
  <c r="D9314" i="2"/>
  <c r="C9314" i="2"/>
  <c r="D9313" i="2"/>
  <c r="C9313" i="2"/>
  <c r="D9312" i="2"/>
  <c r="C9312" i="2"/>
  <c r="D9311" i="2"/>
  <c r="C9311" i="2"/>
  <c r="D9310" i="2"/>
  <c r="C9310" i="2"/>
  <c r="D9309" i="2"/>
  <c r="C9309" i="2"/>
  <c r="D9308" i="2"/>
  <c r="C9308" i="2"/>
  <c r="D9307" i="2"/>
  <c r="C9307" i="2"/>
  <c r="D9306" i="2"/>
  <c r="C9306" i="2"/>
  <c r="D9305" i="2"/>
  <c r="C9305" i="2"/>
  <c r="D9304" i="2"/>
  <c r="C9304" i="2"/>
  <c r="D9303" i="2"/>
  <c r="C9303" i="2"/>
  <c r="D9302" i="2"/>
  <c r="C9302" i="2"/>
  <c r="D9301" i="2"/>
  <c r="C9301" i="2"/>
  <c r="D9300" i="2"/>
  <c r="C9300" i="2"/>
  <c r="D9299" i="2"/>
  <c r="C9299" i="2"/>
  <c r="D9298" i="2"/>
  <c r="C9298" i="2"/>
  <c r="D9297" i="2"/>
  <c r="C9297" i="2"/>
  <c r="D9296" i="2"/>
  <c r="C9296" i="2"/>
  <c r="D9295" i="2"/>
  <c r="C9295" i="2"/>
  <c r="D9294" i="2"/>
  <c r="C9294" i="2"/>
  <c r="D9293" i="2"/>
  <c r="C9293" i="2"/>
  <c r="D9292" i="2"/>
  <c r="C9292" i="2"/>
  <c r="D9291" i="2"/>
  <c r="C9291" i="2"/>
  <c r="D9290" i="2"/>
  <c r="C9290" i="2"/>
  <c r="D9289" i="2"/>
  <c r="C9289" i="2"/>
  <c r="D9288" i="2"/>
  <c r="C9288" i="2"/>
  <c r="D9287" i="2"/>
  <c r="C9287" i="2"/>
  <c r="D9286" i="2"/>
  <c r="C9286" i="2"/>
  <c r="D9285" i="2"/>
  <c r="C9285" i="2"/>
  <c r="D9284" i="2"/>
  <c r="C9284" i="2"/>
  <c r="D9283" i="2"/>
  <c r="C9283" i="2"/>
  <c r="D9282" i="2"/>
  <c r="C9282" i="2"/>
  <c r="D9281" i="2"/>
  <c r="C9281" i="2"/>
  <c r="D9280" i="2"/>
  <c r="C9280" i="2"/>
  <c r="D9279" i="2"/>
  <c r="C9279" i="2"/>
  <c r="D9278" i="2"/>
  <c r="C9278" i="2"/>
  <c r="D9277" i="2"/>
  <c r="C9277" i="2"/>
  <c r="D9276" i="2"/>
  <c r="C9276" i="2"/>
  <c r="D9275" i="2"/>
  <c r="C9275" i="2"/>
  <c r="D9274" i="2"/>
  <c r="C9274" i="2"/>
  <c r="D9273" i="2"/>
  <c r="C9273" i="2"/>
  <c r="D9272" i="2"/>
  <c r="C9272" i="2"/>
  <c r="D9271" i="2"/>
  <c r="C9271" i="2"/>
  <c r="D9270" i="2"/>
  <c r="C9270" i="2"/>
  <c r="D9269" i="2"/>
  <c r="C9269" i="2"/>
  <c r="D9268" i="2"/>
  <c r="C9268" i="2"/>
  <c r="D9267" i="2"/>
  <c r="C9267" i="2"/>
  <c r="D9266" i="2"/>
  <c r="C9266" i="2"/>
  <c r="D9265" i="2"/>
  <c r="C9265" i="2"/>
  <c r="D9264" i="2"/>
  <c r="C9264" i="2"/>
  <c r="D9263" i="2"/>
  <c r="C9263" i="2"/>
  <c r="D9262" i="2"/>
  <c r="C9262" i="2"/>
  <c r="D9261" i="2"/>
  <c r="C9261" i="2"/>
  <c r="D9260" i="2"/>
  <c r="C9260" i="2"/>
  <c r="D9259" i="2"/>
  <c r="C9259" i="2"/>
  <c r="D9258" i="2"/>
  <c r="C9258" i="2"/>
  <c r="D9257" i="2"/>
  <c r="C9257" i="2"/>
  <c r="D9256" i="2"/>
  <c r="C9256" i="2"/>
  <c r="D9255" i="2"/>
  <c r="C9255" i="2"/>
  <c r="D9254" i="2"/>
  <c r="C9254" i="2"/>
  <c r="D9253" i="2"/>
  <c r="C9253" i="2"/>
  <c r="D9252" i="2"/>
  <c r="C9252" i="2"/>
  <c r="D9251" i="2"/>
  <c r="C9251" i="2"/>
  <c r="D9250" i="2"/>
  <c r="C9250" i="2"/>
  <c r="D9249" i="2"/>
  <c r="C9249" i="2"/>
  <c r="D9248" i="2"/>
  <c r="C9248" i="2"/>
  <c r="D9247" i="2"/>
  <c r="C9247" i="2"/>
  <c r="D9246" i="2"/>
  <c r="C9246" i="2"/>
  <c r="D9245" i="2"/>
  <c r="C9245" i="2"/>
  <c r="D9244" i="2"/>
  <c r="C9244" i="2"/>
  <c r="D9243" i="2"/>
  <c r="C9243" i="2"/>
  <c r="D9242" i="2"/>
  <c r="C9242" i="2"/>
  <c r="D9241" i="2"/>
  <c r="C9241" i="2"/>
  <c r="D9240" i="2"/>
  <c r="C9240" i="2"/>
  <c r="D9239" i="2"/>
  <c r="C9239" i="2"/>
  <c r="D9238" i="2"/>
  <c r="C9238" i="2"/>
  <c r="D9237" i="2"/>
  <c r="C9237" i="2"/>
  <c r="D9236" i="2"/>
  <c r="C9236" i="2"/>
  <c r="D9235" i="2"/>
  <c r="C9235" i="2"/>
  <c r="D9234" i="2"/>
  <c r="C9234" i="2"/>
  <c r="D9233" i="2"/>
  <c r="C9233" i="2"/>
  <c r="D9232" i="2"/>
  <c r="C9232" i="2"/>
  <c r="D9231" i="2"/>
  <c r="C9231" i="2"/>
  <c r="D9230" i="2"/>
  <c r="C9230" i="2"/>
  <c r="D9229" i="2"/>
  <c r="C9229" i="2"/>
  <c r="D9228" i="2"/>
  <c r="C9228" i="2"/>
  <c r="D9227" i="2"/>
  <c r="C9227" i="2"/>
  <c r="D9226" i="2"/>
  <c r="C9226" i="2"/>
  <c r="D9225" i="2"/>
  <c r="C9225" i="2"/>
  <c r="D9224" i="2"/>
  <c r="C9224" i="2"/>
  <c r="D9223" i="2"/>
  <c r="C9223" i="2"/>
  <c r="D9222" i="2"/>
  <c r="C9222" i="2"/>
  <c r="D9221" i="2"/>
  <c r="C9221" i="2"/>
  <c r="D9220" i="2"/>
  <c r="C9220" i="2"/>
  <c r="D9219" i="2"/>
  <c r="C9219" i="2"/>
  <c r="D9218" i="2"/>
  <c r="C9218" i="2"/>
  <c r="D9217" i="2"/>
  <c r="C9217" i="2"/>
  <c r="D9216" i="2"/>
  <c r="C9216" i="2"/>
  <c r="D9215" i="2"/>
  <c r="C9215" i="2"/>
  <c r="D9214" i="2"/>
  <c r="C9214" i="2"/>
  <c r="D9213" i="2"/>
  <c r="C9213" i="2"/>
  <c r="D9212" i="2"/>
  <c r="C9212" i="2"/>
  <c r="D9211" i="2"/>
  <c r="C9211" i="2"/>
  <c r="D9210" i="2"/>
  <c r="C9210" i="2"/>
  <c r="D9209" i="2"/>
  <c r="C9209" i="2"/>
  <c r="D9208" i="2"/>
  <c r="C9208" i="2"/>
  <c r="D9207" i="2"/>
  <c r="C9207" i="2"/>
  <c r="D9206" i="2"/>
  <c r="C9206" i="2"/>
  <c r="D9205" i="2"/>
  <c r="C9205" i="2"/>
  <c r="D9204" i="2"/>
  <c r="C9204" i="2"/>
  <c r="D9203" i="2"/>
  <c r="C9203" i="2"/>
  <c r="D9202" i="2"/>
  <c r="C9202" i="2"/>
  <c r="D9201" i="2"/>
  <c r="C9201" i="2"/>
  <c r="D9200" i="2"/>
  <c r="C9200" i="2"/>
  <c r="D9199" i="2"/>
  <c r="C9199" i="2"/>
  <c r="D9198" i="2"/>
  <c r="C9198" i="2"/>
  <c r="D9197" i="2"/>
  <c r="C9197" i="2"/>
  <c r="D9196" i="2"/>
  <c r="C9196" i="2"/>
  <c r="D9195" i="2"/>
  <c r="C9195" i="2"/>
  <c r="D9194" i="2"/>
  <c r="C9194" i="2"/>
  <c r="D9193" i="2"/>
  <c r="C9193" i="2"/>
  <c r="D9192" i="2"/>
  <c r="C9192" i="2"/>
  <c r="D9191" i="2"/>
  <c r="C9191" i="2"/>
  <c r="D9190" i="2"/>
  <c r="C9190" i="2"/>
  <c r="D9189" i="2"/>
  <c r="C9189" i="2"/>
  <c r="D9188" i="2"/>
  <c r="C9188" i="2"/>
  <c r="D9187" i="2"/>
  <c r="C9187" i="2"/>
  <c r="D9186" i="2"/>
  <c r="C9186" i="2"/>
  <c r="D9185" i="2"/>
  <c r="C9185" i="2"/>
  <c r="D9184" i="2"/>
  <c r="C9184" i="2"/>
  <c r="D9183" i="2"/>
  <c r="C9183" i="2"/>
  <c r="D9182" i="2"/>
  <c r="C9182" i="2"/>
  <c r="D9181" i="2"/>
  <c r="C9181" i="2"/>
  <c r="D9180" i="2"/>
  <c r="C9180" i="2"/>
  <c r="D9179" i="2"/>
  <c r="C9179" i="2"/>
  <c r="D9178" i="2"/>
  <c r="C9178" i="2"/>
  <c r="D9177" i="2"/>
  <c r="C9177" i="2"/>
  <c r="D9176" i="2"/>
  <c r="C9176" i="2"/>
  <c r="D9175" i="2"/>
  <c r="C9175" i="2"/>
  <c r="D9174" i="2"/>
  <c r="C9174" i="2"/>
  <c r="D9173" i="2"/>
  <c r="C9173" i="2"/>
  <c r="D9172" i="2"/>
  <c r="C9172" i="2"/>
  <c r="D9171" i="2"/>
  <c r="C9171" i="2"/>
  <c r="D9170" i="2"/>
  <c r="C9170" i="2"/>
  <c r="D9169" i="2"/>
  <c r="C9169" i="2"/>
  <c r="D9168" i="2"/>
  <c r="C9168" i="2"/>
  <c r="D9167" i="2"/>
  <c r="C9167" i="2"/>
  <c r="D9166" i="2"/>
  <c r="C9166" i="2"/>
  <c r="D9165" i="2"/>
  <c r="C9165" i="2"/>
  <c r="D9164" i="2"/>
  <c r="C9164" i="2"/>
  <c r="D9163" i="2"/>
  <c r="C9163" i="2"/>
  <c r="D9162" i="2"/>
  <c r="C9162" i="2"/>
  <c r="D9161" i="2"/>
  <c r="C9161" i="2"/>
  <c r="D9160" i="2"/>
  <c r="C9160" i="2"/>
  <c r="D9159" i="2"/>
  <c r="C9159" i="2"/>
  <c r="D9158" i="2"/>
  <c r="C9158" i="2"/>
  <c r="D9157" i="2"/>
  <c r="C9157" i="2"/>
  <c r="D9156" i="2"/>
  <c r="C9156" i="2"/>
  <c r="D9155" i="2"/>
  <c r="C9155" i="2"/>
  <c r="D9154" i="2"/>
  <c r="C9154" i="2"/>
  <c r="D9153" i="2"/>
  <c r="C9153" i="2"/>
  <c r="D9152" i="2"/>
  <c r="C9152" i="2"/>
  <c r="D9151" i="2"/>
  <c r="C9151" i="2"/>
  <c r="D9150" i="2"/>
  <c r="C9150" i="2"/>
  <c r="D9149" i="2"/>
  <c r="C9149" i="2"/>
  <c r="D9148" i="2"/>
  <c r="C9148" i="2"/>
  <c r="D9147" i="2"/>
  <c r="C9147" i="2"/>
  <c r="D9146" i="2"/>
  <c r="C9146" i="2"/>
  <c r="D9145" i="2"/>
  <c r="C9145" i="2"/>
  <c r="D9144" i="2"/>
  <c r="C9144" i="2"/>
  <c r="D9143" i="2"/>
  <c r="C9143" i="2"/>
  <c r="D9142" i="2"/>
  <c r="C9142" i="2"/>
  <c r="D9141" i="2"/>
  <c r="C9141" i="2"/>
  <c r="D9140" i="2"/>
  <c r="C9140" i="2"/>
  <c r="D9139" i="2"/>
  <c r="C9139" i="2"/>
  <c r="D9138" i="2"/>
  <c r="C9138" i="2"/>
  <c r="D9137" i="2"/>
  <c r="C9137" i="2"/>
  <c r="D9136" i="2"/>
  <c r="C9136" i="2"/>
  <c r="D9135" i="2"/>
  <c r="C9135" i="2"/>
  <c r="D9134" i="2"/>
  <c r="C9134" i="2"/>
  <c r="D9133" i="2"/>
  <c r="C9133" i="2"/>
  <c r="D9132" i="2"/>
  <c r="C9132" i="2"/>
  <c r="D9131" i="2"/>
  <c r="C9131" i="2"/>
  <c r="D9130" i="2"/>
  <c r="C9130" i="2"/>
  <c r="D9129" i="2"/>
  <c r="C9129" i="2"/>
  <c r="D9128" i="2"/>
  <c r="C9128" i="2"/>
  <c r="D9127" i="2"/>
  <c r="C9127" i="2"/>
  <c r="D9126" i="2"/>
  <c r="C9126" i="2"/>
  <c r="D9125" i="2"/>
  <c r="C9125" i="2"/>
  <c r="D9124" i="2"/>
  <c r="C9124" i="2"/>
  <c r="D9123" i="2"/>
  <c r="C9123" i="2"/>
  <c r="D9122" i="2"/>
  <c r="C9122" i="2"/>
  <c r="D9121" i="2"/>
  <c r="C9121" i="2"/>
  <c r="D9120" i="2"/>
  <c r="C9120" i="2"/>
  <c r="D9119" i="2"/>
  <c r="C9119" i="2"/>
  <c r="D9118" i="2"/>
  <c r="C9118" i="2"/>
  <c r="D9117" i="2"/>
  <c r="C9117" i="2"/>
  <c r="D9116" i="2"/>
  <c r="C9116" i="2"/>
  <c r="D9115" i="2"/>
  <c r="C9115" i="2"/>
  <c r="D9114" i="2"/>
  <c r="C9114" i="2"/>
  <c r="D9113" i="2"/>
  <c r="C9113" i="2"/>
  <c r="D9112" i="2"/>
  <c r="C9112" i="2"/>
  <c r="D9111" i="2"/>
  <c r="C9111" i="2"/>
  <c r="D9110" i="2"/>
  <c r="C9110" i="2"/>
  <c r="D9109" i="2"/>
  <c r="C9109" i="2"/>
  <c r="D9108" i="2"/>
  <c r="C9108" i="2"/>
  <c r="D9107" i="2"/>
  <c r="C9107" i="2"/>
  <c r="D9106" i="2"/>
  <c r="C9106" i="2"/>
  <c r="D9105" i="2"/>
  <c r="C9105" i="2"/>
  <c r="D9104" i="2"/>
  <c r="C9104" i="2"/>
  <c r="D9103" i="2"/>
  <c r="C9103" i="2"/>
  <c r="D9102" i="2"/>
  <c r="C9102" i="2"/>
  <c r="D9101" i="2"/>
  <c r="C9101" i="2"/>
  <c r="D9100" i="2"/>
  <c r="C9100" i="2"/>
  <c r="D9099" i="2"/>
  <c r="C9099" i="2"/>
  <c r="D9098" i="2"/>
  <c r="C9098" i="2"/>
  <c r="D9097" i="2"/>
  <c r="C9097" i="2"/>
  <c r="D9096" i="2"/>
  <c r="C9096" i="2"/>
  <c r="D9095" i="2"/>
  <c r="C9095" i="2"/>
  <c r="D9094" i="2"/>
  <c r="C9094" i="2"/>
  <c r="D9093" i="2"/>
  <c r="C9093" i="2"/>
  <c r="D9092" i="2"/>
  <c r="C9092" i="2"/>
  <c r="D9091" i="2"/>
  <c r="C9091" i="2"/>
  <c r="D9090" i="2"/>
  <c r="C9090" i="2"/>
  <c r="D9089" i="2"/>
  <c r="C9089" i="2"/>
  <c r="D9088" i="2"/>
  <c r="C9088" i="2"/>
  <c r="D9087" i="2"/>
  <c r="C9087" i="2"/>
  <c r="D9086" i="2"/>
  <c r="C9086" i="2"/>
  <c r="D9085" i="2"/>
  <c r="C9085" i="2"/>
  <c r="D9084" i="2"/>
  <c r="C9084" i="2"/>
  <c r="D9083" i="2"/>
  <c r="C9083" i="2"/>
  <c r="D9082" i="2"/>
  <c r="C9082" i="2"/>
  <c r="D9081" i="2"/>
  <c r="C9081" i="2"/>
  <c r="D9080" i="2"/>
  <c r="C9080" i="2"/>
  <c r="D9079" i="2"/>
  <c r="C9079" i="2"/>
  <c r="D9078" i="2"/>
  <c r="C9078" i="2"/>
  <c r="D9077" i="2"/>
  <c r="C9077" i="2"/>
  <c r="D9076" i="2"/>
  <c r="C9076" i="2"/>
  <c r="D9075" i="2"/>
  <c r="C9075" i="2"/>
  <c r="D9074" i="2"/>
  <c r="C9074" i="2"/>
  <c r="D9073" i="2"/>
  <c r="C9073" i="2"/>
  <c r="D9072" i="2"/>
  <c r="C9072" i="2"/>
  <c r="D9071" i="2"/>
  <c r="C9071" i="2"/>
  <c r="D9070" i="2"/>
  <c r="C9070" i="2"/>
  <c r="D9069" i="2"/>
  <c r="C9069" i="2"/>
  <c r="D9068" i="2"/>
  <c r="C9068" i="2"/>
  <c r="D9067" i="2"/>
  <c r="C9067" i="2"/>
  <c r="D9066" i="2"/>
  <c r="C9066" i="2"/>
  <c r="D9065" i="2"/>
  <c r="C9065" i="2"/>
  <c r="D9064" i="2"/>
  <c r="C9064" i="2"/>
  <c r="D9063" i="2"/>
  <c r="C9063" i="2"/>
  <c r="D9062" i="2"/>
  <c r="C9062" i="2"/>
  <c r="D9061" i="2"/>
  <c r="C9061" i="2"/>
  <c r="D9060" i="2"/>
  <c r="C9060" i="2"/>
  <c r="D9059" i="2"/>
  <c r="C9059" i="2"/>
  <c r="D9058" i="2"/>
  <c r="C9058" i="2"/>
  <c r="D9057" i="2"/>
  <c r="C9057" i="2"/>
  <c r="D9056" i="2"/>
  <c r="C9056" i="2"/>
  <c r="D9055" i="2"/>
  <c r="C9055" i="2"/>
  <c r="D9054" i="2"/>
  <c r="C9054" i="2"/>
  <c r="D9053" i="2"/>
  <c r="C9053" i="2"/>
  <c r="D9052" i="2"/>
  <c r="C9052" i="2"/>
  <c r="D9051" i="2"/>
  <c r="C9051" i="2"/>
  <c r="D9050" i="2"/>
  <c r="C9050" i="2"/>
  <c r="D9049" i="2"/>
  <c r="C9049" i="2"/>
  <c r="D9048" i="2"/>
  <c r="C9048" i="2"/>
  <c r="D9047" i="2"/>
  <c r="C9047" i="2"/>
  <c r="D9046" i="2"/>
  <c r="C9046" i="2"/>
  <c r="D9045" i="2"/>
  <c r="C9045" i="2"/>
  <c r="D9044" i="2"/>
  <c r="C9044" i="2"/>
  <c r="D9043" i="2"/>
  <c r="C9043" i="2"/>
  <c r="D9042" i="2"/>
  <c r="C9042" i="2"/>
  <c r="D9041" i="2"/>
  <c r="C9041" i="2"/>
  <c r="D9040" i="2"/>
  <c r="C9040" i="2"/>
  <c r="D9039" i="2"/>
  <c r="C9039" i="2"/>
  <c r="D9038" i="2"/>
  <c r="C9038" i="2"/>
  <c r="D9037" i="2"/>
  <c r="C9037" i="2"/>
  <c r="D9036" i="2"/>
  <c r="C9036" i="2"/>
  <c r="D9035" i="2"/>
  <c r="C9035" i="2"/>
  <c r="D9034" i="2"/>
  <c r="C9034" i="2"/>
  <c r="D9033" i="2"/>
  <c r="C9033" i="2"/>
  <c r="D9032" i="2"/>
  <c r="C9032" i="2"/>
  <c r="D9031" i="2"/>
  <c r="C9031" i="2"/>
  <c r="D9030" i="2"/>
  <c r="C9030" i="2"/>
  <c r="D9029" i="2"/>
  <c r="C9029" i="2"/>
  <c r="D9028" i="2"/>
  <c r="C9028" i="2"/>
  <c r="D9027" i="2"/>
  <c r="C9027" i="2"/>
  <c r="D9026" i="2"/>
  <c r="C9026" i="2"/>
  <c r="D9025" i="2"/>
  <c r="C9025" i="2"/>
  <c r="D9024" i="2"/>
  <c r="C9024" i="2"/>
  <c r="D9023" i="2"/>
  <c r="C9023" i="2"/>
  <c r="D9022" i="2"/>
  <c r="C9022" i="2"/>
  <c r="D9021" i="2"/>
  <c r="C9021" i="2"/>
  <c r="D9020" i="2"/>
  <c r="C9020" i="2"/>
  <c r="D9019" i="2"/>
  <c r="C9019" i="2"/>
  <c r="D9018" i="2"/>
  <c r="C9018" i="2"/>
  <c r="D9017" i="2"/>
  <c r="C9017" i="2"/>
  <c r="D9016" i="2"/>
  <c r="C9016" i="2"/>
  <c r="D9015" i="2"/>
  <c r="C9015" i="2"/>
  <c r="D9014" i="2"/>
  <c r="C9014" i="2"/>
  <c r="D9013" i="2"/>
  <c r="C9013" i="2"/>
  <c r="D9012" i="2"/>
  <c r="C9012" i="2"/>
  <c r="D9011" i="2"/>
  <c r="C9011" i="2"/>
  <c r="D9010" i="2"/>
  <c r="C9010" i="2"/>
  <c r="D9009" i="2"/>
  <c r="C9009" i="2"/>
  <c r="D9008" i="2"/>
  <c r="C9008" i="2"/>
  <c r="D9007" i="2"/>
  <c r="C9007" i="2"/>
  <c r="D9006" i="2"/>
  <c r="C9006" i="2"/>
  <c r="D9005" i="2"/>
  <c r="C9005" i="2"/>
  <c r="D9004" i="2"/>
  <c r="C9004" i="2"/>
  <c r="D9003" i="2"/>
  <c r="C9003" i="2"/>
  <c r="D9002" i="2"/>
  <c r="C9002" i="2"/>
  <c r="D9001" i="2"/>
  <c r="C9001" i="2"/>
  <c r="D9000" i="2"/>
  <c r="C9000" i="2"/>
  <c r="D8999" i="2"/>
  <c r="C8999" i="2"/>
  <c r="D8998" i="2"/>
  <c r="C8998" i="2"/>
  <c r="D8997" i="2"/>
  <c r="C8997" i="2"/>
  <c r="D8996" i="2"/>
  <c r="C8996" i="2"/>
  <c r="D8995" i="2"/>
  <c r="C8995" i="2"/>
  <c r="D8994" i="2"/>
  <c r="C8994" i="2"/>
  <c r="D8993" i="2"/>
  <c r="C8993" i="2"/>
  <c r="D8992" i="2"/>
  <c r="C8992" i="2"/>
  <c r="D8991" i="2"/>
  <c r="C8991" i="2"/>
  <c r="D8990" i="2"/>
  <c r="C8990" i="2"/>
  <c r="D8989" i="2"/>
  <c r="C8989" i="2"/>
  <c r="D8988" i="2"/>
  <c r="C8988" i="2"/>
  <c r="D8987" i="2"/>
  <c r="C8987" i="2"/>
  <c r="D8986" i="2"/>
  <c r="C8986" i="2"/>
  <c r="D8985" i="2"/>
  <c r="C8985" i="2"/>
  <c r="D8984" i="2"/>
  <c r="C8984" i="2"/>
  <c r="D8983" i="2"/>
  <c r="C8983" i="2"/>
  <c r="D8982" i="2"/>
  <c r="C8982" i="2"/>
  <c r="D8981" i="2"/>
  <c r="C8981" i="2"/>
  <c r="D8980" i="2"/>
  <c r="C8980" i="2"/>
  <c r="D8979" i="2"/>
  <c r="C8979" i="2"/>
  <c r="D8978" i="2"/>
  <c r="C8978" i="2"/>
  <c r="D8977" i="2"/>
  <c r="C8977" i="2"/>
  <c r="D8976" i="2"/>
  <c r="C8976" i="2"/>
  <c r="D8975" i="2"/>
  <c r="C8975" i="2"/>
  <c r="D8974" i="2"/>
  <c r="C8974" i="2"/>
  <c r="D8973" i="2"/>
  <c r="C8973" i="2"/>
  <c r="D8972" i="2"/>
  <c r="C8972" i="2"/>
  <c r="D8971" i="2"/>
  <c r="C8971" i="2"/>
  <c r="D8970" i="2"/>
  <c r="C8970" i="2"/>
  <c r="D8969" i="2"/>
  <c r="C8969" i="2"/>
  <c r="D8968" i="2"/>
  <c r="C8968" i="2"/>
  <c r="D8967" i="2"/>
  <c r="C8967" i="2"/>
  <c r="D8966" i="2"/>
  <c r="C8966" i="2"/>
  <c r="D8965" i="2"/>
  <c r="C8965" i="2"/>
  <c r="D8964" i="2"/>
  <c r="C8964" i="2"/>
  <c r="D8963" i="2"/>
  <c r="C8963" i="2"/>
  <c r="D8962" i="2"/>
  <c r="C8962" i="2"/>
  <c r="D8961" i="2"/>
  <c r="C8961" i="2"/>
  <c r="D8960" i="2"/>
  <c r="C8960" i="2"/>
  <c r="D8959" i="2"/>
  <c r="C8959" i="2"/>
  <c r="D8958" i="2"/>
  <c r="C8958" i="2"/>
  <c r="D8957" i="2"/>
  <c r="C8957" i="2"/>
  <c r="D8956" i="2"/>
  <c r="C8956" i="2"/>
  <c r="D8955" i="2"/>
  <c r="C8955" i="2"/>
  <c r="D8954" i="2"/>
  <c r="C8954" i="2"/>
  <c r="D8953" i="2"/>
  <c r="C8953" i="2"/>
  <c r="D8952" i="2"/>
  <c r="C8952" i="2"/>
  <c r="D8951" i="2"/>
  <c r="C8951" i="2"/>
  <c r="D8950" i="2"/>
  <c r="C8950" i="2"/>
  <c r="D8949" i="2"/>
  <c r="C8949" i="2"/>
  <c r="D8948" i="2"/>
  <c r="C8948" i="2"/>
  <c r="D8947" i="2"/>
  <c r="C8947" i="2"/>
  <c r="D8946" i="2"/>
  <c r="C8946" i="2"/>
  <c r="D8945" i="2"/>
  <c r="C8945" i="2"/>
  <c r="D8944" i="2"/>
  <c r="C8944" i="2"/>
  <c r="D8943" i="2"/>
  <c r="C8943" i="2"/>
  <c r="D8942" i="2"/>
  <c r="C8942" i="2"/>
  <c r="D8941" i="2"/>
  <c r="C8941" i="2"/>
  <c r="D8940" i="2"/>
  <c r="C8940" i="2"/>
  <c r="D8939" i="2"/>
  <c r="C8939" i="2"/>
  <c r="D8938" i="2"/>
  <c r="C8938" i="2"/>
  <c r="D8937" i="2"/>
  <c r="C8937" i="2"/>
  <c r="D8936" i="2"/>
  <c r="C8936" i="2"/>
  <c r="D8935" i="2"/>
  <c r="C8935" i="2"/>
  <c r="D8934" i="2"/>
  <c r="C8934" i="2"/>
  <c r="D8933" i="2"/>
  <c r="C8933" i="2"/>
  <c r="D8932" i="2"/>
  <c r="C8932" i="2"/>
  <c r="D8931" i="2"/>
  <c r="C8931" i="2"/>
  <c r="D8930" i="2"/>
  <c r="C8930" i="2"/>
  <c r="D8929" i="2"/>
  <c r="C8929" i="2"/>
  <c r="D8928" i="2"/>
  <c r="C8928" i="2"/>
  <c r="D8927" i="2"/>
  <c r="C8927" i="2"/>
  <c r="D8926" i="2"/>
  <c r="C8926" i="2"/>
  <c r="D8925" i="2"/>
  <c r="C8925" i="2"/>
  <c r="D8924" i="2"/>
  <c r="C8924" i="2"/>
  <c r="D8923" i="2"/>
  <c r="C8923" i="2"/>
  <c r="D8922" i="2"/>
  <c r="C8922" i="2"/>
  <c r="D8921" i="2"/>
  <c r="C8921" i="2"/>
  <c r="D8920" i="2"/>
  <c r="C8920" i="2"/>
  <c r="D8919" i="2"/>
  <c r="C8919" i="2"/>
  <c r="D8918" i="2"/>
  <c r="C8918" i="2"/>
  <c r="D8917" i="2"/>
  <c r="C8917" i="2"/>
  <c r="D8916" i="2"/>
  <c r="C8916" i="2"/>
  <c r="D8915" i="2"/>
  <c r="C8915" i="2"/>
  <c r="D8914" i="2"/>
  <c r="C8914" i="2"/>
  <c r="D8913" i="2"/>
  <c r="C8913" i="2"/>
  <c r="D8912" i="2"/>
  <c r="C8912" i="2"/>
  <c r="D8911" i="2"/>
  <c r="C8911" i="2"/>
  <c r="D8910" i="2"/>
  <c r="C8910" i="2"/>
  <c r="D8909" i="2"/>
  <c r="C8909" i="2"/>
  <c r="D8908" i="2"/>
  <c r="C8908" i="2"/>
  <c r="D8907" i="2"/>
  <c r="C8907" i="2"/>
  <c r="D8906" i="2"/>
  <c r="C8906" i="2"/>
  <c r="D8905" i="2"/>
  <c r="C8905" i="2"/>
  <c r="D8904" i="2"/>
  <c r="C8904" i="2"/>
  <c r="D8903" i="2"/>
  <c r="C8903" i="2"/>
  <c r="D8902" i="2"/>
  <c r="C8902" i="2"/>
  <c r="D8901" i="2"/>
  <c r="C8901" i="2"/>
  <c r="D8900" i="2"/>
  <c r="C8900" i="2"/>
  <c r="D8899" i="2"/>
  <c r="C8899" i="2"/>
  <c r="D8898" i="2"/>
  <c r="C8898" i="2"/>
  <c r="D8897" i="2"/>
  <c r="C8897" i="2"/>
  <c r="D8896" i="2"/>
  <c r="C8896" i="2"/>
  <c r="D8895" i="2"/>
  <c r="C8895" i="2"/>
  <c r="D8894" i="2"/>
  <c r="C8894" i="2"/>
  <c r="D8893" i="2"/>
  <c r="C8893" i="2"/>
  <c r="D8892" i="2"/>
  <c r="C8892" i="2"/>
  <c r="D8891" i="2"/>
  <c r="C8891" i="2"/>
  <c r="D8890" i="2"/>
  <c r="C8890" i="2"/>
  <c r="D8889" i="2"/>
  <c r="C8889" i="2"/>
  <c r="D8888" i="2"/>
  <c r="C8888" i="2"/>
  <c r="D8887" i="2"/>
  <c r="C8887" i="2"/>
  <c r="D8886" i="2"/>
  <c r="C8886" i="2"/>
  <c r="D8885" i="2"/>
  <c r="C8885" i="2"/>
  <c r="D8884" i="2"/>
  <c r="C8884" i="2"/>
  <c r="D8883" i="2"/>
  <c r="C8883" i="2"/>
  <c r="D8882" i="2"/>
  <c r="C8882" i="2"/>
  <c r="D8881" i="2"/>
  <c r="C8881" i="2"/>
  <c r="D8880" i="2"/>
  <c r="C8880" i="2"/>
  <c r="D8879" i="2"/>
  <c r="C8879" i="2"/>
  <c r="D8878" i="2"/>
  <c r="C8878" i="2"/>
  <c r="D8877" i="2"/>
  <c r="C8877" i="2"/>
  <c r="D8876" i="2"/>
  <c r="C8876" i="2"/>
  <c r="D8875" i="2"/>
  <c r="C8875" i="2"/>
  <c r="D8874" i="2"/>
  <c r="C8874" i="2"/>
  <c r="D8873" i="2"/>
  <c r="C8873" i="2"/>
  <c r="D8872" i="2"/>
  <c r="C8872" i="2"/>
  <c r="D8871" i="2"/>
  <c r="C8871" i="2"/>
  <c r="D8870" i="2"/>
  <c r="C8870" i="2"/>
  <c r="D8869" i="2"/>
  <c r="C8869" i="2"/>
  <c r="D8868" i="2"/>
  <c r="C8868" i="2"/>
  <c r="D8867" i="2"/>
  <c r="C8867" i="2"/>
  <c r="D8866" i="2"/>
  <c r="C8866" i="2"/>
  <c r="D8865" i="2"/>
  <c r="C8865" i="2"/>
  <c r="D8864" i="2"/>
  <c r="C8864" i="2"/>
  <c r="D8863" i="2"/>
  <c r="C8863" i="2"/>
  <c r="D8862" i="2"/>
  <c r="C8862" i="2"/>
  <c r="D8861" i="2"/>
  <c r="C8861" i="2"/>
  <c r="D8860" i="2"/>
  <c r="C8860" i="2"/>
  <c r="D8859" i="2"/>
  <c r="C8859" i="2"/>
  <c r="D8858" i="2"/>
  <c r="C8858" i="2"/>
  <c r="D8857" i="2"/>
  <c r="C8857" i="2"/>
  <c r="D8856" i="2"/>
  <c r="C8856" i="2"/>
  <c r="D8855" i="2"/>
  <c r="C8855" i="2"/>
  <c r="D8854" i="2"/>
  <c r="C8854" i="2"/>
  <c r="D8853" i="2"/>
  <c r="C8853" i="2"/>
  <c r="D8852" i="2"/>
  <c r="C8852" i="2"/>
  <c r="D8851" i="2"/>
  <c r="C8851" i="2"/>
  <c r="D8850" i="2"/>
  <c r="C8850" i="2"/>
  <c r="D8849" i="2"/>
  <c r="C8849" i="2"/>
  <c r="D8848" i="2"/>
  <c r="C8848" i="2"/>
  <c r="D8847" i="2"/>
  <c r="C8847" i="2"/>
  <c r="D8846" i="2"/>
  <c r="C8846" i="2"/>
  <c r="D8845" i="2"/>
  <c r="C8845" i="2"/>
  <c r="D8844" i="2"/>
  <c r="C8844" i="2"/>
  <c r="D8843" i="2"/>
  <c r="C8843" i="2"/>
  <c r="D8842" i="2"/>
  <c r="C8842" i="2"/>
  <c r="D8841" i="2"/>
  <c r="C8841" i="2"/>
  <c r="D8840" i="2"/>
  <c r="C8840" i="2"/>
  <c r="D8839" i="2"/>
  <c r="C8839" i="2"/>
  <c r="D8838" i="2"/>
  <c r="C8838" i="2"/>
  <c r="D8837" i="2"/>
  <c r="C8837" i="2"/>
  <c r="D8836" i="2"/>
  <c r="C8836" i="2"/>
  <c r="D8835" i="2"/>
  <c r="C8835" i="2"/>
  <c r="D8834" i="2"/>
  <c r="C8834" i="2"/>
  <c r="D8833" i="2"/>
  <c r="C8833" i="2"/>
  <c r="D8832" i="2"/>
  <c r="C8832" i="2"/>
  <c r="D8831" i="2"/>
  <c r="C8831" i="2"/>
  <c r="D8830" i="2"/>
  <c r="C8830" i="2"/>
  <c r="D8829" i="2"/>
  <c r="C8829" i="2"/>
  <c r="D8828" i="2"/>
  <c r="C8828" i="2"/>
  <c r="D8827" i="2"/>
  <c r="C8827" i="2"/>
  <c r="D8826" i="2"/>
  <c r="C8826" i="2"/>
  <c r="D8825" i="2"/>
  <c r="C8825" i="2"/>
  <c r="D8824" i="2"/>
  <c r="C8824" i="2"/>
  <c r="D8823" i="2"/>
  <c r="C8823" i="2"/>
  <c r="D8822" i="2"/>
  <c r="C8822" i="2"/>
  <c r="D8821" i="2"/>
  <c r="C8821" i="2"/>
  <c r="D8820" i="2"/>
  <c r="C8820" i="2"/>
  <c r="D8819" i="2"/>
  <c r="C8819" i="2"/>
  <c r="D8818" i="2"/>
  <c r="C8818" i="2"/>
  <c r="D8817" i="2"/>
  <c r="C8817" i="2"/>
  <c r="D8816" i="2"/>
  <c r="C8816" i="2"/>
  <c r="D8815" i="2"/>
  <c r="C8815" i="2"/>
  <c r="D8814" i="2"/>
  <c r="C8814" i="2"/>
  <c r="D8813" i="2"/>
  <c r="C8813" i="2"/>
  <c r="D8812" i="2"/>
  <c r="C8812" i="2"/>
  <c r="D8811" i="2"/>
  <c r="C8811" i="2"/>
  <c r="D8810" i="2"/>
  <c r="C8810" i="2"/>
  <c r="D8809" i="2"/>
  <c r="C8809" i="2"/>
  <c r="D8808" i="2"/>
  <c r="C8808" i="2"/>
  <c r="D8807" i="2"/>
  <c r="C8807" i="2"/>
  <c r="D8806" i="2"/>
  <c r="C8806" i="2"/>
  <c r="D8805" i="2"/>
  <c r="C8805" i="2"/>
  <c r="D8804" i="2"/>
  <c r="C8804" i="2"/>
  <c r="D8803" i="2"/>
  <c r="C8803" i="2"/>
  <c r="D8802" i="2"/>
  <c r="C8802" i="2"/>
  <c r="D8801" i="2"/>
  <c r="C8801" i="2"/>
  <c r="D8800" i="2"/>
  <c r="C8800" i="2"/>
  <c r="D8799" i="2"/>
  <c r="C8799" i="2"/>
  <c r="D8798" i="2"/>
  <c r="C8798" i="2"/>
  <c r="D8797" i="2"/>
  <c r="C8797" i="2"/>
  <c r="D8796" i="2"/>
  <c r="C8796" i="2"/>
  <c r="D8795" i="2"/>
  <c r="C8795" i="2"/>
  <c r="D8794" i="2"/>
  <c r="C8794" i="2"/>
  <c r="D8793" i="2"/>
  <c r="C8793" i="2"/>
  <c r="D8792" i="2"/>
  <c r="C8792" i="2"/>
  <c r="D8791" i="2"/>
  <c r="C8791" i="2"/>
  <c r="D8790" i="2"/>
  <c r="C8790" i="2"/>
  <c r="D8789" i="2"/>
  <c r="C8789" i="2"/>
  <c r="D8788" i="2"/>
  <c r="C8788" i="2"/>
  <c r="D8787" i="2"/>
  <c r="C8787" i="2"/>
  <c r="D8786" i="2"/>
  <c r="C8786" i="2"/>
  <c r="D8785" i="2"/>
  <c r="C8785" i="2"/>
  <c r="D8784" i="2"/>
  <c r="C8784" i="2"/>
  <c r="D8783" i="2"/>
  <c r="C8783" i="2"/>
  <c r="D8782" i="2"/>
  <c r="C8782" i="2"/>
  <c r="D8781" i="2"/>
  <c r="C8781" i="2"/>
  <c r="D8780" i="2"/>
  <c r="C8780" i="2"/>
  <c r="D8779" i="2"/>
  <c r="C8779" i="2"/>
  <c r="D8778" i="2"/>
  <c r="C8778" i="2"/>
  <c r="D8777" i="2"/>
  <c r="C8777" i="2"/>
  <c r="D8776" i="2"/>
  <c r="C8776" i="2"/>
  <c r="D8775" i="2"/>
  <c r="C8775" i="2"/>
  <c r="D8774" i="2"/>
  <c r="C8774" i="2"/>
  <c r="D8773" i="2"/>
  <c r="C8773" i="2"/>
  <c r="D8772" i="2"/>
  <c r="C8772" i="2"/>
  <c r="D8771" i="2"/>
  <c r="C8771" i="2"/>
  <c r="D8770" i="2"/>
  <c r="C8770" i="2"/>
  <c r="D8769" i="2"/>
  <c r="C8769" i="2"/>
  <c r="D8768" i="2"/>
  <c r="C8768" i="2"/>
  <c r="D8767" i="2"/>
  <c r="C8767" i="2"/>
  <c r="D8766" i="2"/>
  <c r="C8766" i="2"/>
  <c r="D8765" i="2"/>
  <c r="C8765" i="2"/>
  <c r="D8764" i="2"/>
  <c r="C8764" i="2"/>
  <c r="D8763" i="2"/>
  <c r="C8763" i="2"/>
  <c r="D8762" i="2"/>
  <c r="C8762" i="2"/>
  <c r="D8761" i="2"/>
  <c r="C8761" i="2"/>
  <c r="D8760" i="2"/>
  <c r="C8760" i="2"/>
  <c r="D8759" i="2"/>
  <c r="C8759" i="2"/>
  <c r="D8758" i="2"/>
  <c r="C8758" i="2"/>
  <c r="D8757" i="2"/>
  <c r="C8757" i="2"/>
  <c r="D8756" i="2"/>
  <c r="C8756" i="2"/>
  <c r="D8755" i="2"/>
  <c r="C8755" i="2"/>
  <c r="D8754" i="2"/>
  <c r="C8754" i="2"/>
  <c r="D8753" i="2"/>
  <c r="C8753" i="2"/>
  <c r="D8752" i="2"/>
  <c r="C8752" i="2"/>
  <c r="D8751" i="2"/>
  <c r="C8751" i="2"/>
  <c r="D8750" i="2"/>
  <c r="C8750" i="2"/>
  <c r="D8749" i="2"/>
  <c r="C8749" i="2"/>
  <c r="D8748" i="2"/>
  <c r="C8748" i="2"/>
  <c r="D8747" i="2"/>
  <c r="C8747" i="2"/>
  <c r="D8746" i="2"/>
  <c r="C8746" i="2"/>
  <c r="D8745" i="2"/>
  <c r="C8745" i="2"/>
  <c r="D8744" i="2"/>
  <c r="C8744" i="2"/>
  <c r="D8743" i="2"/>
  <c r="C8743" i="2"/>
  <c r="D8742" i="2"/>
  <c r="C8742" i="2"/>
  <c r="D8741" i="2"/>
  <c r="C8741" i="2"/>
  <c r="D8740" i="2"/>
  <c r="C8740" i="2"/>
  <c r="D8739" i="2"/>
  <c r="C8739" i="2"/>
  <c r="D8738" i="2"/>
  <c r="C8738" i="2"/>
  <c r="D8737" i="2"/>
  <c r="C8737" i="2"/>
  <c r="D8736" i="2"/>
  <c r="C8736" i="2"/>
  <c r="D8735" i="2"/>
  <c r="C8735" i="2"/>
  <c r="D8734" i="2"/>
  <c r="C8734" i="2"/>
  <c r="D8733" i="2"/>
  <c r="C8733" i="2"/>
  <c r="D8732" i="2"/>
  <c r="C8732" i="2"/>
  <c r="D8731" i="2"/>
  <c r="C8731" i="2"/>
  <c r="D8730" i="2"/>
  <c r="C8730" i="2"/>
  <c r="D8729" i="2"/>
  <c r="C8729" i="2"/>
  <c r="D8728" i="2"/>
  <c r="C8728" i="2"/>
  <c r="D8727" i="2"/>
  <c r="C8727" i="2"/>
  <c r="D8726" i="2"/>
  <c r="C8726" i="2"/>
  <c r="D8725" i="2"/>
  <c r="C8725" i="2"/>
  <c r="D8724" i="2"/>
  <c r="C8724" i="2"/>
  <c r="D8723" i="2"/>
  <c r="C8723" i="2"/>
  <c r="D8722" i="2"/>
  <c r="C8722" i="2"/>
  <c r="D8721" i="2"/>
  <c r="C8721" i="2"/>
  <c r="D8720" i="2"/>
  <c r="C8720" i="2"/>
  <c r="D8719" i="2"/>
  <c r="C8719" i="2"/>
  <c r="D8718" i="2"/>
  <c r="C8718" i="2"/>
  <c r="D8717" i="2"/>
  <c r="C8717" i="2"/>
  <c r="D8716" i="2"/>
  <c r="C8716" i="2"/>
  <c r="D8715" i="2"/>
  <c r="C8715" i="2"/>
  <c r="D8714" i="2"/>
  <c r="C8714" i="2"/>
  <c r="D8713" i="2"/>
  <c r="C8713" i="2"/>
  <c r="D8712" i="2"/>
  <c r="C8712" i="2"/>
  <c r="D8711" i="2"/>
  <c r="C8711" i="2"/>
  <c r="D8710" i="2"/>
  <c r="C8710" i="2"/>
  <c r="D8709" i="2"/>
  <c r="C8709" i="2"/>
  <c r="D8708" i="2"/>
  <c r="C8708" i="2"/>
  <c r="D8707" i="2"/>
  <c r="C8707" i="2"/>
  <c r="D8706" i="2"/>
  <c r="C8706" i="2"/>
  <c r="D8705" i="2"/>
  <c r="C8705" i="2"/>
  <c r="D8704" i="2"/>
  <c r="C8704" i="2"/>
  <c r="D8703" i="2"/>
  <c r="C8703" i="2"/>
  <c r="D8702" i="2"/>
  <c r="C8702" i="2"/>
  <c r="D8701" i="2"/>
  <c r="C8701" i="2"/>
  <c r="D8700" i="2"/>
  <c r="C8700" i="2"/>
  <c r="D8699" i="2"/>
  <c r="C8699" i="2"/>
  <c r="D8698" i="2"/>
  <c r="C8698" i="2"/>
  <c r="D8697" i="2"/>
  <c r="C8697" i="2"/>
  <c r="D8696" i="2"/>
  <c r="C8696" i="2"/>
  <c r="D8695" i="2"/>
  <c r="C8695" i="2"/>
  <c r="D8694" i="2"/>
  <c r="C8694" i="2"/>
  <c r="D8693" i="2"/>
  <c r="C8693" i="2"/>
  <c r="D8692" i="2"/>
  <c r="C8692" i="2"/>
  <c r="D8691" i="2"/>
  <c r="C8691" i="2"/>
  <c r="D8690" i="2"/>
  <c r="C8690" i="2"/>
  <c r="D8689" i="2"/>
  <c r="C8689" i="2"/>
  <c r="D8688" i="2"/>
  <c r="C8688" i="2"/>
  <c r="D8687" i="2"/>
  <c r="C8687" i="2"/>
  <c r="D8686" i="2"/>
  <c r="C8686" i="2"/>
  <c r="D8685" i="2"/>
  <c r="C8685" i="2"/>
  <c r="D8684" i="2"/>
  <c r="C8684" i="2"/>
  <c r="D8683" i="2"/>
  <c r="C8683" i="2"/>
  <c r="D8682" i="2"/>
  <c r="C8682" i="2"/>
  <c r="D8681" i="2"/>
  <c r="C8681" i="2"/>
  <c r="D8680" i="2"/>
  <c r="C8680" i="2"/>
  <c r="D8679" i="2"/>
  <c r="C8679" i="2"/>
  <c r="D8678" i="2"/>
  <c r="C8678" i="2"/>
  <c r="D8677" i="2"/>
  <c r="C8677" i="2"/>
  <c r="D8676" i="2"/>
  <c r="C8676" i="2"/>
  <c r="D8675" i="2"/>
  <c r="C8675" i="2"/>
  <c r="D8674" i="2"/>
  <c r="C8674" i="2"/>
  <c r="D8673" i="2"/>
  <c r="C8673" i="2"/>
  <c r="D8672" i="2"/>
  <c r="C8672" i="2"/>
  <c r="D8671" i="2"/>
  <c r="C8671" i="2"/>
  <c r="D8670" i="2"/>
  <c r="C8670" i="2"/>
  <c r="D8669" i="2"/>
  <c r="C8669" i="2"/>
  <c r="D8668" i="2"/>
  <c r="C8668" i="2"/>
  <c r="D8667" i="2"/>
  <c r="C8667" i="2"/>
  <c r="D8666" i="2"/>
  <c r="C8666" i="2"/>
  <c r="D8665" i="2"/>
  <c r="C8665" i="2"/>
  <c r="D8664" i="2"/>
  <c r="C8664" i="2"/>
  <c r="D8663" i="2"/>
  <c r="C8663" i="2"/>
  <c r="D8662" i="2"/>
  <c r="C8662" i="2"/>
  <c r="D8661" i="2"/>
  <c r="C8661" i="2"/>
  <c r="D8660" i="2"/>
  <c r="C8660" i="2"/>
  <c r="D8659" i="2"/>
  <c r="C8659" i="2"/>
  <c r="D8658" i="2"/>
  <c r="C8658" i="2"/>
  <c r="D8657" i="2"/>
  <c r="C8657" i="2"/>
  <c r="D8656" i="2"/>
  <c r="C8656" i="2"/>
  <c r="D8655" i="2"/>
  <c r="C8655" i="2"/>
  <c r="D8654" i="2"/>
  <c r="C8654" i="2"/>
  <c r="D8653" i="2"/>
  <c r="C8653" i="2"/>
  <c r="D8652" i="2"/>
  <c r="C8652" i="2"/>
  <c r="D8651" i="2"/>
  <c r="C8651" i="2"/>
  <c r="D8650" i="2"/>
  <c r="C8650" i="2"/>
  <c r="D8649" i="2"/>
  <c r="C8649" i="2"/>
  <c r="D8648" i="2"/>
  <c r="C8648" i="2"/>
  <c r="D8647" i="2"/>
  <c r="C8647" i="2"/>
  <c r="D8646" i="2"/>
  <c r="C8646" i="2"/>
  <c r="D8645" i="2"/>
  <c r="C8645" i="2"/>
  <c r="D8644" i="2"/>
  <c r="C8644" i="2"/>
  <c r="D8643" i="2"/>
  <c r="C8643" i="2"/>
  <c r="D8642" i="2"/>
  <c r="C8642" i="2"/>
  <c r="D8641" i="2"/>
  <c r="C8641" i="2"/>
  <c r="D8640" i="2"/>
  <c r="C8640" i="2"/>
  <c r="D8639" i="2"/>
  <c r="C8639" i="2"/>
  <c r="D8638" i="2"/>
  <c r="C8638" i="2"/>
  <c r="D8637" i="2"/>
  <c r="C8637" i="2"/>
  <c r="D8636" i="2"/>
  <c r="C8636" i="2"/>
  <c r="D8635" i="2"/>
  <c r="C8635" i="2"/>
  <c r="D8634" i="2"/>
  <c r="C8634" i="2"/>
  <c r="D8633" i="2"/>
  <c r="C8633" i="2"/>
  <c r="D8632" i="2"/>
  <c r="C8632" i="2"/>
  <c r="D8631" i="2"/>
  <c r="C8631" i="2"/>
  <c r="D8630" i="2"/>
  <c r="C8630" i="2"/>
  <c r="D8629" i="2"/>
  <c r="C8629" i="2"/>
  <c r="D8628" i="2"/>
  <c r="C8628" i="2"/>
  <c r="D8627" i="2"/>
  <c r="C8627" i="2"/>
  <c r="D8626" i="2"/>
  <c r="C8626" i="2"/>
  <c r="D8625" i="2"/>
  <c r="C8625" i="2"/>
  <c r="D8624" i="2"/>
  <c r="C8624" i="2"/>
  <c r="D8623" i="2"/>
  <c r="C8623" i="2"/>
  <c r="D8622" i="2"/>
  <c r="C8622" i="2"/>
  <c r="D8621" i="2"/>
  <c r="C8621" i="2"/>
  <c r="D8620" i="2"/>
  <c r="C8620" i="2"/>
  <c r="D8619" i="2"/>
  <c r="C8619" i="2"/>
  <c r="D8618" i="2"/>
  <c r="C8618" i="2"/>
  <c r="D8617" i="2"/>
  <c r="C8617" i="2"/>
  <c r="D8616" i="2"/>
  <c r="C8616" i="2"/>
  <c r="D8615" i="2"/>
  <c r="C8615" i="2"/>
  <c r="D8614" i="2"/>
  <c r="C8614" i="2"/>
  <c r="D8613" i="2"/>
  <c r="C8613" i="2"/>
  <c r="D8612" i="2"/>
  <c r="C8612" i="2"/>
  <c r="D8611" i="2"/>
  <c r="C8611" i="2"/>
  <c r="D8610" i="2"/>
  <c r="C8610" i="2"/>
  <c r="D8609" i="2"/>
  <c r="C8609" i="2"/>
  <c r="D8608" i="2"/>
  <c r="C8608" i="2"/>
  <c r="D8607" i="2"/>
  <c r="C8607" i="2"/>
  <c r="D8606" i="2"/>
  <c r="C8606" i="2"/>
  <c r="D8605" i="2"/>
  <c r="C8605" i="2"/>
  <c r="D8604" i="2"/>
  <c r="C8604" i="2"/>
  <c r="D8603" i="2"/>
  <c r="C8603" i="2"/>
  <c r="D8602" i="2"/>
  <c r="C8602" i="2"/>
  <c r="D8601" i="2"/>
  <c r="C8601" i="2"/>
  <c r="D8600" i="2"/>
  <c r="C8600" i="2"/>
  <c r="D8599" i="2"/>
  <c r="C8599" i="2"/>
  <c r="D8598" i="2"/>
  <c r="C8598" i="2"/>
  <c r="D8597" i="2"/>
  <c r="C8597" i="2"/>
  <c r="D8596" i="2"/>
  <c r="C8596" i="2"/>
  <c r="D8595" i="2"/>
  <c r="C8595" i="2"/>
  <c r="D8594" i="2"/>
  <c r="C8594" i="2"/>
  <c r="D8593" i="2"/>
  <c r="C8593" i="2"/>
  <c r="D8592" i="2"/>
  <c r="C8592" i="2"/>
  <c r="D8591" i="2"/>
  <c r="C8591" i="2"/>
  <c r="D8590" i="2"/>
  <c r="C8590" i="2"/>
  <c r="D8589" i="2"/>
  <c r="C8589" i="2"/>
  <c r="D8588" i="2"/>
  <c r="C8588" i="2"/>
  <c r="D8587" i="2"/>
  <c r="C8587" i="2"/>
  <c r="D8586" i="2"/>
  <c r="C8586" i="2"/>
  <c r="D8585" i="2"/>
  <c r="C8585" i="2"/>
  <c r="D8584" i="2"/>
  <c r="C8584" i="2"/>
  <c r="D8583" i="2"/>
  <c r="C8583" i="2"/>
  <c r="D8582" i="2"/>
  <c r="C8582" i="2"/>
  <c r="D8581" i="2"/>
  <c r="C8581" i="2"/>
  <c r="D8580" i="2"/>
  <c r="C8580" i="2"/>
  <c r="D8579" i="2"/>
  <c r="C8579" i="2"/>
  <c r="D8578" i="2"/>
  <c r="C8578" i="2"/>
  <c r="D8577" i="2"/>
  <c r="C8577" i="2"/>
  <c r="D8576" i="2"/>
  <c r="C8576" i="2"/>
  <c r="D8575" i="2"/>
  <c r="C8575" i="2"/>
  <c r="D8574" i="2"/>
  <c r="C8574" i="2"/>
  <c r="D8573" i="2"/>
  <c r="C8573" i="2"/>
  <c r="D8572" i="2"/>
  <c r="C8572" i="2"/>
  <c r="D8571" i="2"/>
  <c r="C8571" i="2"/>
  <c r="D8570" i="2"/>
  <c r="C8570" i="2"/>
  <c r="D8569" i="2"/>
  <c r="C8569" i="2"/>
  <c r="D8568" i="2"/>
  <c r="C8568" i="2"/>
  <c r="D8567" i="2"/>
  <c r="C8567" i="2"/>
  <c r="D8566" i="2"/>
  <c r="C8566" i="2"/>
  <c r="D8565" i="2"/>
  <c r="C8565" i="2"/>
  <c r="D8564" i="2"/>
  <c r="C8564" i="2"/>
  <c r="D8563" i="2"/>
  <c r="C8563" i="2"/>
  <c r="D8562" i="2"/>
  <c r="C8562" i="2"/>
  <c r="D8561" i="2"/>
  <c r="C8561" i="2"/>
  <c r="D8560" i="2"/>
  <c r="C8560" i="2"/>
  <c r="D8559" i="2"/>
  <c r="C8559" i="2"/>
  <c r="D8558" i="2"/>
  <c r="C8558" i="2"/>
  <c r="D8557" i="2"/>
  <c r="C8557" i="2"/>
  <c r="D8556" i="2"/>
  <c r="C8556" i="2"/>
  <c r="D8555" i="2"/>
  <c r="C8555" i="2"/>
  <c r="D8554" i="2"/>
  <c r="C8554" i="2"/>
  <c r="D8553" i="2"/>
  <c r="C8553" i="2"/>
  <c r="D8552" i="2"/>
  <c r="C8552" i="2"/>
  <c r="D8551" i="2"/>
  <c r="C8551" i="2"/>
  <c r="D8550" i="2"/>
  <c r="C8550" i="2"/>
  <c r="D8549" i="2"/>
  <c r="C8549" i="2"/>
  <c r="D8548" i="2"/>
  <c r="C8548" i="2"/>
  <c r="D8547" i="2"/>
  <c r="C8547" i="2"/>
  <c r="D8546" i="2"/>
  <c r="C8546" i="2"/>
  <c r="D8545" i="2"/>
  <c r="C8545" i="2"/>
  <c r="D8544" i="2"/>
  <c r="C8544" i="2"/>
  <c r="D8543" i="2"/>
  <c r="C8543" i="2"/>
  <c r="D8542" i="2"/>
  <c r="C8542" i="2"/>
  <c r="D8541" i="2"/>
  <c r="C8541" i="2"/>
  <c r="D8540" i="2"/>
  <c r="C8540" i="2"/>
  <c r="D8539" i="2"/>
  <c r="C8539" i="2"/>
  <c r="D8538" i="2"/>
  <c r="C8538" i="2"/>
  <c r="D8537" i="2"/>
  <c r="C8537" i="2"/>
  <c r="D8536" i="2"/>
  <c r="C8536" i="2"/>
  <c r="D8535" i="2"/>
  <c r="C8535" i="2"/>
  <c r="D8534" i="2"/>
  <c r="C8534" i="2"/>
  <c r="D8533" i="2"/>
  <c r="C8533" i="2"/>
  <c r="D8532" i="2"/>
  <c r="C8532" i="2"/>
  <c r="D8531" i="2"/>
  <c r="C8531" i="2"/>
  <c r="D8530" i="2"/>
  <c r="C8530" i="2"/>
  <c r="D8529" i="2"/>
  <c r="C8529" i="2"/>
  <c r="D8528" i="2"/>
  <c r="C8528" i="2"/>
  <c r="D8527" i="2"/>
  <c r="C8527" i="2"/>
  <c r="D8526" i="2"/>
  <c r="C8526" i="2"/>
  <c r="D8525" i="2"/>
  <c r="C8525" i="2"/>
  <c r="D8524" i="2"/>
  <c r="C8524" i="2"/>
  <c r="D8523" i="2"/>
  <c r="C8523" i="2"/>
  <c r="D8522" i="2"/>
  <c r="C8522" i="2"/>
  <c r="D8521" i="2"/>
  <c r="C8521" i="2"/>
  <c r="D8520" i="2"/>
  <c r="C8520" i="2"/>
  <c r="D8519" i="2"/>
  <c r="C8519" i="2"/>
  <c r="D8518" i="2"/>
  <c r="C8518" i="2"/>
  <c r="D8517" i="2"/>
  <c r="C8517" i="2"/>
  <c r="D8516" i="2"/>
  <c r="C8516" i="2"/>
  <c r="D8515" i="2"/>
  <c r="C8515" i="2"/>
  <c r="D8514" i="2"/>
  <c r="C8514" i="2"/>
  <c r="D8513" i="2"/>
  <c r="C8513" i="2"/>
  <c r="D8512" i="2"/>
  <c r="C8512" i="2"/>
  <c r="D8511" i="2"/>
  <c r="C8511" i="2"/>
  <c r="D8510" i="2"/>
  <c r="C8510" i="2"/>
  <c r="D8509" i="2"/>
  <c r="C8509" i="2"/>
  <c r="D8508" i="2"/>
  <c r="C8508" i="2"/>
  <c r="D8507" i="2"/>
  <c r="C8507" i="2"/>
  <c r="D8506" i="2"/>
  <c r="C8506" i="2"/>
  <c r="D8505" i="2"/>
  <c r="C8505" i="2"/>
  <c r="D8504" i="2"/>
  <c r="C8504" i="2"/>
  <c r="D8503" i="2"/>
  <c r="C8503" i="2"/>
  <c r="D8502" i="2"/>
  <c r="C8502" i="2"/>
  <c r="D8501" i="2"/>
  <c r="C8501" i="2"/>
  <c r="D8500" i="2"/>
  <c r="C8500" i="2"/>
  <c r="D8499" i="2"/>
  <c r="C8499" i="2"/>
  <c r="D8498" i="2"/>
  <c r="C8498" i="2"/>
  <c r="D8497" i="2"/>
  <c r="C8497" i="2"/>
  <c r="D8496" i="2"/>
  <c r="C8496" i="2"/>
  <c r="D8495" i="2"/>
  <c r="C8495" i="2"/>
  <c r="D8494" i="2"/>
  <c r="C8494" i="2"/>
  <c r="D8493" i="2"/>
  <c r="C8493" i="2"/>
  <c r="D8492" i="2"/>
  <c r="C8492" i="2"/>
  <c r="D8491" i="2"/>
  <c r="C8491" i="2"/>
  <c r="D8490" i="2"/>
  <c r="C8490" i="2"/>
  <c r="D8489" i="2"/>
  <c r="C8489" i="2"/>
  <c r="D8488" i="2"/>
  <c r="C8488" i="2"/>
  <c r="D8487" i="2"/>
  <c r="C8487" i="2"/>
  <c r="D8486" i="2"/>
  <c r="C8486" i="2"/>
  <c r="D8485" i="2"/>
  <c r="C8485" i="2"/>
  <c r="D8484" i="2"/>
  <c r="C8484" i="2"/>
  <c r="D8483" i="2"/>
  <c r="C8483" i="2"/>
  <c r="D8482" i="2"/>
  <c r="C8482" i="2"/>
  <c r="D8481" i="2"/>
  <c r="C8481" i="2"/>
  <c r="D8480" i="2"/>
  <c r="C8480" i="2"/>
  <c r="D8479" i="2"/>
  <c r="C8479" i="2"/>
  <c r="D8469" i="2"/>
  <c r="C8469" i="2"/>
  <c r="D8459" i="2"/>
  <c r="C8459" i="2"/>
  <c r="D8449" i="2"/>
  <c r="C8449" i="2"/>
  <c r="D8448" i="2"/>
  <c r="C8448" i="2"/>
  <c r="D8447" i="2"/>
  <c r="C8447" i="2"/>
  <c r="D8446" i="2"/>
  <c r="C8446" i="2"/>
  <c r="D8445" i="2"/>
  <c r="C8445" i="2"/>
  <c r="D8444" i="2"/>
  <c r="C8444" i="2"/>
  <c r="D8443" i="2"/>
  <c r="C8443" i="2"/>
  <c r="D8442" i="2"/>
  <c r="C8442" i="2"/>
  <c r="D8441" i="2"/>
  <c r="C8441" i="2"/>
  <c r="D8440" i="2"/>
  <c r="C8440" i="2"/>
  <c r="D8439" i="2"/>
  <c r="C8439" i="2"/>
  <c r="D8438" i="2"/>
  <c r="C8438" i="2"/>
  <c r="D8437" i="2"/>
  <c r="C8437" i="2"/>
  <c r="D8436" i="2"/>
  <c r="C8436" i="2"/>
  <c r="D8435" i="2"/>
  <c r="C8435" i="2"/>
  <c r="D8434" i="2"/>
  <c r="C8434" i="2"/>
  <c r="D8433" i="2"/>
  <c r="C8433" i="2"/>
  <c r="D8432" i="2"/>
  <c r="C8432" i="2"/>
  <c r="D8431" i="2"/>
  <c r="C8431" i="2"/>
  <c r="D8430" i="2"/>
  <c r="C8430" i="2"/>
  <c r="D8429" i="2"/>
  <c r="C8429" i="2"/>
  <c r="D8428" i="2"/>
  <c r="C8428" i="2"/>
  <c r="D8427" i="2"/>
  <c r="C8427" i="2"/>
  <c r="D8426" i="2"/>
  <c r="C8426" i="2"/>
  <c r="D8425" i="2"/>
  <c r="C8425" i="2"/>
  <c r="D8424" i="2"/>
  <c r="C8424" i="2"/>
  <c r="D8423" i="2"/>
  <c r="C8423" i="2"/>
  <c r="D8422" i="2"/>
  <c r="C8422" i="2"/>
  <c r="D8421" i="2"/>
  <c r="C8421" i="2"/>
  <c r="D8420" i="2"/>
  <c r="C8420" i="2"/>
  <c r="D8419" i="2"/>
  <c r="C8419" i="2"/>
  <c r="D8418" i="2"/>
  <c r="C8418" i="2"/>
  <c r="D8417" i="2"/>
  <c r="C8417" i="2"/>
  <c r="D8416" i="2"/>
  <c r="C8416" i="2"/>
  <c r="D8415" i="2"/>
  <c r="C8415" i="2"/>
  <c r="D8414" i="2"/>
  <c r="C8414" i="2"/>
  <c r="D8413" i="2"/>
  <c r="C8413" i="2"/>
  <c r="D8412" i="2"/>
  <c r="C8412" i="2"/>
  <c r="D8411" i="2"/>
  <c r="C8411" i="2"/>
  <c r="D8410" i="2"/>
  <c r="C8410" i="2"/>
  <c r="D8409" i="2"/>
  <c r="C8409" i="2"/>
  <c r="D8408" i="2"/>
  <c r="C8408" i="2"/>
  <c r="D8407" i="2"/>
  <c r="C8407" i="2"/>
  <c r="D8406" i="2"/>
  <c r="C8406" i="2"/>
  <c r="D8405" i="2"/>
  <c r="C8405" i="2"/>
  <c r="D8404" i="2"/>
  <c r="C8404" i="2"/>
  <c r="D8403" i="2"/>
  <c r="C8403" i="2"/>
  <c r="D8402" i="2"/>
  <c r="C8402" i="2"/>
  <c r="D8401" i="2"/>
  <c r="C8401" i="2"/>
  <c r="D8400" i="2"/>
  <c r="C8400" i="2"/>
  <c r="D8399" i="2"/>
  <c r="C8399" i="2"/>
  <c r="D8398" i="2"/>
  <c r="C8398" i="2"/>
  <c r="D8397" i="2"/>
  <c r="C8397" i="2"/>
  <c r="D8396" i="2"/>
  <c r="C8396" i="2"/>
  <c r="D8395" i="2"/>
  <c r="C8395" i="2"/>
  <c r="D8394" i="2"/>
  <c r="C8394" i="2"/>
  <c r="D8393" i="2"/>
  <c r="C8393" i="2"/>
  <c r="D8392" i="2"/>
  <c r="C8392" i="2"/>
  <c r="D8391" i="2"/>
  <c r="C8391" i="2"/>
  <c r="D8390" i="2"/>
  <c r="C8390" i="2"/>
  <c r="D8389" i="2"/>
  <c r="C8389" i="2"/>
  <c r="D8388" i="2"/>
  <c r="C8388" i="2"/>
  <c r="D8387" i="2"/>
  <c r="C8387" i="2"/>
  <c r="D8386" i="2"/>
  <c r="C8386" i="2"/>
  <c r="D8385" i="2"/>
  <c r="C8385" i="2"/>
  <c r="D8384" i="2"/>
  <c r="C8384" i="2"/>
  <c r="D8383" i="2"/>
  <c r="C8383" i="2"/>
  <c r="D8382" i="2"/>
  <c r="C8382" i="2"/>
  <c r="D8381" i="2"/>
  <c r="C8381" i="2"/>
  <c r="D8380" i="2"/>
  <c r="C8380" i="2"/>
  <c r="D8379" i="2"/>
  <c r="C8379" i="2"/>
  <c r="D8378" i="2"/>
  <c r="C8378" i="2"/>
  <c r="D8377" i="2"/>
  <c r="C8377" i="2"/>
  <c r="D8376" i="2"/>
  <c r="C8376" i="2"/>
  <c r="D8375" i="2"/>
  <c r="C8375" i="2"/>
  <c r="D8374" i="2"/>
  <c r="C8374" i="2"/>
  <c r="D8373" i="2"/>
  <c r="C8373" i="2"/>
  <c r="D8372" i="2"/>
  <c r="C8372" i="2"/>
  <c r="D8371" i="2"/>
  <c r="C8371" i="2"/>
  <c r="D8370" i="2"/>
  <c r="C8370" i="2"/>
  <c r="D8369" i="2"/>
  <c r="C8369" i="2"/>
  <c r="D8368" i="2"/>
  <c r="C8368" i="2"/>
  <c r="D8367" i="2"/>
  <c r="C8367" i="2"/>
  <c r="D8366" i="2"/>
  <c r="C8366" i="2"/>
  <c r="D8365" i="2"/>
  <c r="C8365" i="2"/>
  <c r="D8364" i="2"/>
  <c r="C8364" i="2"/>
  <c r="D8363" i="2"/>
  <c r="C8363" i="2"/>
  <c r="D8362" i="2"/>
  <c r="C8362" i="2"/>
  <c r="D8361" i="2"/>
  <c r="C8361" i="2"/>
  <c r="D8360" i="2"/>
  <c r="C8360" i="2"/>
  <c r="D8359" i="2"/>
  <c r="C8359" i="2"/>
  <c r="D8358" i="2"/>
  <c r="C8358" i="2"/>
  <c r="D8357" i="2"/>
  <c r="C8357" i="2"/>
  <c r="D8356" i="2"/>
  <c r="C8356" i="2"/>
  <c r="D8355" i="2"/>
  <c r="C8355" i="2"/>
  <c r="D8354" i="2"/>
  <c r="C8354" i="2"/>
  <c r="D8353" i="2"/>
  <c r="C8353" i="2"/>
  <c r="D8352" i="2"/>
  <c r="C8352" i="2"/>
  <c r="D8351" i="2"/>
  <c r="C8351" i="2"/>
  <c r="D8350" i="2"/>
  <c r="C8350" i="2"/>
  <c r="D8349" i="2"/>
  <c r="C8349" i="2"/>
  <c r="D8348" i="2"/>
  <c r="C8348" i="2"/>
  <c r="D8347" i="2"/>
  <c r="C8347" i="2"/>
  <c r="D8346" i="2"/>
  <c r="C8346" i="2"/>
  <c r="D8345" i="2"/>
  <c r="C8345" i="2"/>
  <c r="D8344" i="2"/>
  <c r="C8344" i="2"/>
  <c r="D8343" i="2"/>
  <c r="C8343" i="2"/>
  <c r="D8342" i="2"/>
  <c r="C8342" i="2"/>
  <c r="D8341" i="2"/>
  <c r="C8341" i="2"/>
  <c r="D8340" i="2"/>
  <c r="C8340" i="2"/>
  <c r="D8339" i="2"/>
  <c r="C8339" i="2"/>
  <c r="D8338" i="2"/>
  <c r="C8338" i="2"/>
  <c r="D8337" i="2"/>
  <c r="C8337" i="2"/>
  <c r="D8336" i="2"/>
  <c r="C8336" i="2"/>
  <c r="D8335" i="2"/>
  <c r="C8335" i="2"/>
  <c r="D8334" i="2"/>
  <c r="C8334" i="2"/>
  <c r="D8333" i="2"/>
  <c r="C8333" i="2"/>
  <c r="D8332" i="2"/>
  <c r="C8332" i="2"/>
  <c r="D8331" i="2"/>
  <c r="C8331" i="2"/>
  <c r="D8330" i="2"/>
  <c r="C8330" i="2"/>
  <c r="D8329" i="2"/>
  <c r="C8329" i="2"/>
  <c r="D8328" i="2"/>
  <c r="C8328" i="2"/>
  <c r="D8327" i="2"/>
  <c r="C8327" i="2"/>
  <c r="D8326" i="2"/>
  <c r="C8326" i="2"/>
  <c r="D8325" i="2"/>
  <c r="C8325" i="2"/>
  <c r="D8324" i="2"/>
  <c r="C8324" i="2"/>
  <c r="D8323" i="2"/>
  <c r="C8323" i="2"/>
  <c r="D8322" i="2"/>
  <c r="C8322" i="2"/>
  <c r="D8321" i="2"/>
  <c r="C8321" i="2"/>
  <c r="D8320" i="2"/>
  <c r="C8320" i="2"/>
  <c r="D8319" i="2"/>
  <c r="C8319" i="2"/>
  <c r="D8318" i="2"/>
  <c r="C8318" i="2"/>
  <c r="D8317" i="2"/>
  <c r="C8317" i="2"/>
  <c r="D8316" i="2"/>
  <c r="C8316" i="2"/>
  <c r="D8315" i="2"/>
  <c r="C8315" i="2"/>
  <c r="D8314" i="2"/>
  <c r="C8314" i="2"/>
  <c r="D8313" i="2"/>
  <c r="C8313" i="2"/>
  <c r="D8312" i="2"/>
  <c r="C8312" i="2"/>
  <c r="D8311" i="2"/>
  <c r="C8311" i="2"/>
  <c r="D8310" i="2"/>
  <c r="C8310" i="2"/>
  <c r="D8309" i="2"/>
  <c r="C8309" i="2"/>
  <c r="D8308" i="2"/>
  <c r="C8308" i="2"/>
  <c r="D8307" i="2"/>
  <c r="C8307" i="2"/>
  <c r="D8306" i="2"/>
  <c r="C8306" i="2"/>
  <c r="D8305" i="2"/>
  <c r="C8305" i="2"/>
  <c r="D8304" i="2"/>
  <c r="C8304" i="2"/>
  <c r="D8303" i="2"/>
  <c r="C8303" i="2"/>
  <c r="D8302" i="2"/>
  <c r="C8302" i="2"/>
  <c r="D8301" i="2"/>
  <c r="C8301" i="2"/>
  <c r="D8300" i="2"/>
  <c r="C8300" i="2"/>
  <c r="D8299" i="2"/>
  <c r="C8299" i="2"/>
  <c r="D8298" i="2"/>
  <c r="C8298" i="2"/>
  <c r="D8297" i="2"/>
  <c r="C8297" i="2"/>
  <c r="D8296" i="2"/>
  <c r="C8296" i="2"/>
  <c r="D8295" i="2"/>
  <c r="C8295" i="2"/>
  <c r="D8294" i="2"/>
  <c r="C8294" i="2"/>
  <c r="D8293" i="2"/>
  <c r="C8293" i="2"/>
  <c r="D8292" i="2"/>
  <c r="C8292" i="2"/>
  <c r="D8291" i="2"/>
  <c r="C8291" i="2"/>
  <c r="D8290" i="2"/>
  <c r="C8290" i="2"/>
  <c r="D8289" i="2"/>
  <c r="C8289" i="2"/>
  <c r="D8288" i="2"/>
  <c r="C8288" i="2"/>
  <c r="D8287" i="2"/>
  <c r="C8287" i="2"/>
  <c r="D8286" i="2"/>
  <c r="C8286" i="2"/>
  <c r="D8285" i="2"/>
  <c r="C8285" i="2"/>
  <c r="D8284" i="2"/>
  <c r="C8284" i="2"/>
  <c r="D8283" i="2"/>
  <c r="C8283" i="2"/>
  <c r="D8282" i="2"/>
  <c r="C8282" i="2"/>
  <c r="D8281" i="2"/>
  <c r="C8281" i="2"/>
  <c r="D8280" i="2"/>
  <c r="C8280" i="2"/>
  <c r="D8279" i="2"/>
  <c r="C8279" i="2"/>
  <c r="D8278" i="2"/>
  <c r="C8278" i="2"/>
  <c r="D8277" i="2"/>
  <c r="C8277" i="2"/>
  <c r="D8276" i="2"/>
  <c r="C8276" i="2"/>
  <c r="D8275" i="2"/>
  <c r="C8275" i="2"/>
  <c r="D8274" i="2"/>
  <c r="C8274" i="2"/>
  <c r="D8273" i="2"/>
  <c r="C8273" i="2"/>
  <c r="D8272" i="2"/>
  <c r="C8272" i="2"/>
  <c r="D8271" i="2"/>
  <c r="C8271" i="2"/>
  <c r="D8270" i="2"/>
  <c r="C8270" i="2"/>
  <c r="D8269" i="2"/>
  <c r="C8269" i="2"/>
  <c r="D8268" i="2"/>
  <c r="C8268" i="2"/>
  <c r="D8267" i="2"/>
  <c r="C8267" i="2"/>
  <c r="D8266" i="2"/>
  <c r="C8266" i="2"/>
  <c r="D8265" i="2"/>
  <c r="C8265" i="2"/>
  <c r="D8264" i="2"/>
  <c r="C8264" i="2"/>
  <c r="D8263" i="2"/>
  <c r="C8263" i="2"/>
  <c r="D8262" i="2"/>
  <c r="C8262" i="2"/>
  <c r="D8261" i="2"/>
  <c r="C8261" i="2"/>
  <c r="D8260" i="2"/>
  <c r="C8260" i="2"/>
  <c r="D8259" i="2"/>
  <c r="C8259" i="2"/>
  <c r="D8258" i="2"/>
  <c r="C8258" i="2"/>
  <c r="D8257" i="2"/>
  <c r="C8257" i="2"/>
  <c r="D8256" i="2"/>
  <c r="C8256" i="2"/>
  <c r="D8255" i="2"/>
  <c r="C8255" i="2"/>
  <c r="D8254" i="2"/>
  <c r="C8254" i="2"/>
  <c r="D8253" i="2"/>
  <c r="C8253" i="2"/>
  <c r="D8252" i="2"/>
  <c r="C8252" i="2"/>
  <c r="D8251" i="2"/>
  <c r="C8251" i="2"/>
  <c r="D8250" i="2"/>
  <c r="C8250" i="2"/>
  <c r="D8249" i="2"/>
  <c r="C8249" i="2"/>
  <c r="D8248" i="2"/>
  <c r="C8248" i="2"/>
  <c r="D8247" i="2"/>
  <c r="C8247" i="2"/>
  <c r="D8246" i="2"/>
  <c r="C8246" i="2"/>
  <c r="D8245" i="2"/>
  <c r="C8245" i="2"/>
  <c r="D8244" i="2"/>
  <c r="C8244" i="2"/>
  <c r="D8243" i="2"/>
  <c r="C8243" i="2"/>
  <c r="D8242" i="2"/>
  <c r="C8242" i="2"/>
  <c r="D8241" i="2"/>
  <c r="C8241" i="2"/>
  <c r="D8240" i="2"/>
  <c r="C8240" i="2"/>
  <c r="D8239" i="2"/>
  <c r="C8239" i="2"/>
  <c r="D8238" i="2"/>
  <c r="C8238" i="2"/>
  <c r="D8237" i="2"/>
  <c r="C8237" i="2"/>
  <c r="D8236" i="2"/>
  <c r="C8236" i="2"/>
  <c r="D8235" i="2"/>
  <c r="C8235" i="2"/>
  <c r="D8234" i="2"/>
  <c r="C8234" i="2"/>
  <c r="D8233" i="2"/>
  <c r="C8233" i="2"/>
  <c r="D8232" i="2"/>
  <c r="C8232" i="2"/>
  <c r="D8231" i="2"/>
  <c r="C8231" i="2"/>
  <c r="D8230" i="2"/>
  <c r="C8230" i="2"/>
  <c r="D8229" i="2"/>
  <c r="C8229" i="2"/>
  <c r="D8228" i="2"/>
  <c r="C8228" i="2"/>
  <c r="D8227" i="2"/>
  <c r="C8227" i="2"/>
  <c r="D8226" i="2"/>
  <c r="C8226" i="2"/>
  <c r="D8225" i="2"/>
  <c r="C8225" i="2"/>
  <c r="D8224" i="2"/>
  <c r="C8224" i="2"/>
  <c r="D8223" i="2"/>
  <c r="C8223" i="2"/>
  <c r="D8222" i="2"/>
  <c r="C8222" i="2"/>
  <c r="D8221" i="2"/>
  <c r="C8221" i="2"/>
  <c r="D8220" i="2"/>
  <c r="C8220" i="2"/>
  <c r="D8219" i="2"/>
  <c r="C8219" i="2"/>
  <c r="D8218" i="2"/>
  <c r="C8218" i="2"/>
  <c r="D8217" i="2"/>
  <c r="C8217" i="2"/>
  <c r="D8216" i="2"/>
  <c r="C8216" i="2"/>
  <c r="D8215" i="2"/>
  <c r="C8215" i="2"/>
  <c r="D8214" i="2"/>
  <c r="C8214" i="2"/>
  <c r="D8213" i="2"/>
  <c r="C8213" i="2"/>
  <c r="D8212" i="2"/>
  <c r="C8212" i="2"/>
  <c r="D8211" i="2"/>
  <c r="C8211" i="2"/>
  <c r="D8210" i="2"/>
  <c r="C8210" i="2"/>
  <c r="D8209" i="2"/>
  <c r="C8209" i="2"/>
  <c r="D8208" i="2"/>
  <c r="C8208" i="2"/>
  <c r="D8207" i="2"/>
  <c r="C8207" i="2"/>
  <c r="D8206" i="2"/>
  <c r="C8206" i="2"/>
  <c r="D8205" i="2"/>
  <c r="C8205" i="2"/>
  <c r="D8204" i="2"/>
  <c r="C8204" i="2"/>
  <c r="D8203" i="2"/>
  <c r="C8203" i="2"/>
  <c r="D8202" i="2"/>
  <c r="C8202" i="2"/>
  <c r="D8201" i="2"/>
  <c r="C8201" i="2"/>
  <c r="D8200" i="2"/>
  <c r="C8200" i="2"/>
  <c r="D8199" i="2"/>
  <c r="C8199" i="2"/>
  <c r="D8198" i="2"/>
  <c r="C8198" i="2"/>
  <c r="D8197" i="2"/>
  <c r="C8197" i="2"/>
  <c r="D8196" i="2"/>
  <c r="C8196" i="2"/>
  <c r="D8195" i="2"/>
  <c r="C8195" i="2"/>
  <c r="D8194" i="2"/>
  <c r="C8194" i="2"/>
  <c r="D8193" i="2"/>
  <c r="C8193" i="2"/>
  <c r="D8192" i="2"/>
  <c r="C8192" i="2"/>
  <c r="D8191" i="2"/>
  <c r="C8191" i="2"/>
  <c r="D8190" i="2"/>
  <c r="C8190" i="2"/>
  <c r="D8189" i="2"/>
  <c r="C8189" i="2"/>
  <c r="D8188" i="2"/>
  <c r="C8188" i="2"/>
  <c r="D8187" i="2"/>
  <c r="C8187" i="2"/>
  <c r="D8186" i="2"/>
  <c r="C8186" i="2"/>
  <c r="D8185" i="2"/>
  <c r="C8185" i="2"/>
  <c r="D8184" i="2"/>
  <c r="C8184" i="2"/>
  <c r="D8183" i="2"/>
  <c r="C8183" i="2"/>
  <c r="D8182" i="2"/>
  <c r="C8182" i="2"/>
  <c r="D8181" i="2"/>
  <c r="C8181" i="2"/>
  <c r="D8180" i="2"/>
  <c r="C8180" i="2"/>
  <c r="D8179" i="2"/>
  <c r="C8179" i="2"/>
  <c r="D8178" i="2"/>
  <c r="C8178" i="2"/>
  <c r="D8177" i="2"/>
  <c r="C8177" i="2"/>
  <c r="D8176" i="2"/>
  <c r="C8176" i="2"/>
  <c r="D8175" i="2"/>
  <c r="C8175" i="2"/>
  <c r="D8174" i="2"/>
  <c r="C8174" i="2"/>
  <c r="D8173" i="2"/>
  <c r="C8173" i="2"/>
  <c r="D8172" i="2"/>
  <c r="C8172" i="2"/>
  <c r="D8171" i="2"/>
  <c r="C8171" i="2"/>
  <c r="D8170" i="2"/>
  <c r="C8170" i="2"/>
  <c r="D8169" i="2"/>
  <c r="C8169" i="2"/>
  <c r="D8168" i="2"/>
  <c r="C8168" i="2"/>
  <c r="D8167" i="2"/>
  <c r="C8167" i="2"/>
  <c r="D8166" i="2"/>
  <c r="C8166" i="2"/>
  <c r="D8165" i="2"/>
  <c r="C8165" i="2"/>
  <c r="D8164" i="2"/>
  <c r="C8164" i="2"/>
  <c r="D8163" i="2"/>
  <c r="C8163" i="2"/>
  <c r="D8162" i="2"/>
  <c r="C8162" i="2"/>
  <c r="D8161" i="2"/>
  <c r="C8161" i="2"/>
  <c r="D8160" i="2"/>
  <c r="C8160" i="2"/>
  <c r="D8159" i="2"/>
  <c r="C8159" i="2"/>
  <c r="D8158" i="2"/>
  <c r="C8158" i="2"/>
  <c r="D8157" i="2"/>
  <c r="C8157" i="2"/>
  <c r="D8156" i="2"/>
  <c r="C8156" i="2"/>
  <c r="D8155" i="2"/>
  <c r="C8155" i="2"/>
  <c r="D8154" i="2"/>
  <c r="C8154" i="2"/>
  <c r="D8153" i="2"/>
  <c r="C8153" i="2"/>
  <c r="D8152" i="2"/>
  <c r="C8152" i="2"/>
  <c r="D8151" i="2"/>
  <c r="C8151" i="2"/>
  <c r="D8150" i="2"/>
  <c r="C8150" i="2"/>
  <c r="D8149" i="2"/>
  <c r="C8149" i="2"/>
  <c r="D8148" i="2"/>
  <c r="C8148" i="2"/>
  <c r="D8147" i="2"/>
  <c r="C8147" i="2"/>
  <c r="D8146" i="2"/>
  <c r="C8146" i="2"/>
  <c r="D8145" i="2"/>
  <c r="C8145" i="2"/>
  <c r="D8144" i="2"/>
  <c r="C8144" i="2"/>
  <c r="D8143" i="2"/>
  <c r="C8143" i="2"/>
  <c r="D8142" i="2"/>
  <c r="C8142" i="2"/>
  <c r="D8141" i="2"/>
  <c r="C8141" i="2"/>
  <c r="D8140" i="2"/>
  <c r="C8140" i="2"/>
  <c r="D8139" i="2"/>
  <c r="C8139" i="2"/>
  <c r="D8138" i="2"/>
  <c r="C8138" i="2"/>
  <c r="D8137" i="2"/>
  <c r="C8137" i="2"/>
  <c r="D8136" i="2"/>
  <c r="C8136" i="2"/>
  <c r="D8135" i="2"/>
  <c r="C8135" i="2"/>
  <c r="D8134" i="2"/>
  <c r="C8134" i="2"/>
  <c r="D8133" i="2"/>
  <c r="C8133" i="2"/>
  <c r="D8132" i="2"/>
  <c r="C8132" i="2"/>
  <c r="D8131" i="2"/>
  <c r="C8131" i="2"/>
  <c r="D8130" i="2"/>
  <c r="C8130" i="2"/>
  <c r="D8129" i="2"/>
  <c r="C8129" i="2"/>
  <c r="D8128" i="2"/>
  <c r="C8128" i="2"/>
  <c r="D8127" i="2"/>
  <c r="C8127" i="2"/>
  <c r="D8126" i="2"/>
  <c r="C8126" i="2"/>
  <c r="D8125" i="2"/>
  <c r="C8125" i="2"/>
  <c r="D8124" i="2"/>
  <c r="C8124" i="2"/>
  <c r="D8123" i="2"/>
  <c r="C8123" i="2"/>
  <c r="D8122" i="2"/>
  <c r="C8122" i="2"/>
  <c r="D8121" i="2"/>
  <c r="C8121" i="2"/>
  <c r="D8120" i="2"/>
  <c r="C8120" i="2"/>
  <c r="D8119" i="2"/>
  <c r="C8119" i="2"/>
  <c r="D8118" i="2"/>
  <c r="C8118" i="2"/>
  <c r="D8117" i="2"/>
  <c r="C8117" i="2"/>
  <c r="D8116" i="2"/>
  <c r="C8116" i="2"/>
  <c r="D8115" i="2"/>
  <c r="C8115" i="2"/>
  <c r="D8114" i="2"/>
  <c r="C8114" i="2"/>
  <c r="D8113" i="2"/>
  <c r="C8113" i="2"/>
  <c r="D8112" i="2"/>
  <c r="C8112" i="2"/>
  <c r="D8111" i="2"/>
  <c r="C8111" i="2"/>
  <c r="D8110" i="2"/>
  <c r="C8110" i="2"/>
  <c r="D8109" i="2"/>
  <c r="C8109" i="2"/>
  <c r="D8108" i="2"/>
  <c r="C8108" i="2"/>
  <c r="D8107" i="2"/>
  <c r="C8107" i="2"/>
  <c r="D8106" i="2"/>
  <c r="C8106" i="2"/>
  <c r="D8105" i="2"/>
  <c r="C8105" i="2"/>
  <c r="D8104" i="2"/>
  <c r="C8104" i="2"/>
  <c r="D8103" i="2"/>
  <c r="C8103" i="2"/>
  <c r="D8102" i="2"/>
  <c r="C8102" i="2"/>
  <c r="D8101" i="2"/>
  <c r="C8101" i="2"/>
  <c r="D8100" i="2"/>
  <c r="C8100" i="2"/>
  <c r="D8099" i="2"/>
  <c r="C8099" i="2"/>
  <c r="D8098" i="2"/>
  <c r="C8098" i="2"/>
  <c r="D8097" i="2"/>
  <c r="C8097" i="2"/>
  <c r="D8096" i="2"/>
  <c r="C8096" i="2"/>
  <c r="D8095" i="2"/>
  <c r="C8095" i="2"/>
  <c r="D8094" i="2"/>
  <c r="C8094" i="2"/>
  <c r="D8093" i="2"/>
  <c r="C8093" i="2"/>
  <c r="D8092" i="2"/>
  <c r="C8092" i="2"/>
  <c r="D8091" i="2"/>
  <c r="C8091" i="2"/>
  <c r="D8090" i="2"/>
  <c r="C8090" i="2"/>
  <c r="D8089" i="2"/>
  <c r="C8089" i="2"/>
  <c r="D8088" i="2"/>
  <c r="C8088" i="2"/>
  <c r="D8087" i="2"/>
  <c r="C8087" i="2"/>
  <c r="D8086" i="2"/>
  <c r="C8086" i="2"/>
  <c r="D8085" i="2"/>
  <c r="C8085" i="2"/>
  <c r="D8084" i="2"/>
  <c r="C8084" i="2"/>
  <c r="D8074" i="2"/>
  <c r="C8074" i="2"/>
  <c r="D8073" i="2"/>
  <c r="C8073" i="2"/>
  <c r="D8072" i="2"/>
  <c r="C8072" i="2"/>
  <c r="D8071" i="2"/>
  <c r="C8071" i="2"/>
  <c r="D8070" i="2"/>
  <c r="C8070" i="2"/>
  <c r="D8069" i="2"/>
  <c r="C8069" i="2"/>
  <c r="D8068" i="2"/>
  <c r="C8068" i="2"/>
  <c r="D8067" i="2"/>
  <c r="C8067" i="2"/>
  <c r="D8066" i="2"/>
  <c r="C8066" i="2"/>
  <c r="D8065" i="2"/>
  <c r="C8065" i="2"/>
  <c r="D8064" i="2"/>
  <c r="C8064" i="2"/>
  <c r="D8063" i="2"/>
  <c r="C8063" i="2"/>
  <c r="D8062" i="2"/>
  <c r="C8062" i="2"/>
  <c r="D8061" i="2"/>
  <c r="C8061" i="2"/>
  <c r="D8060" i="2"/>
  <c r="C8060" i="2"/>
  <c r="D8059" i="2"/>
  <c r="C8059" i="2"/>
  <c r="D8058" i="2"/>
  <c r="C8058" i="2"/>
  <c r="D8057" i="2"/>
  <c r="C8057" i="2"/>
  <c r="D8056" i="2"/>
  <c r="C8056" i="2"/>
  <c r="D8055" i="2"/>
  <c r="C8055" i="2"/>
  <c r="D8054" i="2"/>
  <c r="C8054" i="2"/>
  <c r="D8053" i="2"/>
  <c r="C8053" i="2"/>
  <c r="D8052" i="2"/>
  <c r="C8052" i="2"/>
  <c r="D8051" i="2"/>
  <c r="C8051" i="2"/>
  <c r="D8050" i="2"/>
  <c r="C8050" i="2"/>
  <c r="D8049" i="2"/>
  <c r="C8049" i="2"/>
  <c r="D8048" i="2"/>
  <c r="C8048" i="2"/>
  <c r="D8047" i="2"/>
  <c r="C8047" i="2"/>
  <c r="D8046" i="2"/>
  <c r="C8046" i="2"/>
  <c r="D8045" i="2"/>
  <c r="C8045" i="2"/>
  <c r="D8044" i="2"/>
  <c r="C8044" i="2"/>
  <c r="D8043" i="2"/>
  <c r="C8043" i="2"/>
  <c r="D8042" i="2"/>
  <c r="C8042" i="2"/>
  <c r="D8041" i="2"/>
  <c r="C8041" i="2"/>
  <c r="D8040" i="2"/>
  <c r="C8040" i="2"/>
  <c r="D8039" i="2"/>
  <c r="C8039" i="2"/>
  <c r="D8038" i="2"/>
  <c r="C8038" i="2"/>
  <c r="D8037" i="2"/>
  <c r="C8037" i="2"/>
  <c r="D8036" i="2"/>
  <c r="C8036" i="2"/>
  <c r="D8035" i="2"/>
  <c r="C8035" i="2"/>
  <c r="D8034" i="2"/>
  <c r="C8034" i="2"/>
  <c r="D8033" i="2"/>
  <c r="C8033" i="2"/>
  <c r="D8032" i="2"/>
  <c r="C8032" i="2"/>
  <c r="D8031" i="2"/>
  <c r="C8031" i="2"/>
  <c r="D8030" i="2"/>
  <c r="C8030" i="2"/>
  <c r="D8029" i="2"/>
  <c r="C8029" i="2"/>
  <c r="D8028" i="2"/>
  <c r="C8028" i="2"/>
  <c r="D8027" i="2"/>
  <c r="C8027" i="2"/>
  <c r="D8026" i="2"/>
  <c r="C8026" i="2"/>
  <c r="D8025" i="2"/>
  <c r="C8025" i="2"/>
  <c r="D8024" i="2"/>
  <c r="C8024" i="2"/>
  <c r="D8023" i="2"/>
  <c r="C8023" i="2"/>
  <c r="D8022" i="2"/>
  <c r="C8022" i="2"/>
  <c r="D8021" i="2"/>
  <c r="C8021" i="2"/>
  <c r="D8020" i="2"/>
  <c r="C8020" i="2"/>
  <c r="D8019" i="2"/>
  <c r="C8019" i="2"/>
  <c r="D8018" i="2"/>
  <c r="C8018" i="2"/>
  <c r="D8017" i="2"/>
  <c r="C8017" i="2"/>
  <c r="D8016" i="2"/>
  <c r="C8016" i="2"/>
  <c r="D8015" i="2"/>
  <c r="C8015" i="2"/>
  <c r="D8014" i="2"/>
  <c r="C8014" i="2"/>
  <c r="D8013" i="2"/>
  <c r="C8013" i="2"/>
  <c r="D8012" i="2"/>
  <c r="C8012" i="2"/>
  <c r="D8011" i="2"/>
  <c r="C8011" i="2"/>
  <c r="D8010" i="2"/>
  <c r="C8010" i="2"/>
  <c r="D8009" i="2"/>
  <c r="C8009" i="2"/>
  <c r="D8008" i="2"/>
  <c r="C8008" i="2"/>
  <c r="D8007" i="2"/>
  <c r="C8007" i="2"/>
  <c r="D8006" i="2"/>
  <c r="C8006" i="2"/>
  <c r="D8005" i="2"/>
  <c r="C8005" i="2"/>
  <c r="D8004" i="2"/>
  <c r="C8004" i="2"/>
  <c r="D8003" i="2"/>
  <c r="C8003" i="2"/>
  <c r="D8002" i="2"/>
  <c r="C8002" i="2"/>
  <c r="D8001" i="2"/>
  <c r="C8001" i="2"/>
  <c r="D8000" i="2"/>
  <c r="C8000" i="2"/>
  <c r="D7999" i="2"/>
  <c r="C7999" i="2"/>
  <c r="D7998" i="2"/>
  <c r="C7998" i="2"/>
  <c r="D7997" i="2"/>
  <c r="C7997" i="2"/>
  <c r="D7996" i="2"/>
  <c r="C7996" i="2"/>
  <c r="D7995" i="2"/>
  <c r="C7995" i="2"/>
  <c r="D7994" i="2"/>
  <c r="C7994" i="2"/>
  <c r="D7993" i="2"/>
  <c r="C7993" i="2"/>
  <c r="D7992" i="2"/>
  <c r="C7992" i="2"/>
  <c r="D7991" i="2"/>
  <c r="C7991" i="2"/>
  <c r="D7990" i="2"/>
  <c r="C7990" i="2"/>
  <c r="D7989" i="2"/>
  <c r="C7989" i="2"/>
  <c r="D7988" i="2"/>
  <c r="C7988" i="2"/>
  <c r="D7987" i="2"/>
  <c r="C7987" i="2"/>
  <c r="D7986" i="2"/>
  <c r="C7986" i="2"/>
  <c r="D7985" i="2"/>
  <c r="C7985" i="2"/>
  <c r="D7984" i="2"/>
  <c r="C7984" i="2"/>
  <c r="D7983" i="2"/>
  <c r="C7983" i="2"/>
  <c r="D7982" i="2"/>
  <c r="C7982" i="2"/>
  <c r="D7981" i="2"/>
  <c r="C7981" i="2"/>
  <c r="D7980" i="2"/>
  <c r="C7980" i="2"/>
  <c r="D7979" i="2"/>
  <c r="C7979" i="2"/>
  <c r="D7978" i="2"/>
  <c r="C7978" i="2"/>
  <c r="D7977" i="2"/>
  <c r="C7977" i="2"/>
  <c r="D7976" i="2"/>
  <c r="C7976" i="2"/>
  <c r="D7975" i="2"/>
  <c r="C7975" i="2"/>
  <c r="D7974" i="2"/>
  <c r="C7974" i="2"/>
  <c r="D7973" i="2"/>
  <c r="C7973" i="2"/>
  <c r="D7972" i="2"/>
  <c r="C7972" i="2"/>
  <c r="D7971" i="2"/>
  <c r="C7971" i="2"/>
  <c r="D7970" i="2"/>
  <c r="C7970" i="2"/>
  <c r="D7969" i="2"/>
  <c r="C7969" i="2"/>
  <c r="D7968" i="2"/>
  <c r="C7968" i="2"/>
  <c r="D7967" i="2"/>
  <c r="C7967" i="2"/>
  <c r="D7966" i="2"/>
  <c r="C7966" i="2"/>
  <c r="D7965" i="2"/>
  <c r="C7965" i="2"/>
  <c r="D7964" i="2"/>
  <c r="C7964" i="2"/>
  <c r="D7963" i="2"/>
  <c r="C7963" i="2"/>
  <c r="D7962" i="2"/>
  <c r="C7962" i="2"/>
  <c r="D7961" i="2"/>
  <c r="C7961" i="2"/>
  <c r="D7960" i="2"/>
  <c r="C7960" i="2"/>
  <c r="D7959" i="2"/>
  <c r="C7959" i="2"/>
  <c r="D7958" i="2"/>
  <c r="C7958" i="2"/>
  <c r="D7957" i="2"/>
  <c r="C7957" i="2"/>
  <c r="D7956" i="2"/>
  <c r="C7956" i="2"/>
  <c r="D7955" i="2"/>
  <c r="C7955" i="2"/>
  <c r="D7954" i="2"/>
  <c r="C7954" i="2"/>
  <c r="D7953" i="2"/>
  <c r="C7953" i="2"/>
  <c r="D7952" i="2"/>
  <c r="C7952" i="2"/>
  <c r="D7951" i="2"/>
  <c r="C7951" i="2"/>
  <c r="D7950" i="2"/>
  <c r="C7950" i="2"/>
  <c r="D7949" i="2"/>
  <c r="C7949" i="2"/>
  <c r="D7948" i="2"/>
  <c r="C7948" i="2"/>
  <c r="D7947" i="2"/>
  <c r="C7947" i="2"/>
  <c r="D7946" i="2"/>
  <c r="C7946" i="2"/>
  <c r="D7945" i="2"/>
  <c r="C7945" i="2"/>
  <c r="D7944" i="2"/>
  <c r="C7944" i="2"/>
  <c r="D7943" i="2"/>
  <c r="C7943" i="2"/>
  <c r="D7942" i="2"/>
  <c r="C7942" i="2"/>
  <c r="D7941" i="2"/>
  <c r="C7941" i="2"/>
  <c r="D7940" i="2"/>
  <c r="C7940" i="2"/>
  <c r="D7939" i="2"/>
  <c r="C7939" i="2"/>
  <c r="D7938" i="2"/>
  <c r="C7938" i="2"/>
  <c r="D7937" i="2"/>
  <c r="C7937" i="2"/>
  <c r="D7936" i="2"/>
  <c r="C7936" i="2"/>
  <c r="D7935" i="2"/>
  <c r="C7935" i="2"/>
  <c r="D7934" i="2"/>
  <c r="C7934" i="2"/>
  <c r="D7933" i="2"/>
  <c r="C7933" i="2"/>
  <c r="D7932" i="2"/>
  <c r="C7932" i="2"/>
  <c r="D7931" i="2"/>
  <c r="C7931" i="2"/>
  <c r="D7930" i="2"/>
  <c r="C7930" i="2"/>
  <c r="D7929" i="2"/>
  <c r="C7929" i="2"/>
  <c r="D7928" i="2"/>
  <c r="C7928" i="2"/>
  <c r="D7927" i="2"/>
  <c r="C7927" i="2"/>
  <c r="D7926" i="2"/>
  <c r="C7926" i="2"/>
  <c r="D7925" i="2"/>
  <c r="C7925" i="2"/>
  <c r="D7924" i="2"/>
  <c r="C7924" i="2"/>
  <c r="D7923" i="2"/>
  <c r="C7923" i="2"/>
  <c r="D7922" i="2"/>
  <c r="C7922" i="2"/>
  <c r="D7921" i="2"/>
  <c r="C7921" i="2"/>
  <c r="D7920" i="2"/>
  <c r="C7920" i="2"/>
  <c r="D7919" i="2"/>
  <c r="C7919" i="2"/>
  <c r="D7918" i="2"/>
  <c r="C7918" i="2"/>
  <c r="D7917" i="2"/>
  <c r="C7917" i="2"/>
  <c r="D7916" i="2"/>
  <c r="C7916" i="2"/>
  <c r="D7915" i="2"/>
  <c r="C7915" i="2"/>
  <c r="D7914" i="2"/>
  <c r="C7914" i="2"/>
  <c r="D7913" i="2"/>
  <c r="C7913" i="2"/>
  <c r="D7912" i="2"/>
  <c r="C7912" i="2"/>
  <c r="D7911" i="2"/>
  <c r="C7911" i="2"/>
  <c r="D7910" i="2"/>
  <c r="C7910" i="2"/>
  <c r="D7909" i="2"/>
  <c r="C7909" i="2"/>
  <c r="D7908" i="2"/>
  <c r="C7908" i="2"/>
  <c r="D7907" i="2"/>
  <c r="C7907" i="2"/>
  <c r="D7906" i="2"/>
  <c r="C7906" i="2"/>
  <c r="D7905" i="2"/>
  <c r="C7905" i="2"/>
  <c r="D7904" i="2"/>
  <c r="C7904" i="2"/>
  <c r="D7903" i="2"/>
  <c r="C7903" i="2"/>
  <c r="D7902" i="2"/>
  <c r="C7902" i="2"/>
  <c r="D7901" i="2"/>
  <c r="C7901" i="2"/>
  <c r="D7900" i="2"/>
  <c r="C7900" i="2"/>
  <c r="D7899" i="2"/>
  <c r="C7899" i="2"/>
  <c r="D7898" i="2"/>
  <c r="C7898" i="2"/>
  <c r="D7897" i="2"/>
  <c r="C7897" i="2"/>
  <c r="D7896" i="2"/>
  <c r="C7896" i="2"/>
  <c r="D7895" i="2"/>
  <c r="C7895" i="2"/>
  <c r="D7894" i="2"/>
  <c r="C7894" i="2"/>
  <c r="D7893" i="2"/>
  <c r="C7893" i="2"/>
  <c r="D7892" i="2"/>
  <c r="C7892" i="2"/>
  <c r="D7891" i="2"/>
  <c r="C7891" i="2"/>
  <c r="D7890" i="2"/>
  <c r="C7890" i="2"/>
  <c r="D7889" i="2"/>
  <c r="C7889" i="2"/>
  <c r="D7888" i="2"/>
  <c r="C7888" i="2"/>
  <c r="D7887" i="2"/>
  <c r="C7887" i="2"/>
  <c r="D7886" i="2"/>
  <c r="C7886" i="2"/>
  <c r="D7885" i="2"/>
  <c r="C7885" i="2"/>
  <c r="D7884" i="2"/>
  <c r="C7884" i="2"/>
  <c r="D7883" i="2"/>
  <c r="C7883" i="2"/>
  <c r="D7882" i="2"/>
  <c r="C7882" i="2"/>
  <c r="D7881" i="2"/>
  <c r="C7881" i="2"/>
  <c r="D7880" i="2"/>
  <c r="C7880" i="2"/>
  <c r="D7879" i="2"/>
  <c r="C7879" i="2"/>
  <c r="D7878" i="2"/>
  <c r="C7878" i="2"/>
  <c r="D7877" i="2"/>
  <c r="C7877" i="2"/>
  <c r="D7876" i="2"/>
  <c r="C7876" i="2"/>
  <c r="D7875" i="2"/>
  <c r="C7875" i="2"/>
  <c r="D7874" i="2"/>
  <c r="C7874" i="2"/>
  <c r="D7873" i="2"/>
  <c r="C7873" i="2"/>
  <c r="D7872" i="2"/>
  <c r="C7872" i="2"/>
  <c r="D7871" i="2"/>
  <c r="C7871" i="2"/>
  <c r="D7870" i="2"/>
  <c r="C7870" i="2"/>
  <c r="D7869" i="2"/>
  <c r="C7869" i="2"/>
  <c r="D7868" i="2"/>
  <c r="C7868" i="2"/>
  <c r="D7867" i="2"/>
  <c r="C7867" i="2"/>
  <c r="D7866" i="2"/>
  <c r="C7866" i="2"/>
  <c r="D7865" i="2"/>
  <c r="C7865" i="2"/>
  <c r="D7864" i="2"/>
  <c r="C7864" i="2"/>
  <c r="D7863" i="2"/>
  <c r="C7863" i="2"/>
  <c r="D7862" i="2"/>
  <c r="C7862" i="2"/>
  <c r="D7861" i="2"/>
  <c r="C7861" i="2"/>
  <c r="D7860" i="2"/>
  <c r="C7860" i="2"/>
  <c r="D7859" i="2"/>
  <c r="C7859" i="2"/>
  <c r="D7858" i="2"/>
  <c r="C7858" i="2"/>
  <c r="D7857" i="2"/>
  <c r="C7857" i="2"/>
  <c r="D7856" i="2"/>
  <c r="C7856" i="2"/>
  <c r="D7855" i="2"/>
  <c r="C7855" i="2"/>
  <c r="D7854" i="2"/>
  <c r="C7854" i="2"/>
  <c r="D7853" i="2"/>
  <c r="C7853" i="2"/>
  <c r="D7852" i="2"/>
  <c r="C7852" i="2"/>
  <c r="D7851" i="2"/>
  <c r="C7851" i="2"/>
  <c r="D7850" i="2"/>
  <c r="C7850" i="2"/>
  <c r="D7849" i="2"/>
  <c r="C7849" i="2"/>
  <c r="D7848" i="2"/>
  <c r="C7848" i="2"/>
  <c r="D7847" i="2"/>
  <c r="C7847" i="2"/>
  <c r="D7846" i="2"/>
  <c r="C7846" i="2"/>
  <c r="D7845" i="2"/>
  <c r="C7845" i="2"/>
  <c r="D7844" i="2"/>
  <c r="C7844" i="2"/>
  <c r="D7843" i="2"/>
  <c r="C7843" i="2"/>
  <c r="D7842" i="2"/>
  <c r="C7842" i="2"/>
  <c r="D7841" i="2"/>
  <c r="C7841" i="2"/>
  <c r="D7840" i="2"/>
  <c r="C7840" i="2"/>
  <c r="D7839" i="2"/>
  <c r="C7839" i="2"/>
  <c r="D7838" i="2"/>
  <c r="C7838" i="2"/>
  <c r="D7837" i="2"/>
  <c r="C7837" i="2"/>
  <c r="D7836" i="2"/>
  <c r="C7836" i="2"/>
  <c r="D7835" i="2"/>
  <c r="C7835" i="2"/>
  <c r="D7834" i="2"/>
  <c r="C7834" i="2"/>
  <c r="D7833" i="2"/>
  <c r="C7833" i="2"/>
  <c r="D7832" i="2"/>
  <c r="C7832" i="2"/>
  <c r="D7831" i="2"/>
  <c r="C7831" i="2"/>
  <c r="D7830" i="2"/>
  <c r="C7830" i="2"/>
  <c r="D7829" i="2"/>
  <c r="C7829" i="2"/>
  <c r="D7828" i="2"/>
  <c r="C7828" i="2"/>
  <c r="D7827" i="2"/>
  <c r="C7827" i="2"/>
  <c r="D7826" i="2"/>
  <c r="C7826" i="2"/>
  <c r="D7825" i="2"/>
  <c r="C7825" i="2"/>
  <c r="D7824" i="2"/>
  <c r="C7824" i="2"/>
  <c r="D7823" i="2"/>
  <c r="C7823" i="2"/>
  <c r="D7822" i="2"/>
  <c r="C7822" i="2"/>
  <c r="D7821" i="2"/>
  <c r="C7821" i="2"/>
  <c r="D7820" i="2"/>
  <c r="C7820" i="2"/>
  <c r="D7819" i="2"/>
  <c r="C7819" i="2"/>
  <c r="D7818" i="2"/>
  <c r="C7818" i="2"/>
  <c r="D7817" i="2"/>
  <c r="C7817" i="2"/>
  <c r="D7816" i="2"/>
  <c r="C7816" i="2"/>
  <c r="D7815" i="2"/>
  <c r="C7815" i="2"/>
  <c r="D7814" i="2"/>
  <c r="C7814" i="2"/>
  <c r="D7804" i="2"/>
  <c r="C7804" i="2"/>
  <c r="D7794" i="2"/>
  <c r="C7794" i="2"/>
  <c r="D7784" i="2"/>
  <c r="C7784" i="2"/>
  <c r="D7774" i="2"/>
  <c r="C7774" i="2"/>
  <c r="D7764" i="2"/>
  <c r="C7764" i="2"/>
  <c r="D7754" i="2"/>
  <c r="C7754" i="2"/>
  <c r="D7744" i="2"/>
  <c r="C7744" i="2"/>
  <c r="D7743" i="2"/>
  <c r="C7743" i="2"/>
  <c r="D7742" i="2"/>
  <c r="C7742" i="2"/>
  <c r="D7741" i="2"/>
  <c r="C7741" i="2"/>
  <c r="D7740" i="2"/>
  <c r="C7740" i="2"/>
  <c r="D7739" i="2"/>
  <c r="C7739" i="2"/>
  <c r="D7738" i="2"/>
  <c r="C7738" i="2"/>
  <c r="D7737" i="2"/>
  <c r="C7737" i="2"/>
  <c r="D7736" i="2"/>
  <c r="C7736" i="2"/>
  <c r="D7735" i="2"/>
  <c r="C7735" i="2"/>
  <c r="D7734" i="2"/>
  <c r="C7734" i="2"/>
  <c r="D7733" i="2"/>
  <c r="C7733" i="2"/>
  <c r="D7732" i="2"/>
  <c r="C7732" i="2"/>
  <c r="D7731" i="2"/>
  <c r="C7731" i="2"/>
  <c r="D7730" i="2"/>
  <c r="C7730" i="2"/>
  <c r="D7729" i="2"/>
  <c r="C7729" i="2"/>
  <c r="D7728" i="2"/>
  <c r="C7728" i="2"/>
  <c r="D7727" i="2"/>
  <c r="C7727" i="2"/>
  <c r="D7726" i="2"/>
  <c r="C7726" i="2"/>
  <c r="D7725" i="2"/>
  <c r="C7725" i="2"/>
  <c r="D7724" i="2"/>
  <c r="C7724" i="2"/>
  <c r="D7723" i="2"/>
  <c r="C7723" i="2"/>
  <c r="D7722" i="2"/>
  <c r="C7722" i="2"/>
  <c r="D7721" i="2"/>
  <c r="C7721" i="2"/>
  <c r="D7720" i="2"/>
  <c r="C7720" i="2"/>
  <c r="D7719" i="2"/>
  <c r="C7719" i="2"/>
  <c r="D7718" i="2"/>
  <c r="C7718" i="2"/>
  <c r="D7717" i="2"/>
  <c r="C7717" i="2"/>
  <c r="D7716" i="2"/>
  <c r="C7716" i="2"/>
  <c r="D7715" i="2"/>
  <c r="C7715" i="2"/>
  <c r="D7714" i="2"/>
  <c r="C7714" i="2"/>
  <c r="D7713" i="2"/>
  <c r="C7713" i="2"/>
  <c r="D7712" i="2"/>
  <c r="C7712" i="2"/>
  <c r="D7711" i="2"/>
  <c r="C7711" i="2"/>
  <c r="D7710" i="2"/>
  <c r="C7710" i="2"/>
  <c r="D7709" i="2"/>
  <c r="C7709" i="2"/>
  <c r="D7708" i="2"/>
  <c r="C7708" i="2"/>
  <c r="D7707" i="2"/>
  <c r="C7707" i="2"/>
  <c r="D7706" i="2"/>
  <c r="C7706" i="2"/>
  <c r="D7705" i="2"/>
  <c r="C7705" i="2"/>
  <c r="D7704" i="2"/>
  <c r="C7704" i="2"/>
  <c r="D7703" i="2"/>
  <c r="C7703" i="2"/>
  <c r="D7702" i="2"/>
  <c r="C7702" i="2"/>
  <c r="D7701" i="2"/>
  <c r="C7701" i="2"/>
  <c r="D7700" i="2"/>
  <c r="C7700" i="2"/>
  <c r="D7699" i="2"/>
  <c r="C7699" i="2"/>
  <c r="D7698" i="2"/>
  <c r="C7698" i="2"/>
  <c r="D7697" i="2"/>
  <c r="C7697" i="2"/>
  <c r="D7696" i="2"/>
  <c r="C7696" i="2"/>
  <c r="D7695" i="2"/>
  <c r="C7695" i="2"/>
  <c r="D7694" i="2"/>
  <c r="C7694" i="2"/>
  <c r="D7693" i="2"/>
  <c r="C7693" i="2"/>
  <c r="D7692" i="2"/>
  <c r="C7692" i="2"/>
  <c r="D7691" i="2"/>
  <c r="C7691" i="2"/>
  <c r="D7690" i="2"/>
  <c r="C7690" i="2"/>
  <c r="D7689" i="2"/>
  <c r="C7689" i="2"/>
  <c r="D7688" i="2"/>
  <c r="C7688" i="2"/>
  <c r="D7687" i="2"/>
  <c r="C7687" i="2"/>
  <c r="D7686" i="2"/>
  <c r="C7686" i="2"/>
  <c r="D7685" i="2"/>
  <c r="C7685" i="2"/>
  <c r="D7684" i="2"/>
  <c r="C7684" i="2"/>
  <c r="D7683" i="2"/>
  <c r="C7683" i="2"/>
  <c r="D7682" i="2"/>
  <c r="C7682" i="2"/>
  <c r="D7681" i="2"/>
  <c r="C7681" i="2"/>
  <c r="D7680" i="2"/>
  <c r="C7680" i="2"/>
  <c r="D7679" i="2"/>
  <c r="C7679" i="2"/>
  <c r="D7678" i="2"/>
  <c r="C7678" i="2"/>
  <c r="D7677" i="2"/>
  <c r="C7677" i="2"/>
  <c r="D7676" i="2"/>
  <c r="C7676" i="2"/>
  <c r="D7675" i="2"/>
  <c r="C7675" i="2"/>
  <c r="D7674" i="2"/>
  <c r="C7674" i="2"/>
  <c r="D7673" i="2"/>
  <c r="C7673" i="2"/>
  <c r="D7672" i="2"/>
  <c r="C7672" i="2"/>
  <c r="D7671" i="2"/>
  <c r="C7671" i="2"/>
  <c r="D7670" i="2"/>
  <c r="C7670" i="2"/>
  <c r="D7669" i="2"/>
  <c r="C7669" i="2"/>
  <c r="D7668" i="2"/>
  <c r="C7668" i="2"/>
  <c r="D7667" i="2"/>
  <c r="C7667" i="2"/>
  <c r="D7666" i="2"/>
  <c r="C7666" i="2"/>
  <c r="D7665" i="2"/>
  <c r="C7665" i="2"/>
  <c r="D7664" i="2"/>
  <c r="C7664" i="2"/>
  <c r="D7663" i="2"/>
  <c r="C7663" i="2"/>
  <c r="D7662" i="2"/>
  <c r="C7662" i="2"/>
  <c r="D7661" i="2"/>
  <c r="C7661" i="2"/>
  <c r="D7660" i="2"/>
  <c r="C7660" i="2"/>
  <c r="D7659" i="2"/>
  <c r="C7659" i="2"/>
  <c r="D7658" i="2"/>
  <c r="C7658" i="2"/>
  <c r="D7657" i="2"/>
  <c r="C7657" i="2"/>
  <c r="D7656" i="2"/>
  <c r="C7656" i="2"/>
  <c r="D7655" i="2"/>
  <c r="C7655" i="2"/>
  <c r="D7654" i="2"/>
  <c r="C7654" i="2"/>
  <c r="D7653" i="2"/>
  <c r="C7653" i="2"/>
  <c r="D7652" i="2"/>
  <c r="C7652" i="2"/>
  <c r="D7651" i="2"/>
  <c r="C7651" i="2"/>
  <c r="D7650" i="2"/>
  <c r="C7650" i="2"/>
  <c r="D7649" i="2"/>
  <c r="C7649" i="2"/>
  <c r="D7648" i="2"/>
  <c r="C7648" i="2"/>
  <c r="D7647" i="2"/>
  <c r="C7647" i="2"/>
  <c r="D7646" i="2"/>
  <c r="C7646" i="2"/>
  <c r="D7645" i="2"/>
  <c r="C7645" i="2"/>
  <c r="D7644" i="2"/>
  <c r="C7644" i="2"/>
  <c r="D7643" i="2"/>
  <c r="C7643" i="2"/>
  <c r="D7642" i="2"/>
  <c r="C7642" i="2"/>
  <c r="D7641" i="2"/>
  <c r="C7641" i="2"/>
  <c r="D7640" i="2"/>
  <c r="C7640" i="2"/>
  <c r="D7639" i="2"/>
  <c r="C7639" i="2"/>
  <c r="D7638" i="2"/>
  <c r="C7638" i="2"/>
  <c r="D7637" i="2"/>
  <c r="C7637" i="2"/>
  <c r="D7636" i="2"/>
  <c r="C7636" i="2"/>
  <c r="D7635" i="2"/>
  <c r="C7635" i="2"/>
  <c r="D7634" i="2"/>
  <c r="C7634" i="2"/>
  <c r="D7633" i="2"/>
  <c r="C7633" i="2"/>
  <c r="D7632" i="2"/>
  <c r="C7632" i="2"/>
  <c r="D7631" i="2"/>
  <c r="C7631" i="2"/>
  <c r="D7630" i="2"/>
  <c r="C7630" i="2"/>
  <c r="D7629" i="2"/>
  <c r="C7629" i="2"/>
  <c r="D7628" i="2"/>
  <c r="C7628" i="2"/>
  <c r="D7627" i="2"/>
  <c r="C7627" i="2"/>
  <c r="D7626" i="2"/>
  <c r="C7626" i="2"/>
  <c r="D7625" i="2"/>
  <c r="C7625" i="2"/>
  <c r="D7624" i="2"/>
  <c r="C7624" i="2"/>
  <c r="D7623" i="2"/>
  <c r="C7623" i="2"/>
  <c r="D7622" i="2"/>
  <c r="C7622" i="2"/>
  <c r="D7621" i="2"/>
  <c r="C7621" i="2"/>
  <c r="D7620" i="2"/>
  <c r="C7620" i="2"/>
  <c r="D7619" i="2"/>
  <c r="C7619" i="2"/>
  <c r="D7618" i="2"/>
  <c r="C7618" i="2"/>
  <c r="D7617" i="2"/>
  <c r="C7617" i="2"/>
  <c r="D7616" i="2"/>
  <c r="C7616" i="2"/>
  <c r="D7615" i="2"/>
  <c r="C7615" i="2"/>
  <c r="D7614" i="2"/>
  <c r="C7614" i="2"/>
  <c r="D7613" i="2"/>
  <c r="C7613" i="2"/>
  <c r="D7612" i="2"/>
  <c r="C7612" i="2"/>
  <c r="D7611" i="2"/>
  <c r="C7611" i="2"/>
  <c r="D7610" i="2"/>
  <c r="C7610" i="2"/>
  <c r="D7609" i="2"/>
  <c r="C7609" i="2"/>
  <c r="D7608" i="2"/>
  <c r="C7608" i="2"/>
  <c r="D7607" i="2"/>
  <c r="C7607" i="2"/>
  <c r="D7606" i="2"/>
  <c r="C7606" i="2"/>
  <c r="D7605" i="2"/>
  <c r="C7605" i="2"/>
  <c r="D7604" i="2"/>
  <c r="C7604" i="2"/>
  <c r="D7603" i="2"/>
  <c r="C7603" i="2"/>
  <c r="D7602" i="2"/>
  <c r="C7602" i="2"/>
  <c r="D7601" i="2"/>
  <c r="C7601" i="2"/>
  <c r="D7600" i="2"/>
  <c r="C7600" i="2"/>
  <c r="D7599" i="2"/>
  <c r="C7599" i="2"/>
  <c r="D7598" i="2"/>
  <c r="C7598" i="2"/>
  <c r="D7597" i="2"/>
  <c r="C7597" i="2"/>
  <c r="D7596" i="2"/>
  <c r="C7596" i="2"/>
  <c r="D7595" i="2"/>
  <c r="C7595" i="2"/>
  <c r="D7594" i="2"/>
  <c r="C7594" i="2"/>
  <c r="D7593" i="2"/>
  <c r="C7593" i="2"/>
  <c r="D7592" i="2"/>
  <c r="C7592" i="2"/>
  <c r="D7591" i="2"/>
  <c r="C7591" i="2"/>
  <c r="D7590" i="2"/>
  <c r="C7590" i="2"/>
  <c r="D7589" i="2"/>
  <c r="C7589" i="2"/>
  <c r="D7588" i="2"/>
  <c r="C7588" i="2"/>
  <c r="D7587" i="2"/>
  <c r="C7587" i="2"/>
  <c r="D7586" i="2"/>
  <c r="C7586" i="2"/>
  <c r="D7585" i="2"/>
  <c r="C7585" i="2"/>
  <c r="D7584" i="2"/>
  <c r="C7584" i="2"/>
  <c r="D7583" i="2"/>
  <c r="C7583" i="2"/>
  <c r="D7582" i="2"/>
  <c r="C7582" i="2"/>
  <c r="D7581" i="2"/>
  <c r="C7581" i="2"/>
  <c r="D7580" i="2"/>
  <c r="C7580" i="2"/>
  <c r="D7579" i="2"/>
  <c r="C7579" i="2"/>
  <c r="D7578" i="2"/>
  <c r="C7578" i="2"/>
  <c r="D7577" i="2"/>
  <c r="C7577" i="2"/>
  <c r="D7576" i="2"/>
  <c r="C7576" i="2"/>
  <c r="D7575" i="2"/>
  <c r="C7575" i="2"/>
  <c r="D7574" i="2"/>
  <c r="C7574" i="2"/>
  <c r="D7573" i="2"/>
  <c r="C7573" i="2"/>
  <c r="D7572" i="2"/>
  <c r="C7572" i="2"/>
  <c r="D7571" i="2"/>
  <c r="C7571" i="2"/>
  <c r="D7570" i="2"/>
  <c r="C7570" i="2"/>
  <c r="D7569" i="2"/>
  <c r="C7569" i="2"/>
  <c r="D7568" i="2"/>
  <c r="C7568" i="2"/>
  <c r="D7567" i="2"/>
  <c r="C7567" i="2"/>
  <c r="D7566" i="2"/>
  <c r="C7566" i="2"/>
  <c r="D7565" i="2"/>
  <c r="C7565" i="2"/>
  <c r="D7564" i="2"/>
  <c r="C7564" i="2"/>
  <c r="D7563" i="2"/>
  <c r="C7563" i="2"/>
  <c r="D7562" i="2"/>
  <c r="C7562" i="2"/>
  <c r="D7561" i="2"/>
  <c r="C7561" i="2"/>
  <c r="D7560" i="2"/>
  <c r="C7560" i="2"/>
  <c r="D7559" i="2"/>
  <c r="C7559" i="2"/>
  <c r="D7558" i="2"/>
  <c r="C7558" i="2"/>
  <c r="D7557" i="2"/>
  <c r="C7557" i="2"/>
  <c r="D7556" i="2"/>
  <c r="C7556" i="2"/>
  <c r="D7555" i="2"/>
  <c r="C7555" i="2"/>
  <c r="D7554" i="2"/>
  <c r="C7554" i="2"/>
  <c r="D7553" i="2"/>
  <c r="C7553" i="2"/>
  <c r="D7552" i="2"/>
  <c r="C7552" i="2"/>
  <c r="D7551" i="2"/>
  <c r="C7551" i="2"/>
  <c r="D7550" i="2"/>
  <c r="C7550" i="2"/>
  <c r="D7549" i="2"/>
  <c r="C7549" i="2"/>
  <c r="D7548" i="2"/>
  <c r="C7548" i="2"/>
  <c r="D7547" i="2"/>
  <c r="C7547" i="2"/>
  <c r="D7546" i="2"/>
  <c r="C7546" i="2"/>
  <c r="D7545" i="2"/>
  <c r="C7545" i="2"/>
  <c r="D7544" i="2"/>
  <c r="C7544" i="2"/>
  <c r="D7543" i="2"/>
  <c r="C7543" i="2"/>
  <c r="D7542" i="2"/>
  <c r="C7542" i="2"/>
  <c r="D7541" i="2"/>
  <c r="C7541" i="2"/>
  <c r="D7540" i="2"/>
  <c r="C7540" i="2"/>
  <c r="D7539" i="2"/>
  <c r="C7539" i="2"/>
  <c r="D7538" i="2"/>
  <c r="C7538" i="2"/>
  <c r="D7537" i="2"/>
  <c r="C7537" i="2"/>
  <c r="D7536" i="2"/>
  <c r="C7536" i="2"/>
  <c r="D7535" i="2"/>
  <c r="C7535" i="2"/>
  <c r="D7534" i="2"/>
  <c r="C7534" i="2"/>
  <c r="D7533" i="2"/>
  <c r="C7533" i="2"/>
  <c r="D7532" i="2"/>
  <c r="C7532" i="2"/>
  <c r="D7531" i="2"/>
  <c r="C7531" i="2"/>
  <c r="D7530" i="2"/>
  <c r="C7530" i="2"/>
  <c r="D7529" i="2"/>
  <c r="C7529" i="2"/>
  <c r="D7528" i="2"/>
  <c r="C7528" i="2"/>
  <c r="D7527" i="2"/>
  <c r="C7527" i="2"/>
  <c r="D7526" i="2"/>
  <c r="C7526" i="2"/>
  <c r="D7525" i="2"/>
  <c r="C7525" i="2"/>
  <c r="D7524" i="2"/>
  <c r="C7524" i="2"/>
  <c r="D7523" i="2"/>
  <c r="C7523" i="2"/>
  <c r="D7522" i="2"/>
  <c r="C7522" i="2"/>
  <c r="D7521" i="2"/>
  <c r="C7521" i="2"/>
  <c r="D7520" i="2"/>
  <c r="C7520" i="2"/>
  <c r="D7519" i="2"/>
  <c r="C7519" i="2"/>
  <c r="D7518" i="2"/>
  <c r="C7518" i="2"/>
  <c r="D7517" i="2"/>
  <c r="C7517" i="2"/>
  <c r="D7516" i="2"/>
  <c r="C7516" i="2"/>
  <c r="D7515" i="2"/>
  <c r="C7515" i="2"/>
  <c r="D7514" i="2"/>
  <c r="C7514" i="2"/>
  <c r="D7513" i="2"/>
  <c r="C7513" i="2"/>
  <c r="D7512" i="2"/>
  <c r="C7512" i="2"/>
  <c r="D7511" i="2"/>
  <c r="C7511" i="2"/>
  <c r="D7510" i="2"/>
  <c r="C7510" i="2"/>
  <c r="D7509" i="2"/>
  <c r="C7509" i="2"/>
  <c r="D7508" i="2"/>
  <c r="C7508" i="2"/>
  <c r="D7507" i="2"/>
  <c r="C7507" i="2"/>
  <c r="D7506" i="2"/>
  <c r="C7506" i="2"/>
  <c r="D7505" i="2"/>
  <c r="C7505" i="2"/>
  <c r="D7504" i="2"/>
  <c r="C7504" i="2"/>
  <c r="D7503" i="2"/>
  <c r="C7503" i="2"/>
  <c r="D7502" i="2"/>
  <c r="C7502" i="2"/>
  <c r="D7501" i="2"/>
  <c r="C7501" i="2"/>
  <c r="D7500" i="2"/>
  <c r="C7500" i="2"/>
  <c r="D7499" i="2"/>
  <c r="C7499" i="2"/>
  <c r="D7498" i="2"/>
  <c r="C7498" i="2"/>
  <c r="D7497" i="2"/>
  <c r="C7497" i="2"/>
  <c r="D7496" i="2"/>
  <c r="C7496" i="2"/>
  <c r="D7495" i="2"/>
  <c r="C7495" i="2"/>
  <c r="D7494" i="2"/>
  <c r="C7494" i="2"/>
  <c r="D7493" i="2"/>
  <c r="C7493" i="2"/>
  <c r="D7492" i="2"/>
  <c r="C7492" i="2"/>
  <c r="D7491" i="2"/>
  <c r="C7491" i="2"/>
  <c r="D7490" i="2"/>
  <c r="C7490" i="2"/>
  <c r="D7489" i="2"/>
  <c r="C7489" i="2"/>
  <c r="D7488" i="2"/>
  <c r="C7488" i="2"/>
  <c r="D7487" i="2"/>
  <c r="C7487" i="2"/>
  <c r="D7486" i="2"/>
  <c r="C7486" i="2"/>
  <c r="D7485" i="2"/>
  <c r="C7485" i="2"/>
  <c r="D7484" i="2"/>
  <c r="C7484" i="2"/>
  <c r="D7483" i="2"/>
  <c r="C7483" i="2"/>
  <c r="D7482" i="2"/>
  <c r="C7482" i="2"/>
  <c r="D7481" i="2"/>
  <c r="C7481" i="2"/>
  <c r="D7480" i="2"/>
  <c r="C7480" i="2"/>
  <c r="D7479" i="2"/>
  <c r="C7479" i="2"/>
  <c r="D7478" i="2"/>
  <c r="C7478" i="2"/>
  <c r="D7477" i="2"/>
  <c r="C7477" i="2"/>
  <c r="D7476" i="2"/>
  <c r="C7476" i="2"/>
  <c r="D7475" i="2"/>
  <c r="C7475" i="2"/>
  <c r="D7474" i="2"/>
  <c r="C7474" i="2"/>
  <c r="D7473" i="2"/>
  <c r="C7473" i="2"/>
  <c r="D7472" i="2"/>
  <c r="C7472" i="2"/>
  <c r="D7471" i="2"/>
  <c r="C7471" i="2"/>
  <c r="D7470" i="2"/>
  <c r="C7470" i="2"/>
  <c r="D7469" i="2"/>
  <c r="C7469" i="2"/>
  <c r="D7468" i="2"/>
  <c r="C7468" i="2"/>
  <c r="D7467" i="2"/>
  <c r="C7467" i="2"/>
  <c r="D7466" i="2"/>
  <c r="C7466" i="2"/>
  <c r="D7465" i="2"/>
  <c r="C7465" i="2"/>
  <c r="D7464" i="2"/>
  <c r="C7464" i="2"/>
  <c r="D7463" i="2"/>
  <c r="C7463" i="2"/>
  <c r="D7462" i="2"/>
  <c r="C7462" i="2"/>
  <c r="D7461" i="2"/>
  <c r="C7461" i="2"/>
  <c r="D7460" i="2"/>
  <c r="C7460" i="2"/>
  <c r="D7459" i="2"/>
  <c r="C7459" i="2"/>
  <c r="D7458" i="2"/>
  <c r="C7458" i="2"/>
  <c r="D7457" i="2"/>
  <c r="C7457" i="2"/>
  <c r="D7456" i="2"/>
  <c r="C7456" i="2"/>
  <c r="D7455" i="2"/>
  <c r="C7455" i="2"/>
  <c r="D7454" i="2"/>
  <c r="C7454" i="2"/>
  <c r="D7453" i="2"/>
  <c r="C7453" i="2"/>
  <c r="D7452" i="2"/>
  <c r="C7452" i="2"/>
  <c r="D7451" i="2"/>
  <c r="C7451" i="2"/>
  <c r="D7450" i="2"/>
  <c r="C7450" i="2"/>
  <c r="D7449" i="2"/>
  <c r="C7449" i="2"/>
  <c r="D7448" i="2"/>
  <c r="C7448" i="2"/>
  <c r="D7447" i="2"/>
  <c r="C7447" i="2"/>
  <c r="D7446" i="2"/>
  <c r="C7446" i="2"/>
  <c r="D7445" i="2"/>
  <c r="C7445" i="2"/>
  <c r="D7444" i="2"/>
  <c r="C7444" i="2"/>
  <c r="D7443" i="2"/>
  <c r="C7443" i="2"/>
  <c r="D7442" i="2"/>
  <c r="C7442" i="2"/>
  <c r="D7441" i="2"/>
  <c r="C7441" i="2"/>
  <c r="D7440" i="2"/>
  <c r="C7440" i="2"/>
  <c r="D7439" i="2"/>
  <c r="C7439" i="2"/>
  <c r="D7438" i="2"/>
  <c r="C7438" i="2"/>
  <c r="D7437" i="2"/>
  <c r="C7437" i="2"/>
  <c r="D7436" i="2"/>
  <c r="C7436" i="2"/>
  <c r="D7435" i="2"/>
  <c r="C7435" i="2"/>
  <c r="D7434" i="2"/>
  <c r="C7434" i="2"/>
  <c r="D7433" i="2"/>
  <c r="C7433" i="2"/>
  <c r="D7432" i="2"/>
  <c r="C7432" i="2"/>
  <c r="D7431" i="2"/>
  <c r="C7431" i="2"/>
  <c r="D7430" i="2"/>
  <c r="C7430" i="2"/>
  <c r="D7429" i="2"/>
  <c r="C7429" i="2"/>
  <c r="D7428" i="2"/>
  <c r="C7428" i="2"/>
  <c r="D7427" i="2"/>
  <c r="C7427" i="2"/>
  <c r="D7426" i="2"/>
  <c r="C7426" i="2"/>
  <c r="D7425" i="2"/>
  <c r="C7425" i="2"/>
  <c r="D7424" i="2"/>
  <c r="C7424" i="2"/>
  <c r="D7423" i="2"/>
  <c r="C7423" i="2"/>
  <c r="D7422" i="2"/>
  <c r="C7422" i="2"/>
  <c r="D7421" i="2"/>
  <c r="C7421" i="2"/>
  <c r="D7420" i="2"/>
  <c r="C7420" i="2"/>
  <c r="D7419" i="2"/>
  <c r="C7419" i="2"/>
  <c r="D7418" i="2"/>
  <c r="C7418" i="2"/>
  <c r="D7417" i="2"/>
  <c r="C7417" i="2"/>
  <c r="D7416" i="2"/>
  <c r="C7416" i="2"/>
  <c r="D7415" i="2"/>
  <c r="C7415" i="2"/>
  <c r="D7414" i="2"/>
  <c r="C7414" i="2"/>
  <c r="D7413" i="2"/>
  <c r="C7413" i="2"/>
  <c r="D7412" i="2"/>
  <c r="C7412" i="2"/>
  <c r="D7411" i="2"/>
  <c r="C7411" i="2"/>
  <c r="D7410" i="2"/>
  <c r="C7410" i="2"/>
  <c r="D7409" i="2"/>
  <c r="C7409" i="2"/>
  <c r="D7408" i="2"/>
  <c r="C7408" i="2"/>
  <c r="D7407" i="2"/>
  <c r="C7407" i="2"/>
  <c r="D7406" i="2"/>
  <c r="C7406" i="2"/>
  <c r="D7405" i="2"/>
  <c r="C7405" i="2"/>
  <c r="D7404" i="2"/>
  <c r="C7404" i="2"/>
  <c r="D7403" i="2"/>
  <c r="C7403" i="2"/>
  <c r="D7402" i="2"/>
  <c r="C7402" i="2"/>
  <c r="D7401" i="2"/>
  <c r="C7401" i="2"/>
  <c r="D7400" i="2"/>
  <c r="C7400" i="2"/>
  <c r="D7399" i="2"/>
  <c r="C7399" i="2"/>
  <c r="D7398" i="2"/>
  <c r="C7398" i="2"/>
  <c r="D7397" i="2"/>
  <c r="C7397" i="2"/>
  <c r="D7396" i="2"/>
  <c r="C7396" i="2"/>
  <c r="D7395" i="2"/>
  <c r="C7395" i="2"/>
  <c r="D7394" i="2"/>
  <c r="C7394" i="2"/>
  <c r="D7393" i="2"/>
  <c r="C7393" i="2"/>
  <c r="D7392" i="2"/>
  <c r="C7392" i="2"/>
  <c r="D7391" i="2"/>
  <c r="C7391" i="2"/>
  <c r="D7390" i="2"/>
  <c r="C7390" i="2"/>
  <c r="D7389" i="2"/>
  <c r="C7389" i="2"/>
  <c r="D7388" i="2"/>
  <c r="C7388" i="2"/>
  <c r="D7387" i="2"/>
  <c r="C7387" i="2"/>
  <c r="D7386" i="2"/>
  <c r="C7386" i="2"/>
  <c r="D7385" i="2"/>
  <c r="C7385" i="2"/>
  <c r="D7384" i="2"/>
  <c r="C7384" i="2"/>
  <c r="D7383" i="2"/>
  <c r="C7383" i="2"/>
  <c r="D7382" i="2"/>
  <c r="C7382" i="2"/>
  <c r="D7381" i="2"/>
  <c r="C7381" i="2"/>
  <c r="D7380" i="2"/>
  <c r="C7380" i="2"/>
  <c r="D7379" i="2"/>
  <c r="C7379" i="2"/>
  <c r="D7378" i="2"/>
  <c r="C7378" i="2"/>
  <c r="D7377" i="2"/>
  <c r="C7377" i="2"/>
  <c r="D7376" i="2"/>
  <c r="C7376" i="2"/>
  <c r="D7375" i="2"/>
  <c r="C7375" i="2"/>
  <c r="D7374" i="2"/>
  <c r="C7374" i="2"/>
  <c r="D7373" i="2"/>
  <c r="C7373" i="2"/>
  <c r="D7372" i="2"/>
  <c r="C7372" i="2"/>
  <c r="D7371" i="2"/>
  <c r="C7371" i="2"/>
  <c r="D7370" i="2"/>
  <c r="C7370" i="2"/>
  <c r="D7369" i="2"/>
  <c r="C7369" i="2"/>
  <c r="D7368" i="2"/>
  <c r="C7368" i="2"/>
  <c r="D7367" i="2"/>
  <c r="C7367" i="2"/>
  <c r="D7366" i="2"/>
  <c r="C7366" i="2"/>
  <c r="D7365" i="2"/>
  <c r="C7365" i="2"/>
  <c r="D7364" i="2"/>
  <c r="C7364" i="2"/>
  <c r="D7363" i="2"/>
  <c r="C7363" i="2"/>
  <c r="D7362" i="2"/>
  <c r="C7362" i="2"/>
  <c r="D7361" i="2"/>
  <c r="C7361" i="2"/>
  <c r="D7360" i="2"/>
  <c r="C7360" i="2"/>
  <c r="D7359" i="2"/>
  <c r="C7359" i="2"/>
  <c r="D7358" i="2"/>
  <c r="C7358" i="2"/>
  <c r="D7357" i="2"/>
  <c r="C7357" i="2"/>
  <c r="D7356" i="2"/>
  <c r="C7356" i="2"/>
  <c r="D7355" i="2"/>
  <c r="C7355" i="2"/>
  <c r="D7354" i="2"/>
  <c r="C7354" i="2"/>
  <c r="D7353" i="2"/>
  <c r="C7353" i="2"/>
  <c r="D7352" i="2"/>
  <c r="C7352" i="2"/>
  <c r="D7351" i="2"/>
  <c r="C7351" i="2"/>
  <c r="D7350" i="2"/>
  <c r="C7350" i="2"/>
  <c r="D7349" i="2"/>
  <c r="C7349" i="2"/>
  <c r="D7348" i="2"/>
  <c r="C7348" i="2"/>
  <c r="D7347" i="2"/>
  <c r="C7347" i="2"/>
  <c r="D7346" i="2"/>
  <c r="C7346" i="2"/>
  <c r="D7345" i="2"/>
  <c r="C7345" i="2"/>
  <c r="D7344" i="2"/>
  <c r="C7344" i="2"/>
  <c r="D7343" i="2"/>
  <c r="C7343" i="2"/>
  <c r="D7342" i="2"/>
  <c r="C7342" i="2"/>
  <c r="D7341" i="2"/>
  <c r="C7341" i="2"/>
  <c r="D7340" i="2"/>
  <c r="C7340" i="2"/>
  <c r="D7339" i="2"/>
  <c r="C7339" i="2"/>
  <c r="D7338" i="2"/>
  <c r="C7338" i="2"/>
  <c r="D7337" i="2"/>
  <c r="C7337" i="2"/>
  <c r="D7336" i="2"/>
  <c r="C7336" i="2"/>
  <c r="D7335" i="2"/>
  <c r="C7335" i="2"/>
  <c r="D7334" i="2"/>
  <c r="C7334" i="2"/>
  <c r="D7333" i="2"/>
  <c r="C7333" i="2"/>
  <c r="D7332" i="2"/>
  <c r="C7332" i="2"/>
  <c r="D7331" i="2"/>
  <c r="C7331" i="2"/>
  <c r="D7330" i="2"/>
  <c r="C7330" i="2"/>
  <c r="D7329" i="2"/>
  <c r="C7329" i="2"/>
  <c r="D7328" i="2"/>
  <c r="C7328" i="2"/>
  <c r="D7327" i="2"/>
  <c r="C7327" i="2"/>
  <c r="D7326" i="2"/>
  <c r="C7326" i="2"/>
  <c r="D7325" i="2"/>
  <c r="C7325" i="2"/>
  <c r="D7324" i="2"/>
  <c r="C7324" i="2"/>
  <c r="D7323" i="2"/>
  <c r="C7323" i="2"/>
  <c r="D7322" i="2"/>
  <c r="C7322" i="2"/>
  <c r="D7321" i="2"/>
  <c r="C7321" i="2"/>
  <c r="D7320" i="2"/>
  <c r="C7320" i="2"/>
  <c r="D7319" i="2"/>
  <c r="C7319" i="2"/>
  <c r="D7318" i="2"/>
  <c r="C7318" i="2"/>
  <c r="D7317" i="2"/>
  <c r="C7317" i="2"/>
  <c r="D7316" i="2"/>
  <c r="C7316" i="2"/>
  <c r="D7315" i="2"/>
  <c r="C7315" i="2"/>
  <c r="D7314" i="2"/>
  <c r="C7314" i="2"/>
  <c r="D7313" i="2"/>
  <c r="C7313" i="2"/>
  <c r="D7312" i="2"/>
  <c r="C7312" i="2"/>
  <c r="D7311" i="2"/>
  <c r="C7311" i="2"/>
  <c r="D7310" i="2"/>
  <c r="C7310" i="2"/>
  <c r="D7309" i="2"/>
  <c r="C7309" i="2"/>
  <c r="D7308" i="2"/>
  <c r="C7308" i="2"/>
  <c r="D7307" i="2"/>
  <c r="C7307" i="2"/>
  <c r="D7306" i="2"/>
  <c r="C7306" i="2"/>
  <c r="D7305" i="2"/>
  <c r="C7305" i="2"/>
  <c r="D7304" i="2"/>
  <c r="C7304" i="2"/>
  <c r="D7303" i="2"/>
  <c r="C7303" i="2"/>
  <c r="D7302" i="2"/>
  <c r="C7302" i="2"/>
  <c r="D7301" i="2"/>
  <c r="C7301" i="2"/>
  <c r="D7300" i="2"/>
  <c r="C7300" i="2"/>
  <c r="D7299" i="2"/>
  <c r="C7299" i="2"/>
  <c r="D7298" i="2"/>
  <c r="C7298" i="2"/>
  <c r="D7297" i="2"/>
  <c r="C7297" i="2"/>
  <c r="D7296" i="2"/>
  <c r="C7296" i="2"/>
  <c r="D7295" i="2"/>
  <c r="C7295" i="2"/>
  <c r="D7294" i="2"/>
  <c r="C7294" i="2"/>
  <c r="D7293" i="2"/>
  <c r="C7293" i="2"/>
  <c r="D7292" i="2"/>
  <c r="C7292" i="2"/>
  <c r="D7291" i="2"/>
  <c r="C7291" i="2"/>
  <c r="D7290" i="2"/>
  <c r="C7290" i="2"/>
  <c r="D7289" i="2"/>
  <c r="C7289" i="2"/>
  <c r="D7288" i="2"/>
  <c r="C7288" i="2"/>
  <c r="D7287" i="2"/>
  <c r="C7287" i="2"/>
  <c r="D7286" i="2"/>
  <c r="C7286" i="2"/>
  <c r="D7285" i="2"/>
  <c r="C7285" i="2"/>
  <c r="D7284" i="2"/>
  <c r="C7284" i="2"/>
  <c r="D7283" i="2"/>
  <c r="C7283" i="2"/>
  <c r="D7282" i="2"/>
  <c r="C7282" i="2"/>
  <c r="D7281" i="2"/>
  <c r="C7281" i="2"/>
  <c r="D7280" i="2"/>
  <c r="C7280" i="2"/>
  <c r="D7279" i="2"/>
  <c r="C7279" i="2"/>
  <c r="D7278" i="2"/>
  <c r="C7278" i="2"/>
  <c r="D7277" i="2"/>
  <c r="C7277" i="2"/>
  <c r="D7276" i="2"/>
  <c r="C7276" i="2"/>
  <c r="D7275" i="2"/>
  <c r="C7275" i="2"/>
  <c r="D7274" i="2"/>
  <c r="C7274" i="2"/>
  <c r="D7273" i="2"/>
  <c r="C7273" i="2"/>
  <c r="D7272" i="2"/>
  <c r="C7272" i="2"/>
  <c r="D7271" i="2"/>
  <c r="C7271" i="2"/>
  <c r="D7270" i="2"/>
  <c r="C7270" i="2"/>
  <c r="D7269" i="2"/>
  <c r="C7269" i="2"/>
  <c r="D7268" i="2"/>
  <c r="C7268" i="2"/>
  <c r="D7267" i="2"/>
  <c r="C7267" i="2"/>
  <c r="D7266" i="2"/>
  <c r="C7266" i="2"/>
  <c r="D7265" i="2"/>
  <c r="C7265" i="2"/>
  <c r="D7264" i="2"/>
  <c r="C7264" i="2"/>
  <c r="D7263" i="2"/>
  <c r="C7263" i="2"/>
  <c r="D7262" i="2"/>
  <c r="C7262" i="2"/>
  <c r="D7261" i="2"/>
  <c r="C7261" i="2"/>
  <c r="D7260" i="2"/>
  <c r="C7260" i="2"/>
  <c r="D7259" i="2"/>
  <c r="C7259" i="2"/>
  <c r="D7258" i="2"/>
  <c r="C7258" i="2"/>
  <c r="D7257" i="2"/>
  <c r="C7257" i="2"/>
  <c r="D7256" i="2"/>
  <c r="C7256" i="2"/>
  <c r="D7255" i="2"/>
  <c r="C7255" i="2"/>
  <c r="D7254" i="2"/>
  <c r="C7254" i="2"/>
  <c r="D7253" i="2"/>
  <c r="C7253" i="2"/>
  <c r="D7252" i="2"/>
  <c r="C7252" i="2"/>
  <c r="D7251" i="2"/>
  <c r="C7251" i="2"/>
  <c r="D7250" i="2"/>
  <c r="C7250" i="2"/>
  <c r="D7249" i="2"/>
  <c r="C7249" i="2"/>
  <c r="D7248" i="2"/>
  <c r="C7248" i="2"/>
  <c r="D7247" i="2"/>
  <c r="C7247" i="2"/>
  <c r="D7246" i="2"/>
  <c r="C7246" i="2"/>
  <c r="D7245" i="2"/>
  <c r="C7245" i="2"/>
  <c r="D7244" i="2"/>
  <c r="C7244" i="2"/>
  <c r="D7243" i="2"/>
  <c r="C7243" i="2"/>
  <c r="D7242" i="2"/>
  <c r="C7242" i="2"/>
  <c r="D7241" i="2"/>
  <c r="C7241" i="2"/>
  <c r="D7240" i="2"/>
  <c r="C7240" i="2"/>
  <c r="D7239" i="2"/>
  <c r="C7239" i="2"/>
  <c r="D7238" i="2"/>
  <c r="C7238" i="2"/>
  <c r="D7237" i="2"/>
  <c r="C7237" i="2"/>
  <c r="D7236" i="2"/>
  <c r="C7236" i="2"/>
  <c r="D7235" i="2"/>
  <c r="C7235" i="2"/>
  <c r="D7234" i="2"/>
  <c r="C7234" i="2"/>
  <c r="D7233" i="2"/>
  <c r="C7233" i="2"/>
  <c r="D7232" i="2"/>
  <c r="C7232" i="2"/>
  <c r="D7231" i="2"/>
  <c r="C7231" i="2"/>
  <c r="D7230" i="2"/>
  <c r="C7230" i="2"/>
  <c r="D7229" i="2"/>
  <c r="C7229" i="2"/>
  <c r="D7228" i="2"/>
  <c r="C7228" i="2"/>
  <c r="D7227" i="2"/>
  <c r="C7227" i="2"/>
  <c r="D7226" i="2"/>
  <c r="C7226" i="2"/>
  <c r="D7225" i="2"/>
  <c r="C7225" i="2"/>
  <c r="D7224" i="2"/>
  <c r="C7224" i="2"/>
  <c r="D7223" i="2"/>
  <c r="C7223" i="2"/>
  <c r="D7222" i="2"/>
  <c r="C7222" i="2"/>
  <c r="D7221" i="2"/>
  <c r="C7221" i="2"/>
  <c r="D7220" i="2"/>
  <c r="C7220" i="2"/>
  <c r="D7219" i="2"/>
  <c r="C7219" i="2"/>
  <c r="D7218" i="2"/>
  <c r="C7218" i="2"/>
  <c r="D7217" i="2"/>
  <c r="C7217" i="2"/>
  <c r="D7216" i="2"/>
  <c r="C7216" i="2"/>
  <c r="D7215" i="2"/>
  <c r="C7215" i="2"/>
  <c r="D7214" i="2"/>
  <c r="C7214" i="2"/>
  <c r="D7213" i="2"/>
  <c r="C7213" i="2"/>
  <c r="D7212" i="2"/>
  <c r="C7212" i="2"/>
  <c r="D7211" i="2"/>
  <c r="C7211" i="2"/>
  <c r="D7210" i="2"/>
  <c r="C7210" i="2"/>
  <c r="D7209" i="2"/>
  <c r="C7209" i="2"/>
  <c r="D7208" i="2"/>
  <c r="C7208" i="2"/>
  <c r="D7207" i="2"/>
  <c r="C7207" i="2"/>
  <c r="D7206" i="2"/>
  <c r="C7206" i="2"/>
  <c r="D7205" i="2"/>
  <c r="C7205" i="2"/>
  <c r="D7204" i="2"/>
  <c r="C7204" i="2"/>
  <c r="D7203" i="2"/>
  <c r="C7203" i="2"/>
  <c r="D7202" i="2"/>
  <c r="C7202" i="2"/>
  <c r="D7201" i="2"/>
  <c r="C7201" i="2"/>
  <c r="D7200" i="2"/>
  <c r="C7200" i="2"/>
  <c r="D7199" i="2"/>
  <c r="C7199" i="2"/>
  <c r="D7198" i="2"/>
  <c r="C7198" i="2"/>
  <c r="D7197" i="2"/>
  <c r="C7197" i="2"/>
  <c r="D7196" i="2"/>
  <c r="C7196" i="2"/>
  <c r="D7195" i="2"/>
  <c r="C7195" i="2"/>
  <c r="D7194" i="2"/>
  <c r="C7194" i="2"/>
  <c r="D7193" i="2"/>
  <c r="C7193" i="2"/>
  <c r="D7192" i="2"/>
  <c r="C7192" i="2"/>
  <c r="D7191" i="2"/>
  <c r="C7191" i="2"/>
  <c r="D7190" i="2"/>
  <c r="C7190" i="2"/>
  <c r="D7189" i="2"/>
  <c r="C7189" i="2"/>
  <c r="D7188" i="2"/>
  <c r="C7188" i="2"/>
  <c r="D7187" i="2"/>
  <c r="C7187" i="2"/>
  <c r="D7186" i="2"/>
  <c r="C7186" i="2"/>
  <c r="D7185" i="2"/>
  <c r="C7185" i="2"/>
  <c r="D7184" i="2"/>
  <c r="C7184" i="2"/>
  <c r="D7183" i="2"/>
  <c r="C7183" i="2"/>
  <c r="D7182" i="2"/>
  <c r="C7182" i="2"/>
  <c r="D7181" i="2"/>
  <c r="C7181" i="2"/>
  <c r="D7180" i="2"/>
  <c r="C7180" i="2"/>
  <c r="D7179" i="2"/>
  <c r="C7179" i="2"/>
  <c r="D7178" i="2"/>
  <c r="C7178" i="2"/>
  <c r="D7177" i="2"/>
  <c r="C7177" i="2"/>
  <c r="D7176" i="2"/>
  <c r="C7176" i="2"/>
  <c r="D7175" i="2"/>
  <c r="C7175" i="2"/>
  <c r="D7174" i="2"/>
  <c r="C7174" i="2"/>
  <c r="D7173" i="2"/>
  <c r="C7173" i="2"/>
  <c r="D7172" i="2"/>
  <c r="C7172" i="2"/>
  <c r="D7171" i="2"/>
  <c r="C7171" i="2"/>
  <c r="D7170" i="2"/>
  <c r="C7170" i="2"/>
  <c r="D7169" i="2"/>
  <c r="C7169" i="2"/>
  <c r="D7168" i="2"/>
  <c r="C7168" i="2"/>
  <c r="D7167" i="2"/>
  <c r="C7167" i="2"/>
  <c r="D7166" i="2"/>
  <c r="C7166" i="2"/>
  <c r="D7165" i="2"/>
  <c r="C7165" i="2"/>
  <c r="D7164" i="2"/>
  <c r="C7164" i="2"/>
  <c r="D7163" i="2"/>
  <c r="C7163" i="2"/>
  <c r="D7162" i="2"/>
  <c r="C7162" i="2"/>
  <c r="D7161" i="2"/>
  <c r="C7161" i="2"/>
  <c r="D7160" i="2"/>
  <c r="C7160" i="2"/>
  <c r="D7159" i="2"/>
  <c r="C7159" i="2"/>
  <c r="D7158" i="2"/>
  <c r="C7158" i="2"/>
  <c r="D7157" i="2"/>
  <c r="C7157" i="2"/>
  <c r="D7156" i="2"/>
  <c r="C7156" i="2"/>
  <c r="D7155" i="2"/>
  <c r="C7155" i="2"/>
  <c r="D7154" i="2"/>
  <c r="C7154" i="2"/>
  <c r="D7153" i="2"/>
  <c r="C7153" i="2"/>
  <c r="D7152" i="2"/>
  <c r="C7152" i="2"/>
  <c r="D7151" i="2"/>
  <c r="C7151" i="2"/>
  <c r="D7150" i="2"/>
  <c r="C7150" i="2"/>
  <c r="D7149" i="2"/>
  <c r="C7149" i="2"/>
  <c r="D7148" i="2"/>
  <c r="C7148" i="2"/>
  <c r="D7147" i="2"/>
  <c r="C7147" i="2"/>
  <c r="D7146" i="2"/>
  <c r="C7146" i="2"/>
  <c r="D7145" i="2"/>
  <c r="C7145" i="2"/>
  <c r="D7144" i="2"/>
  <c r="C7144" i="2"/>
  <c r="D7143" i="2"/>
  <c r="C7143" i="2"/>
  <c r="D7142" i="2"/>
  <c r="C7142" i="2"/>
  <c r="D7141" i="2"/>
  <c r="C7141" i="2"/>
  <c r="D7140" i="2"/>
  <c r="C7140" i="2"/>
  <c r="D7139" i="2"/>
  <c r="C7139" i="2"/>
  <c r="D7138" i="2"/>
  <c r="C7138" i="2"/>
  <c r="D7137" i="2"/>
  <c r="C7137" i="2"/>
  <c r="D7136" i="2"/>
  <c r="C7136" i="2"/>
  <c r="D7135" i="2"/>
  <c r="C7135" i="2"/>
  <c r="D7134" i="2"/>
  <c r="C7134" i="2"/>
  <c r="D7133" i="2"/>
  <c r="C7133" i="2"/>
  <c r="D7132" i="2"/>
  <c r="C7132" i="2"/>
  <c r="D7131" i="2"/>
  <c r="C7131" i="2"/>
  <c r="D7130" i="2"/>
  <c r="C7130" i="2"/>
  <c r="D7129" i="2"/>
  <c r="C7129" i="2"/>
  <c r="D7128" i="2"/>
  <c r="C7128" i="2"/>
  <c r="D7127" i="2"/>
  <c r="C7127" i="2"/>
  <c r="D7126" i="2"/>
  <c r="C7126" i="2"/>
  <c r="D7125" i="2"/>
  <c r="C7125" i="2"/>
  <c r="D7124" i="2"/>
  <c r="C7124" i="2"/>
  <c r="D7123" i="2"/>
  <c r="C7123" i="2"/>
  <c r="D7122" i="2"/>
  <c r="C7122" i="2"/>
  <c r="D7121" i="2"/>
  <c r="C7121" i="2"/>
  <c r="D7120" i="2"/>
  <c r="C7120" i="2"/>
  <c r="D7119" i="2"/>
  <c r="C7119" i="2"/>
  <c r="D7118" i="2"/>
  <c r="C7118" i="2"/>
  <c r="D7117" i="2"/>
  <c r="C7117" i="2"/>
  <c r="D7116" i="2"/>
  <c r="C7116" i="2"/>
  <c r="D7115" i="2"/>
  <c r="C7115" i="2"/>
  <c r="D7114" i="2"/>
  <c r="C7114" i="2"/>
  <c r="D7113" i="2"/>
  <c r="C7113" i="2"/>
  <c r="D7112" i="2"/>
  <c r="C7112" i="2"/>
  <c r="D7111" i="2"/>
  <c r="C7111" i="2"/>
  <c r="D7110" i="2"/>
  <c r="C7110" i="2"/>
  <c r="D7109" i="2"/>
  <c r="C7109" i="2"/>
  <c r="D7108" i="2"/>
  <c r="C7108" i="2"/>
  <c r="D7107" i="2"/>
  <c r="C7107" i="2"/>
  <c r="D7106" i="2"/>
  <c r="C7106" i="2"/>
  <c r="D7105" i="2"/>
  <c r="C7105" i="2"/>
  <c r="D7104" i="2"/>
  <c r="C7104" i="2"/>
  <c r="D7103" i="2"/>
  <c r="C7103" i="2"/>
  <c r="D7102" i="2"/>
  <c r="C7102" i="2"/>
  <c r="D7101" i="2"/>
  <c r="C7101" i="2"/>
  <c r="D7100" i="2"/>
  <c r="C7100" i="2"/>
  <c r="D7099" i="2"/>
  <c r="C7099" i="2"/>
  <c r="D7098" i="2"/>
  <c r="C7098" i="2"/>
  <c r="D7097" i="2"/>
  <c r="C7097" i="2"/>
  <c r="D7096" i="2"/>
  <c r="C7096" i="2"/>
  <c r="D7095" i="2"/>
  <c r="C7095" i="2"/>
  <c r="D7094" i="2"/>
  <c r="C7094" i="2"/>
  <c r="D7093" i="2"/>
  <c r="C7093" i="2"/>
  <c r="D7092" i="2"/>
  <c r="C7092" i="2"/>
  <c r="D7091" i="2"/>
  <c r="C7091" i="2"/>
  <c r="D7090" i="2"/>
  <c r="C7090" i="2"/>
  <c r="D7089" i="2"/>
  <c r="C7089" i="2"/>
  <c r="D7088" i="2"/>
  <c r="C7088" i="2"/>
  <c r="D7087" i="2"/>
  <c r="C7087" i="2"/>
  <c r="D7086" i="2"/>
  <c r="C7086" i="2"/>
  <c r="D7085" i="2"/>
  <c r="C7085" i="2"/>
  <c r="D7084" i="2"/>
  <c r="C7084" i="2"/>
  <c r="D7083" i="2"/>
  <c r="C7083" i="2"/>
  <c r="D7082" i="2"/>
  <c r="C7082" i="2"/>
  <c r="D7081" i="2"/>
  <c r="C7081" i="2"/>
  <c r="D7080" i="2"/>
  <c r="C7080" i="2"/>
  <c r="D7079" i="2"/>
  <c r="C7079" i="2"/>
  <c r="D7078" i="2"/>
  <c r="C7078" i="2"/>
  <c r="D7077" i="2"/>
  <c r="C7077" i="2"/>
  <c r="D7076" i="2"/>
  <c r="C7076" i="2"/>
  <c r="D7075" i="2"/>
  <c r="C7075" i="2"/>
  <c r="D7074" i="2"/>
  <c r="C7074" i="2"/>
  <c r="D7073" i="2"/>
  <c r="C7073" i="2"/>
  <c r="D7072" i="2"/>
  <c r="C7072" i="2"/>
  <c r="D7071" i="2"/>
  <c r="C7071" i="2"/>
  <c r="D7070" i="2"/>
  <c r="C7070" i="2"/>
  <c r="D7069" i="2"/>
  <c r="C7069" i="2"/>
  <c r="D7068" i="2"/>
  <c r="C7068" i="2"/>
  <c r="D7067" i="2"/>
  <c r="C7067" i="2"/>
  <c r="D7066" i="2"/>
  <c r="C7066" i="2"/>
  <c r="D7065" i="2"/>
  <c r="C7065" i="2"/>
  <c r="D7064" i="2"/>
  <c r="C7064" i="2"/>
  <c r="D7063" i="2"/>
  <c r="C7063" i="2"/>
  <c r="D7062" i="2"/>
  <c r="C7062" i="2"/>
  <c r="D7061" i="2"/>
  <c r="C7061" i="2"/>
  <c r="D7060" i="2"/>
  <c r="C7060" i="2"/>
  <c r="D7059" i="2"/>
  <c r="C7059" i="2"/>
  <c r="D7058" i="2"/>
  <c r="C7058" i="2"/>
  <c r="D7057" i="2"/>
  <c r="C7057" i="2"/>
  <c r="D7056" i="2"/>
  <c r="C7056" i="2"/>
  <c r="D7055" i="2"/>
  <c r="C7055" i="2"/>
  <c r="D7054" i="2"/>
  <c r="C7054" i="2"/>
  <c r="D7053" i="2"/>
  <c r="C7053" i="2"/>
  <c r="D7052" i="2"/>
  <c r="C7052" i="2"/>
  <c r="D7051" i="2"/>
  <c r="C7051" i="2"/>
  <c r="D7050" i="2"/>
  <c r="C7050" i="2"/>
  <c r="D7049" i="2"/>
  <c r="C7049" i="2"/>
  <c r="D7048" i="2"/>
  <c r="C7048" i="2"/>
  <c r="D7047" i="2"/>
  <c r="C7047" i="2"/>
  <c r="D7046" i="2"/>
  <c r="C7046" i="2"/>
  <c r="D7045" i="2"/>
  <c r="C7045" i="2"/>
  <c r="D7044" i="2"/>
  <c r="C7044" i="2"/>
  <c r="D7043" i="2"/>
  <c r="C7043" i="2"/>
  <c r="D7042" i="2"/>
  <c r="C7042" i="2"/>
  <c r="D7041" i="2"/>
  <c r="C7041" i="2"/>
  <c r="D7040" i="2"/>
  <c r="C7040" i="2"/>
  <c r="D7039" i="2"/>
  <c r="C7039" i="2"/>
  <c r="D7038" i="2"/>
  <c r="C7038" i="2"/>
  <c r="D7037" i="2"/>
  <c r="C7037" i="2"/>
  <c r="D7036" i="2"/>
  <c r="C7036" i="2"/>
  <c r="D7035" i="2"/>
  <c r="C7035" i="2"/>
  <c r="D7034" i="2"/>
  <c r="C7034" i="2"/>
  <c r="D7033" i="2"/>
  <c r="C7033" i="2"/>
  <c r="D7032" i="2"/>
  <c r="C7032" i="2"/>
  <c r="D7031" i="2"/>
  <c r="C7031" i="2"/>
  <c r="D7030" i="2"/>
  <c r="C7030" i="2"/>
  <c r="D7029" i="2"/>
  <c r="C7029" i="2"/>
  <c r="D7028" i="2"/>
  <c r="C7028" i="2"/>
  <c r="D7027" i="2"/>
  <c r="C7027" i="2"/>
  <c r="D7026" i="2"/>
  <c r="C7026" i="2"/>
  <c r="D7025" i="2"/>
  <c r="C7025" i="2"/>
  <c r="D7024" i="2"/>
  <c r="C7024" i="2"/>
  <c r="D7023" i="2"/>
  <c r="C7023" i="2"/>
  <c r="D7022" i="2"/>
  <c r="C7022" i="2"/>
  <c r="D7021" i="2"/>
  <c r="C7021" i="2"/>
  <c r="D7020" i="2"/>
  <c r="C7020" i="2"/>
  <c r="D7019" i="2"/>
  <c r="C7019" i="2"/>
  <c r="D7018" i="2"/>
  <c r="C7018" i="2"/>
  <c r="D7017" i="2"/>
  <c r="C7017" i="2"/>
  <c r="D7016" i="2"/>
  <c r="C7016" i="2"/>
  <c r="D7015" i="2"/>
  <c r="C7015" i="2"/>
  <c r="D7014" i="2"/>
  <c r="C7014" i="2"/>
  <c r="D7013" i="2"/>
  <c r="C7013" i="2"/>
  <c r="D7012" i="2"/>
  <c r="C7012" i="2"/>
  <c r="D7011" i="2"/>
  <c r="C7011" i="2"/>
  <c r="D7010" i="2"/>
  <c r="C7010" i="2"/>
  <c r="D7009" i="2"/>
  <c r="C7009" i="2"/>
  <c r="D7008" i="2"/>
  <c r="C7008" i="2"/>
  <c r="D7007" i="2"/>
  <c r="C7007" i="2"/>
  <c r="D7006" i="2"/>
  <c r="C7006" i="2"/>
  <c r="D7005" i="2"/>
  <c r="C7005" i="2"/>
  <c r="D7004" i="2"/>
  <c r="C7004" i="2"/>
  <c r="D7003" i="2"/>
  <c r="C7003" i="2"/>
  <c r="D7002" i="2"/>
  <c r="C7002" i="2"/>
  <c r="D7001" i="2"/>
  <c r="C7001" i="2"/>
  <c r="D7000" i="2"/>
  <c r="C7000" i="2"/>
  <c r="D6999" i="2"/>
  <c r="C6999" i="2"/>
  <c r="D6998" i="2"/>
  <c r="C6998" i="2"/>
  <c r="D6997" i="2"/>
  <c r="C6997" i="2"/>
  <c r="D6996" i="2"/>
  <c r="C6996" i="2"/>
  <c r="D6995" i="2"/>
  <c r="C6995" i="2"/>
  <c r="D6994" i="2"/>
  <c r="C6994" i="2"/>
  <c r="D6993" i="2"/>
  <c r="C6993" i="2"/>
  <c r="D6992" i="2"/>
  <c r="C6992" i="2"/>
  <c r="D6991" i="2"/>
  <c r="C6991" i="2"/>
  <c r="D6990" i="2"/>
  <c r="C6990" i="2"/>
  <c r="D6989" i="2"/>
  <c r="C6989" i="2"/>
  <c r="D6988" i="2"/>
  <c r="C6988" i="2"/>
  <c r="D6987" i="2"/>
  <c r="C6987" i="2"/>
  <c r="D6986" i="2"/>
  <c r="C6986" i="2"/>
  <c r="D6985" i="2"/>
  <c r="C6985" i="2"/>
  <c r="D6984" i="2"/>
  <c r="C6984" i="2"/>
  <c r="D6983" i="2"/>
  <c r="C6983" i="2"/>
  <c r="D6982" i="2"/>
  <c r="C6982" i="2"/>
  <c r="D6981" i="2"/>
  <c r="C6981" i="2"/>
  <c r="D6980" i="2"/>
  <c r="C6980" i="2"/>
  <c r="D6979" i="2"/>
  <c r="C6979" i="2"/>
  <c r="D6978" i="2"/>
  <c r="C6978" i="2"/>
  <c r="D6977" i="2"/>
  <c r="C6977" i="2"/>
  <c r="D6976" i="2"/>
  <c r="C6976" i="2"/>
  <c r="D6975" i="2"/>
  <c r="C6975" i="2"/>
  <c r="D6974" i="2"/>
  <c r="C6974" i="2"/>
  <c r="D6973" i="2"/>
  <c r="C6973" i="2"/>
  <c r="D6972" i="2"/>
  <c r="C6972" i="2"/>
  <c r="D6971" i="2"/>
  <c r="C6971" i="2"/>
  <c r="D6970" i="2"/>
  <c r="C6970" i="2"/>
  <c r="D6969" i="2"/>
  <c r="C6969" i="2"/>
  <c r="D6968" i="2"/>
  <c r="C6968" i="2"/>
  <c r="D6967" i="2"/>
  <c r="C6967" i="2"/>
  <c r="D6966" i="2"/>
  <c r="C6966" i="2"/>
  <c r="D6965" i="2"/>
  <c r="C6965" i="2"/>
  <c r="D6964" i="2"/>
  <c r="C6964" i="2"/>
  <c r="D6963" i="2"/>
  <c r="C6963" i="2"/>
  <c r="D6962" i="2"/>
  <c r="C6962" i="2"/>
  <c r="D6961" i="2"/>
  <c r="C6961" i="2"/>
  <c r="D6960" i="2"/>
  <c r="C6960" i="2"/>
  <c r="D6959" i="2"/>
  <c r="C6959" i="2"/>
  <c r="D6958" i="2"/>
  <c r="C6958" i="2"/>
  <c r="D6957" i="2"/>
  <c r="C6957" i="2"/>
  <c r="D6956" i="2"/>
  <c r="C6956" i="2"/>
  <c r="D6955" i="2"/>
  <c r="C6955" i="2"/>
  <c r="D6954" i="2"/>
  <c r="C6954" i="2"/>
  <c r="D6953" i="2"/>
  <c r="C6953" i="2"/>
  <c r="D6952" i="2"/>
  <c r="C6952" i="2"/>
  <c r="D6951" i="2"/>
  <c r="C6951" i="2"/>
  <c r="D6950" i="2"/>
  <c r="C6950" i="2"/>
  <c r="D6949" i="2"/>
  <c r="C6949" i="2"/>
  <c r="D6948" i="2"/>
  <c r="C6948" i="2"/>
  <c r="D6947" i="2"/>
  <c r="C6947" i="2"/>
  <c r="D6946" i="2"/>
  <c r="C6946" i="2"/>
  <c r="D6945" i="2"/>
  <c r="C6945" i="2"/>
  <c r="D6944" i="2"/>
  <c r="C6944" i="2"/>
  <c r="D6943" i="2"/>
  <c r="C6943" i="2"/>
  <c r="D6942" i="2"/>
  <c r="C6942" i="2"/>
  <c r="D6941" i="2"/>
  <c r="C6941" i="2"/>
  <c r="D6940" i="2"/>
  <c r="C6940" i="2"/>
  <c r="D6939" i="2"/>
  <c r="C6939" i="2"/>
  <c r="D6938" i="2"/>
  <c r="C6938" i="2"/>
  <c r="D6937" i="2"/>
  <c r="C6937" i="2"/>
  <c r="D6936" i="2"/>
  <c r="C6936" i="2"/>
  <c r="D6935" i="2"/>
  <c r="C6935" i="2"/>
  <c r="D6934" i="2"/>
  <c r="C6934" i="2"/>
  <c r="D6933" i="2"/>
  <c r="C6933" i="2"/>
  <c r="D6932" i="2"/>
  <c r="C6932" i="2"/>
  <c r="D6931" i="2"/>
  <c r="C6931" i="2"/>
  <c r="D6930" i="2"/>
  <c r="C6930" i="2"/>
  <c r="D6929" i="2"/>
  <c r="C6929" i="2"/>
  <c r="D6928" i="2"/>
  <c r="C6928" i="2"/>
  <c r="D6927" i="2"/>
  <c r="C6927" i="2"/>
  <c r="D6926" i="2"/>
  <c r="C6926" i="2"/>
  <c r="D6925" i="2"/>
  <c r="C6925" i="2"/>
  <c r="D6924" i="2"/>
  <c r="C6924" i="2"/>
  <c r="D6923" i="2"/>
  <c r="C6923" i="2"/>
  <c r="D6922" i="2"/>
  <c r="C6922" i="2"/>
  <c r="D6921" i="2"/>
  <c r="C6921" i="2"/>
  <c r="D6920" i="2"/>
  <c r="C6920" i="2"/>
  <c r="D6919" i="2"/>
  <c r="C6919" i="2"/>
  <c r="D6918" i="2"/>
  <c r="C6918" i="2"/>
  <c r="D6917" i="2"/>
  <c r="C6917" i="2"/>
  <c r="D6916" i="2"/>
  <c r="C6916" i="2"/>
  <c r="D6915" i="2"/>
  <c r="C6915" i="2"/>
  <c r="D6914" i="2"/>
  <c r="C6914" i="2"/>
  <c r="D6913" i="2"/>
  <c r="C6913" i="2"/>
  <c r="D6912" i="2"/>
  <c r="C6912" i="2"/>
  <c r="D6911" i="2"/>
  <c r="C6911" i="2"/>
  <c r="D6910" i="2"/>
  <c r="C6910" i="2"/>
  <c r="D6909" i="2"/>
  <c r="C6909" i="2"/>
  <c r="D6908" i="2"/>
  <c r="C6908" i="2"/>
  <c r="D6907" i="2"/>
  <c r="C6907" i="2"/>
  <c r="D6906" i="2"/>
  <c r="C6906" i="2"/>
  <c r="D6905" i="2"/>
  <c r="C6905" i="2"/>
  <c r="D6904" i="2"/>
  <c r="C6904" i="2"/>
  <c r="D6903" i="2"/>
  <c r="C6903" i="2"/>
  <c r="D6902" i="2"/>
  <c r="C6902" i="2"/>
  <c r="D6901" i="2"/>
  <c r="C6901" i="2"/>
  <c r="D6900" i="2"/>
  <c r="C6900" i="2"/>
  <c r="D6899" i="2"/>
  <c r="C6899" i="2"/>
  <c r="D6898" i="2"/>
  <c r="C6898" i="2"/>
  <c r="D6897" i="2"/>
  <c r="C6897" i="2"/>
  <c r="D6896" i="2"/>
  <c r="C6896" i="2"/>
  <c r="D6895" i="2"/>
  <c r="C6895" i="2"/>
  <c r="D6894" i="2"/>
  <c r="C6894" i="2"/>
  <c r="D6893" i="2"/>
  <c r="C6893" i="2"/>
  <c r="D6892" i="2"/>
  <c r="C6892" i="2"/>
  <c r="D6891" i="2"/>
  <c r="C6891" i="2"/>
  <c r="D6890" i="2"/>
  <c r="C6890" i="2"/>
  <c r="D6889" i="2"/>
  <c r="C6889" i="2"/>
  <c r="D6888" i="2"/>
  <c r="C6888" i="2"/>
  <c r="D6887" i="2"/>
  <c r="C6887" i="2"/>
  <c r="D6886" i="2"/>
  <c r="C6886" i="2"/>
  <c r="D6885" i="2"/>
  <c r="C6885" i="2"/>
  <c r="D6884" i="2"/>
  <c r="C6884" i="2"/>
  <c r="D6883" i="2"/>
  <c r="C6883" i="2"/>
  <c r="D6882" i="2"/>
  <c r="C6882" i="2"/>
  <c r="D6881" i="2"/>
  <c r="C6881" i="2"/>
  <c r="D6880" i="2"/>
  <c r="C6880" i="2"/>
  <c r="D6879" i="2"/>
  <c r="C6879" i="2"/>
  <c r="D6878" i="2"/>
  <c r="C6878" i="2"/>
  <c r="D6877" i="2"/>
  <c r="C6877" i="2"/>
  <c r="D6876" i="2"/>
  <c r="C6876" i="2"/>
  <c r="D6875" i="2"/>
  <c r="C6875" i="2"/>
  <c r="D6874" i="2"/>
  <c r="C6874" i="2"/>
  <c r="D6873" i="2"/>
  <c r="C6873" i="2"/>
  <c r="D6872" i="2"/>
  <c r="C6872" i="2"/>
  <c r="D6871" i="2"/>
  <c r="C6871" i="2"/>
  <c r="D6870" i="2"/>
  <c r="C6870" i="2"/>
  <c r="D6869" i="2"/>
  <c r="C6869" i="2"/>
  <c r="D6868" i="2"/>
  <c r="C6868" i="2"/>
  <c r="D6867" i="2"/>
  <c r="C6867" i="2"/>
  <c r="D6866" i="2"/>
  <c r="C6866" i="2"/>
  <c r="D6865" i="2"/>
  <c r="C6865" i="2"/>
  <c r="D6864" i="2"/>
  <c r="C6864" i="2"/>
  <c r="D6863" i="2"/>
  <c r="C6863" i="2"/>
  <c r="D6862" i="2"/>
  <c r="C6862" i="2"/>
  <c r="D6861" i="2"/>
  <c r="C6861" i="2"/>
  <c r="D6860" i="2"/>
  <c r="C6860" i="2"/>
  <c r="D6859" i="2"/>
  <c r="C6859" i="2"/>
  <c r="D6858" i="2"/>
  <c r="C6858" i="2"/>
  <c r="D6857" i="2"/>
  <c r="C6857" i="2"/>
  <c r="D6856" i="2"/>
  <c r="C6856" i="2"/>
  <c r="D6855" i="2"/>
  <c r="C6855" i="2"/>
  <c r="D6854" i="2"/>
  <c r="C6854" i="2"/>
  <c r="D6853" i="2"/>
  <c r="C6853" i="2"/>
  <c r="D6852" i="2"/>
  <c r="C6852" i="2"/>
  <c r="D6851" i="2"/>
  <c r="C6851" i="2"/>
  <c r="D6850" i="2"/>
  <c r="C6850" i="2"/>
  <c r="D6849" i="2"/>
  <c r="C6849" i="2"/>
  <c r="D6848" i="2"/>
  <c r="C6848" i="2"/>
  <c r="D6847" i="2"/>
  <c r="C6847" i="2"/>
  <c r="D6846" i="2"/>
  <c r="C6846" i="2"/>
  <c r="D6845" i="2"/>
  <c r="C6845" i="2"/>
  <c r="D6844" i="2"/>
  <c r="C6844" i="2"/>
  <c r="D6843" i="2"/>
  <c r="C6843" i="2"/>
  <c r="D6842" i="2"/>
  <c r="C6842" i="2"/>
  <c r="D6841" i="2"/>
  <c r="C6841" i="2"/>
  <c r="D6840" i="2"/>
  <c r="C6840" i="2"/>
  <c r="D6839" i="2"/>
  <c r="C6839" i="2"/>
  <c r="D6838" i="2"/>
  <c r="C6838" i="2"/>
  <c r="D6837" i="2"/>
  <c r="C6837" i="2"/>
  <c r="D6836" i="2"/>
  <c r="C6836" i="2"/>
  <c r="D6835" i="2"/>
  <c r="C6835" i="2"/>
  <c r="D6834" i="2"/>
  <c r="C6834" i="2"/>
  <c r="D6833" i="2"/>
  <c r="C6833" i="2"/>
  <c r="D6832" i="2"/>
  <c r="C6832" i="2"/>
  <c r="D6831" i="2"/>
  <c r="C6831" i="2"/>
  <c r="D6830" i="2"/>
  <c r="C6830" i="2"/>
  <c r="D6829" i="2"/>
  <c r="C6829" i="2"/>
  <c r="D6828" i="2"/>
  <c r="C6828" i="2"/>
  <c r="D6827" i="2"/>
  <c r="C6827" i="2"/>
  <c r="D6826" i="2"/>
  <c r="C6826" i="2"/>
  <c r="D6825" i="2"/>
  <c r="C6825" i="2"/>
  <c r="D6824" i="2"/>
  <c r="C6824" i="2"/>
  <c r="D6823" i="2"/>
  <c r="C6823" i="2"/>
  <c r="D6822" i="2"/>
  <c r="C6822" i="2"/>
  <c r="D6821" i="2"/>
  <c r="C6821" i="2"/>
  <c r="D6820" i="2"/>
  <c r="C6820" i="2"/>
  <c r="D6819" i="2"/>
  <c r="C6819" i="2"/>
  <c r="D6818" i="2"/>
  <c r="C6818" i="2"/>
  <c r="D6817" i="2"/>
  <c r="C6817" i="2"/>
  <c r="D6816" i="2"/>
  <c r="C6816" i="2"/>
  <c r="D6815" i="2"/>
  <c r="C6815" i="2"/>
  <c r="D6814" i="2"/>
  <c r="C6814" i="2"/>
  <c r="D6813" i="2"/>
  <c r="C6813" i="2"/>
  <c r="D6812" i="2"/>
  <c r="C6812" i="2"/>
  <c r="D6811" i="2"/>
  <c r="C6811" i="2"/>
  <c r="D6810" i="2"/>
  <c r="C6810" i="2"/>
  <c r="D6809" i="2"/>
  <c r="C6809" i="2"/>
  <c r="D6808" i="2"/>
  <c r="C6808" i="2"/>
  <c r="D6807" i="2"/>
  <c r="C6807" i="2"/>
  <c r="D6806" i="2"/>
  <c r="C6806" i="2"/>
  <c r="D6805" i="2"/>
  <c r="C6805" i="2"/>
  <c r="D6804" i="2"/>
  <c r="C6804" i="2"/>
  <c r="D6803" i="2"/>
  <c r="C6803" i="2"/>
  <c r="D6802" i="2"/>
  <c r="C6802" i="2"/>
  <c r="D6801" i="2"/>
  <c r="C6801" i="2"/>
  <c r="D6800" i="2"/>
  <c r="C6800" i="2"/>
  <c r="D6799" i="2"/>
  <c r="C6799" i="2"/>
  <c r="D6798" i="2"/>
  <c r="C6798" i="2"/>
  <c r="D6797" i="2"/>
  <c r="C6797" i="2"/>
  <c r="D6796" i="2"/>
  <c r="C6796" i="2"/>
  <c r="D6795" i="2"/>
  <c r="C6795" i="2"/>
  <c r="D6794" i="2"/>
  <c r="C6794" i="2"/>
  <c r="D6793" i="2"/>
  <c r="C6793" i="2"/>
  <c r="D6792" i="2"/>
  <c r="C6792" i="2"/>
  <c r="D6791" i="2"/>
  <c r="C6791" i="2"/>
  <c r="D6790" i="2"/>
  <c r="C6790" i="2"/>
  <c r="D6789" i="2"/>
  <c r="C6789" i="2"/>
  <c r="D6788" i="2"/>
  <c r="C6788" i="2"/>
  <c r="D6787" i="2"/>
  <c r="C6787" i="2"/>
  <c r="D6786" i="2"/>
  <c r="C6786" i="2"/>
  <c r="D6785" i="2"/>
  <c r="C6785" i="2"/>
  <c r="D6784" i="2"/>
  <c r="C6784" i="2"/>
  <c r="D6783" i="2"/>
  <c r="C6783" i="2"/>
  <c r="D6782" i="2"/>
  <c r="C6782" i="2"/>
  <c r="D6781" i="2"/>
  <c r="C6781" i="2"/>
  <c r="D6780" i="2"/>
  <c r="C6780" i="2"/>
  <c r="D6779" i="2"/>
  <c r="C6779" i="2"/>
  <c r="D6778" i="2"/>
  <c r="C6778" i="2"/>
  <c r="D6777" i="2"/>
  <c r="C6777" i="2"/>
  <c r="D6776" i="2"/>
  <c r="C6776" i="2"/>
  <c r="D6775" i="2"/>
  <c r="C6775" i="2"/>
  <c r="D6774" i="2"/>
  <c r="C6774" i="2"/>
  <c r="D6773" i="2"/>
  <c r="C6773" i="2"/>
  <c r="D6772" i="2"/>
  <c r="C6772" i="2"/>
  <c r="D6771" i="2"/>
  <c r="C6771" i="2"/>
  <c r="D6770" i="2"/>
  <c r="C6770" i="2"/>
  <c r="D6769" i="2"/>
  <c r="C6769" i="2"/>
  <c r="D6768" i="2"/>
  <c r="C6768" i="2"/>
  <c r="D6767" i="2"/>
  <c r="C6767" i="2"/>
  <c r="D6766" i="2"/>
  <c r="C6766" i="2"/>
  <c r="D6765" i="2"/>
  <c r="C6765" i="2"/>
  <c r="D6764" i="2"/>
  <c r="C6764" i="2"/>
  <c r="D6763" i="2"/>
  <c r="C6763" i="2"/>
  <c r="D6762" i="2"/>
  <c r="C6762" i="2"/>
  <c r="D6761" i="2"/>
  <c r="C6761" i="2"/>
  <c r="D6760" i="2"/>
  <c r="C6760" i="2"/>
  <c r="D6759" i="2"/>
  <c r="C6759" i="2"/>
  <c r="D6758" i="2"/>
  <c r="C6758" i="2"/>
  <c r="D6757" i="2"/>
  <c r="C6757" i="2"/>
  <c r="D6756" i="2"/>
  <c r="C6756" i="2"/>
  <c r="D6755" i="2"/>
  <c r="C6755" i="2"/>
  <c r="D6754" i="2"/>
  <c r="C6754" i="2"/>
  <c r="D6753" i="2"/>
  <c r="C6753" i="2"/>
  <c r="D6752" i="2"/>
  <c r="C6752" i="2"/>
  <c r="D6751" i="2"/>
  <c r="C6751" i="2"/>
  <c r="D6750" i="2"/>
  <c r="C6750" i="2"/>
  <c r="D6749" i="2"/>
  <c r="C6749" i="2"/>
  <c r="D6748" i="2"/>
  <c r="C6748" i="2"/>
  <c r="D6747" i="2"/>
  <c r="C6747" i="2"/>
  <c r="D6746" i="2"/>
  <c r="C6746" i="2"/>
  <c r="D6745" i="2"/>
  <c r="C6745" i="2"/>
  <c r="D6744" i="2"/>
  <c r="C6744" i="2"/>
  <c r="D6743" i="2"/>
  <c r="C6743" i="2"/>
  <c r="D6742" i="2"/>
  <c r="C6742" i="2"/>
  <c r="D6741" i="2"/>
  <c r="C6741" i="2"/>
  <c r="D6740" i="2"/>
  <c r="C6740" i="2"/>
  <c r="D6739" i="2"/>
  <c r="C6739" i="2"/>
  <c r="D6738" i="2"/>
  <c r="C6738" i="2"/>
  <c r="D6737" i="2"/>
  <c r="C6737" i="2"/>
  <c r="D6736" i="2"/>
  <c r="C6736" i="2"/>
  <c r="D6735" i="2"/>
  <c r="C6735" i="2"/>
  <c r="D6734" i="2"/>
  <c r="C6734" i="2"/>
  <c r="D6733" i="2"/>
  <c r="C6733" i="2"/>
  <c r="D6732" i="2"/>
  <c r="C6732" i="2"/>
  <c r="D6731" i="2"/>
  <c r="C6731" i="2"/>
  <c r="D6730" i="2"/>
  <c r="C6730" i="2"/>
  <c r="D6729" i="2"/>
  <c r="C6729" i="2"/>
  <c r="D6728" i="2"/>
  <c r="C6728" i="2"/>
  <c r="D6727" i="2"/>
  <c r="C6727" i="2"/>
  <c r="D6726" i="2"/>
  <c r="C6726" i="2"/>
  <c r="D6725" i="2"/>
  <c r="C6725" i="2"/>
  <c r="D6724" i="2"/>
  <c r="C6724" i="2"/>
  <c r="D6723" i="2"/>
  <c r="C6723" i="2"/>
  <c r="D6722" i="2"/>
  <c r="C6722" i="2"/>
  <c r="D6721" i="2"/>
  <c r="C6721" i="2"/>
  <c r="D6720" i="2"/>
  <c r="C6720" i="2"/>
  <c r="D6719" i="2"/>
  <c r="C6719" i="2"/>
  <c r="D6718" i="2"/>
  <c r="C6718" i="2"/>
  <c r="D6717" i="2"/>
  <c r="C6717" i="2"/>
  <c r="D6716" i="2"/>
  <c r="C6716" i="2"/>
  <c r="D6715" i="2"/>
  <c r="C6715" i="2"/>
  <c r="D6714" i="2"/>
  <c r="C6714" i="2"/>
  <c r="D6713" i="2"/>
  <c r="C6713" i="2"/>
  <c r="D6712" i="2"/>
  <c r="C6712" i="2"/>
  <c r="D6711" i="2"/>
  <c r="C6711" i="2"/>
  <c r="D6710" i="2"/>
  <c r="C6710" i="2"/>
  <c r="D6709" i="2"/>
  <c r="C6709" i="2"/>
  <c r="D6708" i="2"/>
  <c r="C6708" i="2"/>
  <c r="D6707" i="2"/>
  <c r="C6707" i="2"/>
  <c r="D6706" i="2"/>
  <c r="C6706" i="2"/>
  <c r="D6705" i="2"/>
  <c r="C6705" i="2"/>
  <c r="D6704" i="2"/>
  <c r="C6704" i="2"/>
  <c r="D6703" i="2"/>
  <c r="C6703" i="2"/>
  <c r="D6702" i="2"/>
  <c r="C6702" i="2"/>
  <c r="D6701" i="2"/>
  <c r="C6701" i="2"/>
  <c r="D6700" i="2"/>
  <c r="C6700" i="2"/>
  <c r="D6699" i="2"/>
  <c r="C6699" i="2"/>
  <c r="D6698" i="2"/>
  <c r="C6698" i="2"/>
  <c r="D6697" i="2"/>
  <c r="C6697" i="2"/>
  <c r="D6696" i="2"/>
  <c r="C6696" i="2"/>
  <c r="D6695" i="2"/>
  <c r="C6695" i="2"/>
  <c r="D6694" i="2"/>
  <c r="C6694" i="2"/>
  <c r="D6693" i="2"/>
  <c r="C6693" i="2"/>
  <c r="D6692" i="2"/>
  <c r="C6692" i="2"/>
  <c r="D6691" i="2"/>
  <c r="C6691" i="2"/>
  <c r="D6690" i="2"/>
  <c r="C6690" i="2"/>
  <c r="D6689" i="2"/>
  <c r="C6689" i="2"/>
  <c r="D6688" i="2"/>
  <c r="C6688" i="2"/>
  <c r="D6687" i="2"/>
  <c r="C6687" i="2"/>
  <c r="D6686" i="2"/>
  <c r="C6686" i="2"/>
  <c r="D6685" i="2"/>
  <c r="C6685" i="2"/>
  <c r="D6684" i="2"/>
  <c r="C6684" i="2"/>
  <c r="D6683" i="2"/>
  <c r="C6683" i="2"/>
  <c r="D6682" i="2"/>
  <c r="C6682" i="2"/>
  <c r="D6681" i="2"/>
  <c r="C6681" i="2"/>
  <c r="D6680" i="2"/>
  <c r="C6680" i="2"/>
  <c r="D6679" i="2"/>
  <c r="C6679" i="2"/>
  <c r="D6678" i="2"/>
  <c r="C6678" i="2"/>
  <c r="D6677" i="2"/>
  <c r="C6677" i="2"/>
  <c r="D6676" i="2"/>
  <c r="C6676" i="2"/>
  <c r="D6675" i="2"/>
  <c r="C6675" i="2"/>
  <c r="D6674" i="2"/>
  <c r="C6674" i="2"/>
  <c r="D6673" i="2"/>
  <c r="C6673" i="2"/>
  <c r="D6672" i="2"/>
  <c r="C6672" i="2"/>
  <c r="D6671" i="2"/>
  <c r="C6671" i="2"/>
  <c r="D6670" i="2"/>
  <c r="C6670" i="2"/>
  <c r="D6669" i="2"/>
  <c r="C6669" i="2"/>
  <c r="D6668" i="2"/>
  <c r="C6668" i="2"/>
  <c r="D6667" i="2"/>
  <c r="C6667" i="2"/>
  <c r="D6666" i="2"/>
  <c r="C6666" i="2"/>
  <c r="D6665" i="2"/>
  <c r="C6665" i="2"/>
  <c r="D6664" i="2"/>
  <c r="C6664" i="2"/>
  <c r="D6663" i="2"/>
  <c r="C6663" i="2"/>
  <c r="D6662" i="2"/>
  <c r="C6662" i="2"/>
  <c r="D6661" i="2"/>
  <c r="C6661" i="2"/>
  <c r="D6660" i="2"/>
  <c r="C6660" i="2"/>
  <c r="D6659" i="2"/>
  <c r="C6659" i="2"/>
  <c r="D6658" i="2"/>
  <c r="C6658" i="2"/>
  <c r="D6657" i="2"/>
  <c r="C6657" i="2"/>
  <c r="D6656" i="2"/>
  <c r="C6656" i="2"/>
  <c r="D6655" i="2"/>
  <c r="C6655" i="2"/>
  <c r="D6654" i="2"/>
  <c r="C6654" i="2"/>
  <c r="D6653" i="2"/>
  <c r="C6653" i="2"/>
  <c r="D6652" i="2"/>
  <c r="C6652" i="2"/>
  <c r="D6651" i="2"/>
  <c r="C6651" i="2"/>
  <c r="D6650" i="2"/>
  <c r="C6650" i="2"/>
  <c r="D6649" i="2"/>
  <c r="C6649" i="2"/>
  <c r="D6648" i="2"/>
  <c r="C6648" i="2"/>
  <c r="D6647" i="2"/>
  <c r="C6647" i="2"/>
  <c r="D6646" i="2"/>
  <c r="C6646" i="2"/>
  <c r="D6645" i="2"/>
  <c r="C6645" i="2"/>
  <c r="D6644" i="2"/>
  <c r="C6644" i="2"/>
  <c r="D6643" i="2"/>
  <c r="C6643" i="2"/>
  <c r="D6642" i="2"/>
  <c r="C6642" i="2"/>
  <c r="D6641" i="2"/>
  <c r="C6641" i="2"/>
  <c r="D6640" i="2"/>
  <c r="C6640" i="2"/>
  <c r="D6639" i="2"/>
  <c r="C6639" i="2"/>
  <c r="D6638" i="2"/>
  <c r="C6638" i="2"/>
  <c r="D6637" i="2"/>
  <c r="C6637" i="2"/>
  <c r="D6636" i="2"/>
  <c r="C6636" i="2"/>
  <c r="D6626" i="2"/>
  <c r="C6626" i="2"/>
  <c r="D6625" i="2"/>
  <c r="C6625" i="2"/>
  <c r="D6624" i="2"/>
  <c r="C6624" i="2"/>
  <c r="D6623" i="2"/>
  <c r="C6623" i="2"/>
  <c r="D6622" i="2"/>
  <c r="C6622" i="2"/>
  <c r="D6621" i="2"/>
  <c r="C6621" i="2"/>
  <c r="D6620" i="2"/>
  <c r="C6620" i="2"/>
  <c r="D6619" i="2"/>
  <c r="C6619" i="2"/>
  <c r="D6618" i="2"/>
  <c r="C6618" i="2"/>
  <c r="D6617" i="2"/>
  <c r="C6617" i="2"/>
  <c r="D6616" i="2"/>
  <c r="C6616" i="2"/>
  <c r="D6615" i="2"/>
  <c r="C6615" i="2"/>
  <c r="D6614" i="2"/>
  <c r="C6614" i="2"/>
  <c r="D6613" i="2"/>
  <c r="C6613" i="2"/>
  <c r="D6612" i="2"/>
  <c r="C6612" i="2"/>
  <c r="D6611" i="2"/>
  <c r="C6611" i="2"/>
  <c r="D6610" i="2"/>
  <c r="C6610" i="2"/>
  <c r="D6609" i="2"/>
  <c r="C6609" i="2"/>
  <c r="D6608" i="2"/>
  <c r="C6608" i="2"/>
  <c r="D6607" i="2"/>
  <c r="C6607" i="2"/>
  <c r="D6606" i="2"/>
  <c r="C6606" i="2"/>
  <c r="D6605" i="2"/>
  <c r="C6605" i="2"/>
  <c r="D6604" i="2"/>
  <c r="C6604" i="2"/>
  <c r="D6603" i="2"/>
  <c r="C6603" i="2"/>
  <c r="D6602" i="2"/>
  <c r="C6602" i="2"/>
  <c r="D6601" i="2"/>
  <c r="C6601" i="2"/>
  <c r="D6600" i="2"/>
  <c r="C6600" i="2"/>
  <c r="D6599" i="2"/>
  <c r="C6599" i="2"/>
  <c r="D6598" i="2"/>
  <c r="C6598" i="2"/>
  <c r="D6597" i="2"/>
  <c r="C6597" i="2"/>
  <c r="D6596" i="2"/>
  <c r="C6596" i="2"/>
  <c r="D6595" i="2"/>
  <c r="C6595" i="2"/>
  <c r="D6594" i="2"/>
  <c r="C6594" i="2"/>
  <c r="D6593" i="2"/>
  <c r="C6593" i="2"/>
  <c r="D6592" i="2"/>
  <c r="C6592" i="2"/>
  <c r="D6591" i="2"/>
  <c r="C6591" i="2"/>
  <c r="D6590" i="2"/>
  <c r="C6590" i="2"/>
  <c r="D6589" i="2"/>
  <c r="C6589" i="2"/>
  <c r="D6588" i="2"/>
  <c r="C6588" i="2"/>
  <c r="D6587" i="2"/>
  <c r="C6587" i="2"/>
  <c r="D6586" i="2"/>
  <c r="C6586" i="2"/>
  <c r="D6585" i="2"/>
  <c r="C6585" i="2"/>
  <c r="D6584" i="2"/>
  <c r="C6584" i="2"/>
  <c r="D6583" i="2"/>
  <c r="C6583" i="2"/>
  <c r="D6582" i="2"/>
  <c r="C6582" i="2"/>
  <c r="D6581" i="2"/>
  <c r="C6581" i="2"/>
  <c r="D6580" i="2"/>
  <c r="C6580" i="2"/>
  <c r="D6579" i="2"/>
  <c r="C6579" i="2"/>
  <c r="D6578" i="2"/>
  <c r="C6578" i="2"/>
  <c r="D6577" i="2"/>
  <c r="C6577" i="2"/>
  <c r="D6576" i="2"/>
  <c r="C6576" i="2"/>
  <c r="D6575" i="2"/>
  <c r="C6575" i="2"/>
  <c r="D6574" i="2"/>
  <c r="C6574" i="2"/>
  <c r="D6573" i="2"/>
  <c r="C6573" i="2"/>
  <c r="D6572" i="2"/>
  <c r="C6572" i="2"/>
  <c r="D6571" i="2"/>
  <c r="C6571" i="2"/>
  <c r="D6570" i="2"/>
  <c r="C6570" i="2"/>
  <c r="D6569" i="2"/>
  <c r="C6569" i="2"/>
  <c r="D6568" i="2"/>
  <c r="C6568" i="2"/>
  <c r="D6567" i="2"/>
  <c r="C6567" i="2"/>
  <c r="D6566" i="2"/>
  <c r="C6566" i="2"/>
  <c r="D6565" i="2"/>
  <c r="C6565" i="2"/>
  <c r="D6564" i="2"/>
  <c r="C6564" i="2"/>
  <c r="D6563" i="2"/>
  <c r="C6563" i="2"/>
  <c r="D6562" i="2"/>
  <c r="C6562" i="2"/>
  <c r="D6561" i="2"/>
  <c r="C6561" i="2"/>
  <c r="D6560" i="2"/>
  <c r="C6560" i="2"/>
  <c r="D6559" i="2"/>
  <c r="C6559" i="2"/>
  <c r="D6558" i="2"/>
  <c r="C6558" i="2"/>
  <c r="D6557" i="2"/>
  <c r="C6557" i="2"/>
  <c r="D6556" i="2"/>
  <c r="C6556" i="2"/>
  <c r="D6555" i="2"/>
  <c r="C6555" i="2"/>
  <c r="D6554" i="2"/>
  <c r="C6554" i="2"/>
  <c r="D6553" i="2"/>
  <c r="C6553" i="2"/>
  <c r="D6552" i="2"/>
  <c r="C6552" i="2"/>
  <c r="D6551" i="2"/>
  <c r="C6551" i="2"/>
  <c r="D6550" i="2"/>
  <c r="C6550" i="2"/>
  <c r="D6549" i="2"/>
  <c r="C6549" i="2"/>
  <c r="D6548" i="2"/>
  <c r="C6548" i="2"/>
  <c r="D6547" i="2"/>
  <c r="C6547" i="2"/>
  <c r="D6546" i="2"/>
  <c r="C6546" i="2"/>
  <c r="D6545" i="2"/>
  <c r="C6545" i="2"/>
  <c r="D6544" i="2"/>
  <c r="C6544" i="2"/>
  <c r="D6543" i="2"/>
  <c r="C6543" i="2"/>
  <c r="D6542" i="2"/>
  <c r="C6542" i="2"/>
  <c r="D6541" i="2"/>
  <c r="C6541" i="2"/>
  <c r="D6540" i="2"/>
  <c r="C6540" i="2"/>
  <c r="D6539" i="2"/>
  <c r="C6539" i="2"/>
  <c r="D6538" i="2"/>
  <c r="C6538" i="2"/>
  <c r="D6537" i="2"/>
  <c r="C6537" i="2"/>
  <c r="D6536" i="2"/>
  <c r="C6536" i="2"/>
  <c r="D6535" i="2"/>
  <c r="C6535" i="2"/>
  <c r="D6534" i="2"/>
  <c r="C6534" i="2"/>
  <c r="D6533" i="2"/>
  <c r="C6533" i="2"/>
  <c r="D6532" i="2"/>
  <c r="C6532" i="2"/>
  <c r="D6531" i="2"/>
  <c r="C6531" i="2"/>
  <c r="D6530" i="2"/>
  <c r="C6530" i="2"/>
  <c r="D6529" i="2"/>
  <c r="C6529" i="2"/>
  <c r="D6528" i="2"/>
  <c r="C6528" i="2"/>
  <c r="D6527" i="2"/>
  <c r="C6527" i="2"/>
  <c r="D6526" i="2"/>
  <c r="C6526" i="2"/>
  <c r="D6525" i="2"/>
  <c r="C6525" i="2"/>
  <c r="D6524" i="2"/>
  <c r="C6524" i="2"/>
  <c r="D6523" i="2"/>
  <c r="C6523" i="2"/>
  <c r="D6522" i="2"/>
  <c r="C6522" i="2"/>
  <c r="D6521" i="2"/>
  <c r="C6521" i="2"/>
  <c r="D6520" i="2"/>
  <c r="C6520" i="2"/>
  <c r="D6519" i="2"/>
  <c r="C6519" i="2"/>
  <c r="D6518" i="2"/>
  <c r="C6518" i="2"/>
  <c r="D6517" i="2"/>
  <c r="C6517" i="2"/>
  <c r="D6516" i="2"/>
  <c r="C6516" i="2"/>
  <c r="D6515" i="2"/>
  <c r="C6515" i="2"/>
  <c r="D6514" i="2"/>
  <c r="C6514" i="2"/>
  <c r="D6513" i="2"/>
  <c r="C6513" i="2"/>
  <c r="D6512" i="2"/>
  <c r="C6512" i="2"/>
  <c r="D6511" i="2"/>
  <c r="C6511" i="2"/>
  <c r="D6510" i="2"/>
  <c r="C6510" i="2"/>
  <c r="D6509" i="2"/>
  <c r="C6509" i="2"/>
  <c r="D6508" i="2"/>
  <c r="C6508" i="2"/>
  <c r="D6507" i="2"/>
  <c r="C6507" i="2"/>
  <c r="D6506" i="2"/>
  <c r="C6506" i="2"/>
  <c r="D6505" i="2"/>
  <c r="C6505" i="2"/>
  <c r="D6504" i="2"/>
  <c r="C6504" i="2"/>
  <c r="D6503" i="2"/>
  <c r="C6503" i="2"/>
  <c r="D6502" i="2"/>
  <c r="C6502" i="2"/>
  <c r="D6501" i="2"/>
  <c r="C6501" i="2"/>
  <c r="D6500" i="2"/>
  <c r="C6500" i="2"/>
  <c r="D6499" i="2"/>
  <c r="C6499" i="2"/>
  <c r="D6498" i="2"/>
  <c r="C6498" i="2"/>
  <c r="D6497" i="2"/>
  <c r="C6497" i="2"/>
  <c r="D6496" i="2"/>
  <c r="C6496" i="2"/>
  <c r="D6495" i="2"/>
  <c r="C6495" i="2"/>
  <c r="D6494" i="2"/>
  <c r="C6494" i="2"/>
  <c r="D6493" i="2"/>
  <c r="C6493" i="2"/>
  <c r="D6492" i="2"/>
  <c r="C6492" i="2"/>
  <c r="D6491" i="2"/>
  <c r="C6491" i="2"/>
  <c r="D6490" i="2"/>
  <c r="C6490" i="2"/>
  <c r="D6489" i="2"/>
  <c r="C6489" i="2"/>
  <c r="D6488" i="2"/>
  <c r="C6488" i="2"/>
  <c r="D6487" i="2"/>
  <c r="C6487" i="2"/>
  <c r="D6486" i="2"/>
  <c r="C6486" i="2"/>
  <c r="D6485" i="2"/>
  <c r="C6485" i="2"/>
  <c r="D6484" i="2"/>
  <c r="C6484" i="2"/>
  <c r="D6483" i="2"/>
  <c r="C6483" i="2"/>
  <c r="D6482" i="2"/>
  <c r="C6482" i="2"/>
  <c r="D6481" i="2"/>
  <c r="C6481" i="2"/>
  <c r="D6480" i="2"/>
  <c r="C6480" i="2"/>
  <c r="D6479" i="2"/>
  <c r="C6479" i="2"/>
  <c r="D6478" i="2"/>
  <c r="C6478" i="2"/>
  <c r="D6477" i="2"/>
  <c r="C6477" i="2"/>
  <c r="D6476" i="2"/>
  <c r="C6476" i="2"/>
  <c r="D6475" i="2"/>
  <c r="C6475" i="2"/>
  <c r="D6474" i="2"/>
  <c r="C6474" i="2"/>
  <c r="D6473" i="2"/>
  <c r="C6473" i="2"/>
  <c r="D6472" i="2"/>
  <c r="C6472" i="2"/>
  <c r="D6471" i="2"/>
  <c r="C6471" i="2"/>
  <c r="D6470" i="2"/>
  <c r="C6470" i="2"/>
  <c r="D6469" i="2"/>
  <c r="C6469" i="2"/>
  <c r="D6468" i="2"/>
  <c r="C6468" i="2"/>
  <c r="D6467" i="2"/>
  <c r="C6467" i="2"/>
  <c r="D6466" i="2"/>
  <c r="C6466" i="2"/>
  <c r="D6465" i="2"/>
  <c r="C6465" i="2"/>
  <c r="D6464" i="2"/>
  <c r="C6464" i="2"/>
  <c r="D6463" i="2"/>
  <c r="C6463" i="2"/>
  <c r="D6462" i="2"/>
  <c r="C6462" i="2"/>
  <c r="D6461" i="2"/>
  <c r="C6461" i="2"/>
  <c r="D6460" i="2"/>
  <c r="C6460" i="2"/>
  <c r="D6459" i="2"/>
  <c r="C6459" i="2"/>
  <c r="D6458" i="2"/>
  <c r="C6458" i="2"/>
  <c r="D6457" i="2"/>
  <c r="C6457" i="2"/>
  <c r="D6456" i="2"/>
  <c r="C6456" i="2"/>
  <c r="D6455" i="2"/>
  <c r="C6455" i="2"/>
  <c r="D6454" i="2"/>
  <c r="C6454" i="2"/>
  <c r="D6453" i="2"/>
  <c r="C6453" i="2"/>
  <c r="D6452" i="2"/>
  <c r="C6452" i="2"/>
  <c r="D6451" i="2"/>
  <c r="C6451" i="2"/>
  <c r="D6450" i="2"/>
  <c r="C6450" i="2"/>
  <c r="D6449" i="2"/>
  <c r="C6449" i="2"/>
  <c r="D6448" i="2"/>
  <c r="C6448" i="2"/>
  <c r="D6447" i="2"/>
  <c r="C6447" i="2"/>
  <c r="D6446" i="2"/>
  <c r="C6446" i="2"/>
  <c r="D6445" i="2"/>
  <c r="C6445" i="2"/>
  <c r="D6444" i="2"/>
  <c r="C6444" i="2"/>
  <c r="D6443" i="2"/>
  <c r="C6443" i="2"/>
  <c r="D6442" i="2"/>
  <c r="C6442" i="2"/>
  <c r="D6441" i="2"/>
  <c r="C6441" i="2"/>
  <c r="D6440" i="2"/>
  <c r="C6440" i="2"/>
  <c r="D6439" i="2"/>
  <c r="C6439" i="2"/>
  <c r="D6438" i="2"/>
  <c r="C6438" i="2"/>
  <c r="D6437" i="2"/>
  <c r="C6437" i="2"/>
  <c r="D6436" i="2"/>
  <c r="C6436" i="2"/>
  <c r="D6435" i="2"/>
  <c r="C6435" i="2"/>
  <c r="D6434" i="2"/>
  <c r="C6434" i="2"/>
  <c r="D6433" i="2"/>
  <c r="C6433" i="2"/>
  <c r="D6432" i="2"/>
  <c r="C6432" i="2"/>
  <c r="D6431" i="2"/>
  <c r="C6431" i="2"/>
  <c r="D6430" i="2"/>
  <c r="C6430" i="2"/>
  <c r="D6429" i="2"/>
  <c r="C6429" i="2"/>
  <c r="D6428" i="2"/>
  <c r="C6428" i="2"/>
  <c r="D6427" i="2"/>
  <c r="C6427" i="2"/>
  <c r="D6426" i="2"/>
  <c r="C6426" i="2"/>
  <c r="D6425" i="2"/>
  <c r="C6425" i="2"/>
  <c r="D6424" i="2"/>
  <c r="C6424" i="2"/>
  <c r="D6423" i="2"/>
  <c r="C6423" i="2"/>
  <c r="D6422" i="2"/>
  <c r="C6422" i="2"/>
  <c r="D6421" i="2"/>
  <c r="C6421" i="2"/>
  <c r="D6420" i="2"/>
  <c r="C6420" i="2"/>
  <c r="D6419" i="2"/>
  <c r="C6419" i="2"/>
  <c r="D6418" i="2"/>
  <c r="C6418" i="2"/>
  <c r="D6417" i="2"/>
  <c r="C6417" i="2"/>
  <c r="D6416" i="2"/>
  <c r="C6416" i="2"/>
  <c r="D6415" i="2"/>
  <c r="C6415" i="2"/>
  <c r="D6414" i="2"/>
  <c r="C6414" i="2"/>
  <c r="D6413" i="2"/>
  <c r="C6413" i="2"/>
  <c r="D6412" i="2"/>
  <c r="C6412" i="2"/>
  <c r="D6411" i="2"/>
  <c r="C6411" i="2"/>
  <c r="D6410" i="2"/>
  <c r="C6410" i="2"/>
  <c r="D6409" i="2"/>
  <c r="C6409" i="2"/>
  <c r="D6408" i="2"/>
  <c r="C6408" i="2"/>
  <c r="D6407" i="2"/>
  <c r="C6407" i="2"/>
  <c r="D6406" i="2"/>
  <c r="C6406" i="2"/>
  <c r="D6405" i="2"/>
  <c r="C6405" i="2"/>
  <c r="D6404" i="2"/>
  <c r="C6404" i="2"/>
  <c r="D6403" i="2"/>
  <c r="C6403" i="2"/>
  <c r="D6402" i="2"/>
  <c r="C6402" i="2"/>
  <c r="D6401" i="2"/>
  <c r="C6401" i="2"/>
  <c r="D6400" i="2"/>
  <c r="C6400" i="2"/>
  <c r="D6399" i="2"/>
  <c r="C6399" i="2"/>
  <c r="D6398" i="2"/>
  <c r="C6398" i="2"/>
  <c r="D6397" i="2"/>
  <c r="C6397" i="2"/>
  <c r="D6396" i="2"/>
  <c r="C6396" i="2"/>
  <c r="D6395" i="2"/>
  <c r="C6395" i="2"/>
  <c r="D6394" i="2"/>
  <c r="C6394" i="2"/>
  <c r="D6393" i="2"/>
  <c r="C6393" i="2"/>
  <c r="D6392" i="2"/>
  <c r="C6392" i="2"/>
  <c r="D6391" i="2"/>
  <c r="C6391" i="2"/>
  <c r="D6390" i="2"/>
  <c r="C6390" i="2"/>
  <c r="D6389" i="2"/>
  <c r="C6389" i="2"/>
  <c r="D6388" i="2"/>
  <c r="C6388" i="2"/>
  <c r="D6387" i="2"/>
  <c r="C6387" i="2"/>
  <c r="D6386" i="2"/>
  <c r="C6386" i="2"/>
  <c r="D6385" i="2"/>
  <c r="C6385" i="2"/>
  <c r="D6384" i="2"/>
  <c r="C6384" i="2"/>
  <c r="D6383" i="2"/>
  <c r="C6383" i="2"/>
  <c r="D6382" i="2"/>
  <c r="C6382" i="2"/>
  <c r="D6381" i="2"/>
  <c r="C6381" i="2"/>
  <c r="D6380" i="2"/>
  <c r="C6380" i="2"/>
  <c r="D6379" i="2"/>
  <c r="C6379" i="2"/>
  <c r="D6378" i="2"/>
  <c r="C6378" i="2"/>
  <c r="D6377" i="2"/>
  <c r="C6377" i="2"/>
  <c r="D6376" i="2"/>
  <c r="C6376" i="2"/>
  <c r="D6375" i="2"/>
  <c r="C6375" i="2"/>
  <c r="D6374" i="2"/>
  <c r="C6374" i="2"/>
  <c r="D6373" i="2"/>
  <c r="C6373" i="2"/>
  <c r="D6372" i="2"/>
  <c r="C6372" i="2"/>
  <c r="D6371" i="2"/>
  <c r="C6371" i="2"/>
  <c r="D6370" i="2"/>
  <c r="C6370" i="2"/>
  <c r="D6369" i="2"/>
  <c r="C6369" i="2"/>
  <c r="D6368" i="2"/>
  <c r="C6368" i="2"/>
  <c r="D6367" i="2"/>
  <c r="C6367" i="2"/>
  <c r="D6366" i="2"/>
  <c r="C6366" i="2"/>
  <c r="D6365" i="2"/>
  <c r="C6365" i="2"/>
  <c r="D6364" i="2"/>
  <c r="C6364" i="2"/>
  <c r="D6363" i="2"/>
  <c r="C6363" i="2"/>
  <c r="D6362" i="2"/>
  <c r="C6362" i="2"/>
  <c r="D6361" i="2"/>
  <c r="C6361" i="2"/>
  <c r="D6360" i="2"/>
  <c r="C6360" i="2"/>
  <c r="D6359" i="2"/>
  <c r="C6359" i="2"/>
  <c r="D6358" i="2"/>
  <c r="C6358" i="2"/>
  <c r="D6357" i="2"/>
  <c r="C6357" i="2"/>
  <c r="D6356" i="2"/>
  <c r="C6356" i="2"/>
  <c r="D6355" i="2"/>
  <c r="C6355" i="2"/>
  <c r="D6354" i="2"/>
  <c r="C6354" i="2"/>
  <c r="D6353" i="2"/>
  <c r="C6353" i="2"/>
  <c r="D6352" i="2"/>
  <c r="C6352" i="2"/>
  <c r="D6351" i="2"/>
  <c r="C6351" i="2"/>
  <c r="D6350" i="2"/>
  <c r="C6350" i="2"/>
  <c r="D6349" i="2"/>
  <c r="C6349" i="2"/>
  <c r="D6348" i="2"/>
  <c r="C6348" i="2"/>
  <c r="D6347" i="2"/>
  <c r="C6347" i="2"/>
  <c r="D6346" i="2"/>
  <c r="C6346" i="2"/>
  <c r="D6345" i="2"/>
  <c r="C6345" i="2"/>
  <c r="D6344" i="2"/>
  <c r="C6344" i="2"/>
  <c r="D6343" i="2"/>
  <c r="C6343" i="2"/>
  <c r="D6342" i="2"/>
  <c r="C6342" i="2"/>
  <c r="D6341" i="2"/>
  <c r="C6341" i="2"/>
  <c r="D6340" i="2"/>
  <c r="C6340" i="2"/>
  <c r="D6339" i="2"/>
  <c r="C6339" i="2"/>
  <c r="D6338" i="2"/>
  <c r="C6338" i="2"/>
  <c r="D6337" i="2"/>
  <c r="C6337" i="2"/>
  <c r="D6336" i="2"/>
  <c r="C6336" i="2"/>
  <c r="D6335" i="2"/>
  <c r="C6335" i="2"/>
  <c r="D6334" i="2"/>
  <c r="C6334" i="2"/>
  <c r="D6333" i="2"/>
  <c r="C6333" i="2"/>
  <c r="D6332" i="2"/>
  <c r="C6332" i="2"/>
  <c r="D6331" i="2"/>
  <c r="C6331" i="2"/>
  <c r="D6330" i="2"/>
  <c r="C6330" i="2"/>
  <c r="D6329" i="2"/>
  <c r="C6329" i="2"/>
  <c r="D6328" i="2"/>
  <c r="C6328" i="2"/>
  <c r="D6327" i="2"/>
  <c r="C6327" i="2"/>
  <c r="D6326" i="2"/>
  <c r="C6326" i="2"/>
  <c r="D6325" i="2"/>
  <c r="C6325" i="2"/>
  <c r="D6324" i="2"/>
  <c r="C6324" i="2"/>
  <c r="D6323" i="2"/>
  <c r="C6323" i="2"/>
  <c r="D6322" i="2"/>
  <c r="C6322" i="2"/>
  <c r="D6321" i="2"/>
  <c r="C6321" i="2"/>
  <c r="D6320" i="2"/>
  <c r="C6320" i="2"/>
  <c r="D6319" i="2"/>
  <c r="C6319" i="2"/>
  <c r="D6318" i="2"/>
  <c r="C6318" i="2"/>
  <c r="D6317" i="2"/>
  <c r="C6317" i="2"/>
  <c r="D6316" i="2"/>
  <c r="C6316" i="2"/>
  <c r="D6315" i="2"/>
  <c r="C6315" i="2"/>
  <c r="D6314" i="2"/>
  <c r="C6314" i="2"/>
  <c r="D6313" i="2"/>
  <c r="C6313" i="2"/>
  <c r="D6312" i="2"/>
  <c r="C6312" i="2"/>
  <c r="D6311" i="2"/>
  <c r="C6311" i="2"/>
  <c r="D6310" i="2"/>
  <c r="C6310" i="2"/>
  <c r="D6309" i="2"/>
  <c r="C6309" i="2"/>
  <c r="D6308" i="2"/>
  <c r="C6308" i="2"/>
  <c r="D6307" i="2"/>
  <c r="C6307" i="2"/>
  <c r="D6306" i="2"/>
  <c r="C6306" i="2"/>
  <c r="D6305" i="2"/>
  <c r="C6305" i="2"/>
  <c r="D6304" i="2"/>
  <c r="C6304" i="2"/>
  <c r="D6303" i="2"/>
  <c r="C6303" i="2"/>
  <c r="D6302" i="2"/>
  <c r="C6302" i="2"/>
  <c r="D6301" i="2"/>
  <c r="C6301" i="2"/>
  <c r="D6300" i="2"/>
  <c r="C6300" i="2"/>
  <c r="D6299" i="2"/>
  <c r="C6299" i="2"/>
  <c r="D6298" i="2"/>
  <c r="C6298" i="2"/>
  <c r="D6297" i="2"/>
  <c r="C6297" i="2"/>
  <c r="D6296" i="2"/>
  <c r="C6296" i="2"/>
  <c r="D6295" i="2"/>
  <c r="C6295" i="2"/>
  <c r="D6294" i="2"/>
  <c r="C6294" i="2"/>
  <c r="D6293" i="2"/>
  <c r="C6293" i="2"/>
  <c r="D6292" i="2"/>
  <c r="C6292" i="2"/>
  <c r="D6291" i="2"/>
  <c r="C6291" i="2"/>
  <c r="D6290" i="2"/>
  <c r="C6290" i="2"/>
  <c r="D6289" i="2"/>
  <c r="C6289" i="2"/>
  <c r="D6288" i="2"/>
  <c r="C6288" i="2"/>
  <c r="D6287" i="2"/>
  <c r="C6287" i="2"/>
  <c r="D6286" i="2"/>
  <c r="C6286" i="2"/>
  <c r="D6285" i="2"/>
  <c r="C6285" i="2"/>
  <c r="D6284" i="2"/>
  <c r="C6284" i="2"/>
  <c r="D6283" i="2"/>
  <c r="C6283" i="2"/>
  <c r="D6282" i="2"/>
  <c r="C6282" i="2"/>
  <c r="D6281" i="2"/>
  <c r="C6281" i="2"/>
  <c r="D6280" i="2"/>
  <c r="C6280" i="2"/>
  <c r="D6279" i="2"/>
  <c r="C6279" i="2"/>
  <c r="D6278" i="2"/>
  <c r="C6278" i="2"/>
  <c r="D6277" i="2"/>
  <c r="C6277" i="2"/>
  <c r="D6276" i="2"/>
  <c r="C6276" i="2"/>
  <c r="D6275" i="2"/>
  <c r="C6275" i="2"/>
  <c r="D6274" i="2"/>
  <c r="C6274" i="2"/>
  <c r="D6273" i="2"/>
  <c r="C6273" i="2"/>
  <c r="D6272" i="2"/>
  <c r="C6272" i="2"/>
  <c r="D6271" i="2"/>
  <c r="C6271" i="2"/>
  <c r="D6270" i="2"/>
  <c r="C6270" i="2"/>
  <c r="D6269" i="2"/>
  <c r="C6269" i="2"/>
  <c r="D6268" i="2"/>
  <c r="C6268" i="2"/>
  <c r="D6267" i="2"/>
  <c r="C6267" i="2"/>
  <c r="D6266" i="2"/>
  <c r="C6266" i="2"/>
  <c r="D6265" i="2"/>
  <c r="C6265" i="2"/>
  <c r="D6264" i="2"/>
  <c r="C6264" i="2"/>
  <c r="D6263" i="2"/>
  <c r="C6263" i="2"/>
  <c r="D6262" i="2"/>
  <c r="C6262" i="2"/>
  <c r="D6261" i="2"/>
  <c r="C6261" i="2"/>
  <c r="D6260" i="2"/>
  <c r="C6260" i="2"/>
  <c r="D6259" i="2"/>
  <c r="C6259" i="2"/>
  <c r="D6258" i="2"/>
  <c r="C6258" i="2"/>
  <c r="D6257" i="2"/>
  <c r="C6257" i="2"/>
  <c r="D6256" i="2"/>
  <c r="C6256" i="2"/>
  <c r="D6255" i="2"/>
  <c r="C6255" i="2"/>
  <c r="D6254" i="2"/>
  <c r="C6254" i="2"/>
  <c r="D6253" i="2"/>
  <c r="C6253" i="2"/>
  <c r="D6252" i="2"/>
  <c r="C6252" i="2"/>
  <c r="D6251" i="2"/>
  <c r="C6251" i="2"/>
  <c r="D6250" i="2"/>
  <c r="C6250" i="2"/>
  <c r="D6249" i="2"/>
  <c r="C6249" i="2"/>
  <c r="D6248" i="2"/>
  <c r="C6248" i="2"/>
  <c r="D6247" i="2"/>
  <c r="C6247" i="2"/>
  <c r="D6246" i="2"/>
  <c r="C6246" i="2"/>
  <c r="D6245" i="2"/>
  <c r="C6245" i="2"/>
  <c r="D6244" i="2"/>
  <c r="C6244" i="2"/>
  <c r="D6243" i="2"/>
  <c r="C6243" i="2"/>
  <c r="D6242" i="2"/>
  <c r="C6242" i="2"/>
  <c r="D6241" i="2"/>
  <c r="C6241" i="2"/>
  <c r="D6240" i="2"/>
  <c r="C6240" i="2"/>
  <c r="D6239" i="2"/>
  <c r="C6239" i="2"/>
  <c r="D6238" i="2"/>
  <c r="C6238" i="2"/>
  <c r="D6237" i="2"/>
  <c r="C6237" i="2"/>
  <c r="D6236" i="2"/>
  <c r="C6236" i="2"/>
  <c r="D6235" i="2"/>
  <c r="C6235" i="2"/>
  <c r="D6234" i="2"/>
  <c r="C6234" i="2"/>
  <c r="D6233" i="2"/>
  <c r="C6233" i="2"/>
  <c r="D6232" i="2"/>
  <c r="C6232" i="2"/>
  <c r="D6231" i="2"/>
  <c r="C6231" i="2"/>
  <c r="D6230" i="2"/>
  <c r="C6230" i="2"/>
  <c r="D6229" i="2"/>
  <c r="C6229" i="2"/>
  <c r="D6228" i="2"/>
  <c r="C6228" i="2"/>
  <c r="D6227" i="2"/>
  <c r="C6227" i="2"/>
  <c r="D6226" i="2"/>
  <c r="C6226" i="2"/>
  <c r="D6225" i="2"/>
  <c r="C6225" i="2"/>
  <c r="D6224" i="2"/>
  <c r="C6224" i="2"/>
  <c r="D6223" i="2"/>
  <c r="C6223" i="2"/>
  <c r="D6222" i="2"/>
  <c r="C6222" i="2"/>
  <c r="D6221" i="2"/>
  <c r="C6221" i="2"/>
  <c r="D6220" i="2"/>
  <c r="C6220" i="2"/>
  <c r="D6219" i="2"/>
  <c r="C6219" i="2"/>
  <c r="D6218" i="2"/>
  <c r="C6218" i="2"/>
  <c r="D6217" i="2"/>
  <c r="C6217" i="2"/>
  <c r="D6216" i="2"/>
  <c r="C6216" i="2"/>
  <c r="D6215" i="2"/>
  <c r="C6215" i="2"/>
  <c r="D6214" i="2"/>
  <c r="C6214" i="2"/>
  <c r="D6213" i="2"/>
  <c r="C6213" i="2"/>
  <c r="D6212" i="2"/>
  <c r="C6212" i="2"/>
  <c r="D6211" i="2"/>
  <c r="C6211" i="2"/>
  <c r="D6210" i="2"/>
  <c r="C6210" i="2"/>
  <c r="D6209" i="2"/>
  <c r="C6209" i="2"/>
  <c r="D6208" i="2"/>
  <c r="C6208" i="2"/>
  <c r="D6207" i="2"/>
  <c r="C6207" i="2"/>
  <c r="D6206" i="2"/>
  <c r="C6206" i="2"/>
  <c r="D6205" i="2"/>
  <c r="C6205" i="2"/>
  <c r="D6204" i="2"/>
  <c r="C6204" i="2"/>
  <c r="D6203" i="2"/>
  <c r="C6203" i="2"/>
  <c r="D6202" i="2"/>
  <c r="C6202" i="2"/>
  <c r="D6201" i="2"/>
  <c r="C6201" i="2"/>
  <c r="D6200" i="2"/>
  <c r="C6200" i="2"/>
  <c r="D6199" i="2"/>
  <c r="C6199" i="2"/>
  <c r="D6198" i="2"/>
  <c r="C6198" i="2"/>
  <c r="D6197" i="2"/>
  <c r="C6197" i="2"/>
  <c r="D6196" i="2"/>
  <c r="C6196" i="2"/>
  <c r="D6195" i="2"/>
  <c r="C6195" i="2"/>
  <c r="D6194" i="2"/>
  <c r="C6194" i="2"/>
  <c r="D6193" i="2"/>
  <c r="C6193" i="2"/>
  <c r="D6192" i="2"/>
  <c r="C6192" i="2"/>
  <c r="D6191" i="2"/>
  <c r="C6191" i="2"/>
  <c r="D6190" i="2"/>
  <c r="C6190" i="2"/>
  <c r="D6189" i="2"/>
  <c r="C6189" i="2"/>
  <c r="D6188" i="2"/>
  <c r="C6188" i="2"/>
  <c r="D6187" i="2"/>
  <c r="C6187" i="2"/>
  <c r="D6186" i="2"/>
  <c r="C6186" i="2"/>
  <c r="D6185" i="2"/>
  <c r="C6185" i="2"/>
  <c r="D6184" i="2"/>
  <c r="C6184" i="2"/>
  <c r="D6183" i="2"/>
  <c r="C6183" i="2"/>
  <c r="D6182" i="2"/>
  <c r="C6182" i="2"/>
  <c r="D6181" i="2"/>
  <c r="C6181" i="2"/>
  <c r="D6180" i="2"/>
  <c r="C6180" i="2"/>
  <c r="D6179" i="2"/>
  <c r="C6179" i="2"/>
  <c r="D6178" i="2"/>
  <c r="C6178" i="2"/>
  <c r="D6177" i="2"/>
  <c r="C6177" i="2"/>
  <c r="D6176" i="2"/>
  <c r="C6176" i="2"/>
  <c r="D6175" i="2"/>
  <c r="C6175" i="2"/>
  <c r="D6174" i="2"/>
  <c r="C6174" i="2"/>
  <c r="D6173" i="2"/>
  <c r="C6173" i="2"/>
  <c r="D6172" i="2"/>
  <c r="C6172" i="2"/>
  <c r="D6171" i="2"/>
  <c r="C6171" i="2"/>
  <c r="D6170" i="2"/>
  <c r="C6170" i="2"/>
  <c r="D6169" i="2"/>
  <c r="C6169" i="2"/>
  <c r="D6168" i="2"/>
  <c r="C6168" i="2"/>
  <c r="D6167" i="2"/>
  <c r="C6167" i="2"/>
  <c r="D6166" i="2"/>
  <c r="C6166" i="2"/>
  <c r="D6165" i="2"/>
  <c r="C6165" i="2"/>
  <c r="D6164" i="2"/>
  <c r="C6164" i="2"/>
  <c r="D6163" i="2"/>
  <c r="C6163" i="2"/>
  <c r="D6162" i="2"/>
  <c r="C6162" i="2"/>
  <c r="D6161" i="2"/>
  <c r="C6161" i="2"/>
  <c r="D6160" i="2"/>
  <c r="C6160" i="2"/>
  <c r="D6159" i="2"/>
  <c r="C6159" i="2"/>
  <c r="D6158" i="2"/>
  <c r="C6158" i="2"/>
  <c r="D6157" i="2"/>
  <c r="C6157" i="2"/>
  <c r="D6156" i="2"/>
  <c r="C6156" i="2"/>
  <c r="D6155" i="2"/>
  <c r="C6155" i="2"/>
  <c r="D6154" i="2"/>
  <c r="C6154" i="2"/>
  <c r="D6153" i="2"/>
  <c r="C6153" i="2"/>
  <c r="D6152" i="2"/>
  <c r="C6152" i="2"/>
  <c r="D6151" i="2"/>
  <c r="C6151" i="2"/>
  <c r="D6150" i="2"/>
  <c r="C6150" i="2"/>
  <c r="D6149" i="2"/>
  <c r="C6149" i="2"/>
  <c r="D6148" i="2"/>
  <c r="C6148" i="2"/>
  <c r="D6147" i="2"/>
  <c r="C6147" i="2"/>
  <c r="D6146" i="2"/>
  <c r="C6146" i="2"/>
  <c r="D6145" i="2"/>
  <c r="C6145" i="2"/>
  <c r="D6144" i="2"/>
  <c r="C6144" i="2"/>
  <c r="D6143" i="2"/>
  <c r="C6143" i="2"/>
  <c r="D6142" i="2"/>
  <c r="C6142" i="2"/>
  <c r="D6141" i="2"/>
  <c r="C6141" i="2"/>
  <c r="D6140" i="2"/>
  <c r="C6140" i="2"/>
  <c r="D6139" i="2"/>
  <c r="C6139" i="2"/>
  <c r="D6138" i="2"/>
  <c r="C6138" i="2"/>
  <c r="D6137" i="2"/>
  <c r="C6137" i="2"/>
  <c r="D6136" i="2"/>
  <c r="C6136" i="2"/>
  <c r="D6135" i="2"/>
  <c r="C6135" i="2"/>
  <c r="D6134" i="2"/>
  <c r="C6134" i="2"/>
  <c r="D6133" i="2"/>
  <c r="C6133" i="2"/>
  <c r="D6132" i="2"/>
  <c r="C6132" i="2"/>
  <c r="D6131" i="2"/>
  <c r="C6131" i="2"/>
  <c r="D6130" i="2"/>
  <c r="C6130" i="2"/>
  <c r="D6129" i="2"/>
  <c r="C6129" i="2"/>
  <c r="D6128" i="2"/>
  <c r="C6128" i="2"/>
  <c r="D6127" i="2"/>
  <c r="C6127" i="2"/>
  <c r="D6126" i="2"/>
  <c r="C6126" i="2"/>
  <c r="D6125" i="2"/>
  <c r="C6125" i="2"/>
  <c r="D6124" i="2"/>
  <c r="C6124" i="2"/>
  <c r="D6123" i="2"/>
  <c r="C6123" i="2"/>
  <c r="D6122" i="2"/>
  <c r="C6122" i="2"/>
  <c r="D6121" i="2"/>
  <c r="C6121" i="2"/>
  <c r="D6120" i="2"/>
  <c r="C6120" i="2"/>
  <c r="D6119" i="2"/>
  <c r="C6119" i="2"/>
  <c r="D6118" i="2"/>
  <c r="C6118" i="2"/>
  <c r="D6117" i="2"/>
  <c r="C6117" i="2"/>
  <c r="D6116" i="2"/>
  <c r="C6116" i="2"/>
  <c r="D6115" i="2"/>
  <c r="C6115" i="2"/>
  <c r="D6114" i="2"/>
  <c r="C6114" i="2"/>
  <c r="D6113" i="2"/>
  <c r="C6113" i="2"/>
  <c r="D6112" i="2"/>
  <c r="C6112" i="2"/>
  <c r="D6111" i="2"/>
  <c r="C6111" i="2"/>
  <c r="D6110" i="2"/>
  <c r="C6110" i="2"/>
  <c r="D6109" i="2"/>
  <c r="C6109" i="2"/>
  <c r="D6108" i="2"/>
  <c r="C6108" i="2"/>
  <c r="D6107" i="2"/>
  <c r="C6107" i="2"/>
  <c r="D6106" i="2"/>
  <c r="C6106" i="2"/>
  <c r="D6105" i="2"/>
  <c r="C6105" i="2"/>
  <c r="D6104" i="2"/>
  <c r="C6104" i="2"/>
  <c r="D6103" i="2"/>
  <c r="C6103" i="2"/>
  <c r="D6102" i="2"/>
  <c r="C6102" i="2"/>
  <c r="D6101" i="2"/>
  <c r="C6101" i="2"/>
  <c r="D6100" i="2"/>
  <c r="C6100" i="2"/>
  <c r="D6099" i="2"/>
  <c r="C6099" i="2"/>
  <c r="D6098" i="2"/>
  <c r="C6098" i="2"/>
  <c r="D6097" i="2"/>
  <c r="C6097" i="2"/>
  <c r="D6096" i="2"/>
  <c r="C6096" i="2"/>
  <c r="D6095" i="2"/>
  <c r="C6095" i="2"/>
  <c r="D6094" i="2"/>
  <c r="C6094" i="2"/>
  <c r="D6093" i="2"/>
  <c r="C6093" i="2"/>
  <c r="D6092" i="2"/>
  <c r="C6092" i="2"/>
  <c r="D6091" i="2"/>
  <c r="C6091" i="2"/>
  <c r="D6090" i="2"/>
  <c r="C6090" i="2"/>
  <c r="D6089" i="2"/>
  <c r="C6089" i="2"/>
  <c r="D6088" i="2"/>
  <c r="C6088" i="2"/>
  <c r="D6087" i="2"/>
  <c r="C6087" i="2"/>
  <c r="D6086" i="2"/>
  <c r="C6086" i="2"/>
  <c r="D6085" i="2"/>
  <c r="C6085" i="2"/>
  <c r="D6084" i="2"/>
  <c r="C6084" i="2"/>
  <c r="D6083" i="2"/>
  <c r="C6083" i="2"/>
  <c r="D6082" i="2"/>
  <c r="C6082" i="2"/>
  <c r="D6081" i="2"/>
  <c r="C6081" i="2"/>
  <c r="D6080" i="2"/>
  <c r="C6080" i="2"/>
  <c r="D6079" i="2"/>
  <c r="C6079" i="2"/>
  <c r="D6078" i="2"/>
  <c r="C6078" i="2"/>
  <c r="D6077" i="2"/>
  <c r="C6077" i="2"/>
  <c r="D6076" i="2"/>
  <c r="C6076" i="2"/>
  <c r="D6075" i="2"/>
  <c r="C6075" i="2"/>
  <c r="D6074" i="2"/>
  <c r="C6074" i="2"/>
  <c r="D6073" i="2"/>
  <c r="C6073" i="2"/>
  <c r="D6072" i="2"/>
  <c r="C6072" i="2"/>
  <c r="D6071" i="2"/>
  <c r="C6071" i="2"/>
  <c r="D6070" i="2"/>
  <c r="C6070" i="2"/>
  <c r="D6069" i="2"/>
  <c r="C6069" i="2"/>
  <c r="D6068" i="2"/>
  <c r="C6068" i="2"/>
  <c r="D6067" i="2"/>
  <c r="C6067" i="2"/>
  <c r="D6066" i="2"/>
  <c r="C6066" i="2"/>
  <c r="D6065" i="2"/>
  <c r="C6065" i="2"/>
  <c r="D6064" i="2"/>
  <c r="C6064" i="2"/>
  <c r="D6063" i="2"/>
  <c r="C6063" i="2"/>
  <c r="D6062" i="2"/>
  <c r="C6062" i="2"/>
  <c r="D6061" i="2"/>
  <c r="C6061" i="2"/>
  <c r="D6060" i="2"/>
  <c r="C6060" i="2"/>
  <c r="D6059" i="2"/>
  <c r="C6059" i="2"/>
  <c r="D6058" i="2"/>
  <c r="C6058" i="2"/>
  <c r="D6057" i="2"/>
  <c r="C6057" i="2"/>
  <c r="D6056" i="2"/>
  <c r="C6056" i="2"/>
  <c r="D6055" i="2"/>
  <c r="C6055" i="2"/>
  <c r="D6054" i="2"/>
  <c r="C6054" i="2"/>
  <c r="D6053" i="2"/>
  <c r="C6053" i="2"/>
  <c r="D6052" i="2"/>
  <c r="C6052" i="2"/>
  <c r="D6051" i="2"/>
  <c r="C6051" i="2"/>
  <c r="D6050" i="2"/>
  <c r="C6050" i="2"/>
  <c r="D6049" i="2"/>
  <c r="C6049" i="2"/>
  <c r="D6048" i="2"/>
  <c r="C6048" i="2"/>
  <c r="D6047" i="2"/>
  <c r="C6047" i="2"/>
  <c r="D6046" i="2"/>
  <c r="C6046" i="2"/>
  <c r="D6045" i="2"/>
  <c r="C6045" i="2"/>
  <c r="D6044" i="2"/>
  <c r="C6044" i="2"/>
  <c r="D6043" i="2"/>
  <c r="C6043" i="2"/>
  <c r="D6042" i="2"/>
  <c r="C6042" i="2"/>
  <c r="D6041" i="2"/>
  <c r="C6041" i="2"/>
  <c r="D6040" i="2"/>
  <c r="C6040" i="2"/>
  <c r="D6039" i="2"/>
  <c r="C6039" i="2"/>
  <c r="D6038" i="2"/>
  <c r="C6038" i="2"/>
  <c r="D6037" i="2"/>
  <c r="C6037" i="2"/>
  <c r="D6036" i="2"/>
  <c r="C6036" i="2"/>
  <c r="D6035" i="2"/>
  <c r="C6035" i="2"/>
  <c r="D6034" i="2"/>
  <c r="C6034" i="2"/>
  <c r="D6033" i="2"/>
  <c r="C6033" i="2"/>
  <c r="D6032" i="2"/>
  <c r="C6032" i="2"/>
  <c r="D6031" i="2"/>
  <c r="C6031" i="2"/>
  <c r="D6030" i="2"/>
  <c r="C6030" i="2"/>
  <c r="D6029" i="2"/>
  <c r="C6029" i="2"/>
  <c r="D6028" i="2"/>
  <c r="C6028" i="2"/>
  <c r="D6027" i="2"/>
  <c r="C6027" i="2"/>
  <c r="D6026" i="2"/>
  <c r="C6026" i="2"/>
  <c r="D6025" i="2"/>
  <c r="C6025" i="2"/>
  <c r="D6024" i="2"/>
  <c r="C6024" i="2"/>
  <c r="D6023" i="2"/>
  <c r="C6023" i="2"/>
  <c r="D6022" i="2"/>
  <c r="C6022" i="2"/>
  <c r="D6021" i="2"/>
  <c r="C6021" i="2"/>
  <c r="D6020" i="2"/>
  <c r="C6020" i="2"/>
  <c r="D6019" i="2"/>
  <c r="C6019" i="2"/>
  <c r="D6018" i="2"/>
  <c r="C6018" i="2"/>
  <c r="D6017" i="2"/>
  <c r="C6017" i="2"/>
  <c r="D6016" i="2"/>
  <c r="C6016" i="2"/>
  <c r="D6015" i="2"/>
  <c r="C6015" i="2"/>
  <c r="D6014" i="2"/>
  <c r="C6014" i="2"/>
  <c r="D6013" i="2"/>
  <c r="C6013" i="2"/>
  <c r="D6012" i="2"/>
  <c r="C6012" i="2"/>
  <c r="D6011" i="2"/>
  <c r="C6011" i="2"/>
  <c r="D6010" i="2"/>
  <c r="C6010" i="2"/>
  <c r="D6009" i="2"/>
  <c r="C6009" i="2"/>
  <c r="D6008" i="2"/>
  <c r="C6008" i="2"/>
  <c r="D6007" i="2"/>
  <c r="C6007" i="2"/>
  <c r="D6006" i="2"/>
  <c r="C6006" i="2"/>
  <c r="D6005" i="2"/>
  <c r="C6005" i="2"/>
  <c r="D6004" i="2"/>
  <c r="C6004" i="2"/>
  <c r="D6003" i="2"/>
  <c r="C6003" i="2"/>
  <c r="D6002" i="2"/>
  <c r="C6002" i="2"/>
  <c r="D6001" i="2"/>
  <c r="C6001" i="2"/>
  <c r="D6000" i="2"/>
  <c r="C6000" i="2"/>
  <c r="D5999" i="2"/>
  <c r="C5999" i="2"/>
  <c r="D5998" i="2"/>
  <c r="C5998" i="2"/>
  <c r="D5997" i="2"/>
  <c r="C5997" i="2"/>
  <c r="D5996" i="2"/>
  <c r="C5996" i="2"/>
  <c r="D5995" i="2"/>
  <c r="C5995" i="2"/>
  <c r="D5994" i="2"/>
  <c r="C5994" i="2"/>
  <c r="D5993" i="2"/>
  <c r="C5993" i="2"/>
  <c r="D5992" i="2"/>
  <c r="C5992" i="2"/>
  <c r="D5991" i="2"/>
  <c r="C5991" i="2"/>
  <c r="D5990" i="2"/>
  <c r="C5990" i="2"/>
  <c r="D5989" i="2"/>
  <c r="C5989" i="2"/>
  <c r="D5988" i="2"/>
  <c r="C5988" i="2"/>
  <c r="D5987" i="2"/>
  <c r="C5987" i="2"/>
  <c r="D5986" i="2"/>
  <c r="C5986" i="2"/>
  <c r="D5985" i="2"/>
  <c r="C5985" i="2"/>
  <c r="D5984" i="2"/>
  <c r="C5984" i="2"/>
  <c r="D5983" i="2"/>
  <c r="C5983" i="2"/>
  <c r="D5982" i="2"/>
  <c r="C5982" i="2"/>
  <c r="D5981" i="2"/>
  <c r="C5981" i="2"/>
  <c r="D5980" i="2"/>
  <c r="C5980" i="2"/>
  <c r="D5979" i="2"/>
  <c r="C5979" i="2"/>
  <c r="D5978" i="2"/>
  <c r="C5978" i="2"/>
  <c r="D5977" i="2"/>
  <c r="C5977" i="2"/>
  <c r="D5976" i="2"/>
  <c r="C5976" i="2"/>
  <c r="D5975" i="2"/>
  <c r="C5975" i="2"/>
  <c r="D5974" i="2"/>
  <c r="C5974" i="2"/>
  <c r="D5973" i="2"/>
  <c r="C5973" i="2"/>
  <c r="D5972" i="2"/>
  <c r="C5972" i="2"/>
  <c r="D5971" i="2"/>
  <c r="C5971" i="2"/>
  <c r="D5970" i="2"/>
  <c r="C5970" i="2"/>
  <c r="D5969" i="2"/>
  <c r="C5969" i="2"/>
  <c r="D5968" i="2"/>
  <c r="C5968" i="2"/>
  <c r="D5967" i="2"/>
  <c r="C5967" i="2"/>
  <c r="D5966" i="2"/>
  <c r="C5966" i="2"/>
  <c r="D5965" i="2"/>
  <c r="C5965" i="2"/>
  <c r="D5964" i="2"/>
  <c r="C5964" i="2"/>
  <c r="D5963" i="2"/>
  <c r="C5963" i="2"/>
  <c r="D5962" i="2"/>
  <c r="C5962" i="2"/>
  <c r="D5961" i="2"/>
  <c r="C5961" i="2"/>
  <c r="D5960" i="2"/>
  <c r="C5960" i="2"/>
  <c r="D5959" i="2"/>
  <c r="C5959" i="2"/>
  <c r="D5958" i="2"/>
  <c r="C5958" i="2"/>
  <c r="D5957" i="2"/>
  <c r="C5957" i="2"/>
  <c r="D5956" i="2"/>
  <c r="C5956" i="2"/>
  <c r="D5955" i="2"/>
  <c r="C5955" i="2"/>
  <c r="D5954" i="2"/>
  <c r="C5954" i="2"/>
  <c r="D5953" i="2"/>
  <c r="C5953" i="2"/>
  <c r="D5952" i="2"/>
  <c r="C5952" i="2"/>
  <c r="D5951" i="2"/>
  <c r="C5951" i="2"/>
  <c r="D5950" i="2"/>
  <c r="C5950" i="2"/>
  <c r="D5949" i="2"/>
  <c r="C5949" i="2"/>
  <c r="D5948" i="2"/>
  <c r="C5948" i="2"/>
  <c r="D5947" i="2"/>
  <c r="C5947" i="2"/>
  <c r="D5946" i="2"/>
  <c r="C5946" i="2"/>
  <c r="D5945" i="2"/>
  <c r="C5945" i="2"/>
  <c r="D5944" i="2"/>
  <c r="C5944" i="2"/>
  <c r="D5943" i="2"/>
  <c r="C5943" i="2"/>
  <c r="D5942" i="2"/>
  <c r="C5942" i="2"/>
  <c r="D5941" i="2"/>
  <c r="C5941" i="2"/>
  <c r="D5940" i="2"/>
  <c r="C5940" i="2"/>
  <c r="D5939" i="2"/>
  <c r="C5939" i="2"/>
  <c r="D5938" i="2"/>
  <c r="C5938" i="2"/>
  <c r="D5937" i="2"/>
  <c r="C5937" i="2"/>
  <c r="D5936" i="2"/>
  <c r="C5936" i="2"/>
  <c r="D5935" i="2"/>
  <c r="C5935" i="2"/>
  <c r="D5934" i="2"/>
  <c r="C5934" i="2"/>
  <c r="D5933" i="2"/>
  <c r="C5933" i="2"/>
  <c r="D5932" i="2"/>
  <c r="C5932" i="2"/>
  <c r="D5931" i="2"/>
  <c r="C5931" i="2"/>
  <c r="D5930" i="2"/>
  <c r="C5930" i="2"/>
  <c r="D5929" i="2"/>
  <c r="C5929" i="2"/>
  <c r="D5928" i="2"/>
  <c r="C5928" i="2"/>
  <c r="D5927" i="2"/>
  <c r="C5927" i="2"/>
  <c r="D5926" i="2"/>
  <c r="C5926" i="2"/>
  <c r="D5925" i="2"/>
  <c r="C5925" i="2"/>
  <c r="D5924" i="2"/>
  <c r="C5924" i="2"/>
  <c r="D5923" i="2"/>
  <c r="C5923" i="2"/>
  <c r="D5922" i="2"/>
  <c r="C5922" i="2"/>
  <c r="D5921" i="2"/>
  <c r="C5921" i="2"/>
  <c r="D5920" i="2"/>
  <c r="C5920" i="2"/>
  <c r="D5919" i="2"/>
  <c r="C5919" i="2"/>
  <c r="D5918" i="2"/>
  <c r="C5918" i="2"/>
  <c r="D5917" i="2"/>
  <c r="C5917" i="2"/>
  <c r="D5916" i="2"/>
  <c r="C5916" i="2"/>
  <c r="D5915" i="2"/>
  <c r="C5915" i="2"/>
  <c r="D5914" i="2"/>
  <c r="C5914" i="2"/>
  <c r="D5913" i="2"/>
  <c r="C5913" i="2"/>
  <c r="D5912" i="2"/>
  <c r="C5912" i="2"/>
  <c r="D5911" i="2"/>
  <c r="C5911" i="2"/>
  <c r="D5910" i="2"/>
  <c r="C5910" i="2"/>
  <c r="D5909" i="2"/>
  <c r="C5909" i="2"/>
  <c r="D5908" i="2"/>
  <c r="C5908" i="2"/>
  <c r="D5907" i="2"/>
  <c r="C5907" i="2"/>
  <c r="D5906" i="2"/>
  <c r="C5906" i="2"/>
  <c r="D5905" i="2"/>
  <c r="C5905" i="2"/>
  <c r="D5904" i="2"/>
  <c r="C5904" i="2"/>
  <c r="D5903" i="2"/>
  <c r="C5903" i="2"/>
  <c r="D5902" i="2"/>
  <c r="C5902" i="2"/>
  <c r="D5901" i="2"/>
  <c r="C5901" i="2"/>
  <c r="D5900" i="2"/>
  <c r="C5900" i="2"/>
  <c r="D5899" i="2"/>
  <c r="C5899" i="2"/>
  <c r="D5898" i="2"/>
  <c r="C5898" i="2"/>
  <c r="D5897" i="2"/>
  <c r="C5897" i="2"/>
  <c r="D5896" i="2"/>
  <c r="C5896" i="2"/>
  <c r="D5895" i="2"/>
  <c r="C5895" i="2"/>
  <c r="D5894" i="2"/>
  <c r="C5894" i="2"/>
  <c r="D5893" i="2"/>
  <c r="C5893" i="2"/>
  <c r="D5892" i="2"/>
  <c r="C5892" i="2"/>
  <c r="D5891" i="2"/>
  <c r="C5891" i="2"/>
  <c r="D5890" i="2"/>
  <c r="C5890" i="2"/>
  <c r="D5889" i="2"/>
  <c r="C5889" i="2"/>
  <c r="D5888" i="2"/>
  <c r="C5888" i="2"/>
  <c r="D5887" i="2"/>
  <c r="C5887" i="2"/>
  <c r="D5886" i="2"/>
  <c r="C5886" i="2"/>
  <c r="D5885" i="2"/>
  <c r="C5885" i="2"/>
  <c r="D5884" i="2"/>
  <c r="C5884" i="2"/>
  <c r="D5883" i="2"/>
  <c r="C5883" i="2"/>
  <c r="D5882" i="2"/>
  <c r="C5882" i="2"/>
  <c r="D5881" i="2"/>
  <c r="C5881" i="2"/>
  <c r="D5880" i="2"/>
  <c r="C5880" i="2"/>
  <c r="D5879" i="2"/>
  <c r="C5879" i="2"/>
  <c r="D5878" i="2"/>
  <c r="C5878" i="2"/>
  <c r="D5877" i="2"/>
  <c r="C5877" i="2"/>
  <c r="D5876" i="2"/>
  <c r="C5876" i="2"/>
  <c r="D5875" i="2"/>
  <c r="C5875" i="2"/>
  <c r="D5874" i="2"/>
  <c r="C5874" i="2"/>
  <c r="D5873" i="2"/>
  <c r="C5873" i="2"/>
  <c r="D5872" i="2"/>
  <c r="C5872" i="2"/>
  <c r="D5871" i="2"/>
  <c r="C5871" i="2"/>
  <c r="D5870" i="2"/>
  <c r="C5870" i="2"/>
  <c r="D5869" i="2"/>
  <c r="C5869" i="2"/>
  <c r="D5868" i="2"/>
  <c r="C5868" i="2"/>
  <c r="D5867" i="2"/>
  <c r="C5867" i="2"/>
  <c r="D5866" i="2"/>
  <c r="C5866" i="2"/>
  <c r="D5865" i="2"/>
  <c r="C5865" i="2"/>
  <c r="D5864" i="2"/>
  <c r="C5864" i="2"/>
  <c r="D5863" i="2"/>
  <c r="C5863" i="2"/>
  <c r="D5862" i="2"/>
  <c r="C5862" i="2"/>
  <c r="D5861" i="2"/>
  <c r="C5861" i="2"/>
  <c r="D5860" i="2"/>
  <c r="C5860" i="2"/>
  <c r="D5859" i="2"/>
  <c r="C5859" i="2"/>
  <c r="D5858" i="2"/>
  <c r="C5858" i="2"/>
  <c r="D5857" i="2"/>
  <c r="C5857" i="2"/>
  <c r="D5856" i="2"/>
  <c r="C5856" i="2"/>
  <c r="D5855" i="2"/>
  <c r="C5855" i="2"/>
  <c r="D5854" i="2"/>
  <c r="C5854" i="2"/>
  <c r="D5853" i="2"/>
  <c r="C5853" i="2"/>
  <c r="D5852" i="2"/>
  <c r="C5852" i="2"/>
  <c r="D5851" i="2"/>
  <c r="C5851" i="2"/>
  <c r="D5850" i="2"/>
  <c r="C5850" i="2"/>
  <c r="D5849" i="2"/>
  <c r="C5849" i="2"/>
  <c r="D5848" i="2"/>
  <c r="C5848" i="2"/>
  <c r="D5847" i="2"/>
  <c r="C5847" i="2"/>
  <c r="D5846" i="2"/>
  <c r="C5846" i="2"/>
  <c r="D5845" i="2"/>
  <c r="C5845" i="2"/>
  <c r="D5844" i="2"/>
  <c r="C5844" i="2"/>
  <c r="D5843" i="2"/>
  <c r="C5843" i="2"/>
  <c r="D5842" i="2"/>
  <c r="C5842" i="2"/>
  <c r="D5841" i="2"/>
  <c r="C5841" i="2"/>
  <c r="D5840" i="2"/>
  <c r="C5840" i="2"/>
  <c r="D5839" i="2"/>
  <c r="C5839" i="2"/>
  <c r="D5838" i="2"/>
  <c r="C5838" i="2"/>
  <c r="D5837" i="2"/>
  <c r="C5837" i="2"/>
  <c r="D5836" i="2"/>
  <c r="C5836" i="2"/>
  <c r="D5835" i="2"/>
  <c r="C5835" i="2"/>
  <c r="D5834" i="2"/>
  <c r="C5834" i="2"/>
  <c r="D5833" i="2"/>
  <c r="C5833" i="2"/>
  <c r="D5832" i="2"/>
  <c r="C5832" i="2"/>
  <c r="D5831" i="2"/>
  <c r="C5831" i="2"/>
  <c r="D5830" i="2"/>
  <c r="C5830" i="2"/>
  <c r="D5829" i="2"/>
  <c r="C5829" i="2"/>
  <c r="D5828" i="2"/>
  <c r="C5828" i="2"/>
  <c r="D5827" i="2"/>
  <c r="C5827" i="2"/>
  <c r="D5826" i="2"/>
  <c r="C5826" i="2"/>
  <c r="D5825" i="2"/>
  <c r="C5825" i="2"/>
  <c r="D5824" i="2"/>
  <c r="C5824" i="2"/>
  <c r="D5823" i="2"/>
  <c r="C5823" i="2"/>
  <c r="D5822" i="2"/>
  <c r="C5822" i="2"/>
  <c r="D5821" i="2"/>
  <c r="C5821" i="2"/>
  <c r="D5820" i="2"/>
  <c r="C5820" i="2"/>
  <c r="D5819" i="2"/>
  <c r="C5819" i="2"/>
  <c r="D5818" i="2"/>
  <c r="C5818" i="2"/>
  <c r="D5817" i="2"/>
  <c r="C5817" i="2"/>
  <c r="D5816" i="2"/>
  <c r="C5816" i="2"/>
  <c r="D5815" i="2"/>
  <c r="C5815" i="2"/>
  <c r="D5814" i="2"/>
  <c r="C5814" i="2"/>
  <c r="D5813" i="2"/>
  <c r="C5813" i="2"/>
  <c r="D5812" i="2"/>
  <c r="C5812" i="2"/>
  <c r="D5811" i="2"/>
  <c r="C5811" i="2"/>
  <c r="D5810" i="2"/>
  <c r="C5810" i="2"/>
  <c r="D5809" i="2"/>
  <c r="C5809" i="2"/>
  <c r="D5808" i="2"/>
  <c r="C5808" i="2"/>
  <c r="D5807" i="2"/>
  <c r="C5807" i="2"/>
  <c r="D5806" i="2"/>
  <c r="C5806" i="2"/>
  <c r="D5805" i="2"/>
  <c r="C5805" i="2"/>
  <c r="D5804" i="2"/>
  <c r="C5804" i="2"/>
  <c r="D5803" i="2"/>
  <c r="C5803" i="2"/>
  <c r="D5802" i="2"/>
  <c r="C5802" i="2"/>
  <c r="D5801" i="2"/>
  <c r="C5801" i="2"/>
  <c r="D5800" i="2"/>
  <c r="C5800" i="2"/>
  <c r="D5799" i="2"/>
  <c r="C5799" i="2"/>
  <c r="D5798" i="2"/>
  <c r="C5798" i="2"/>
  <c r="D5797" i="2"/>
  <c r="C5797" i="2"/>
  <c r="D5796" i="2"/>
  <c r="C5796" i="2"/>
  <c r="D5795" i="2"/>
  <c r="C5795" i="2"/>
  <c r="D5794" i="2"/>
  <c r="C5794" i="2"/>
  <c r="D5793" i="2"/>
  <c r="C5793" i="2"/>
  <c r="D5792" i="2"/>
  <c r="C5792" i="2"/>
  <c r="D5791" i="2"/>
  <c r="C5791" i="2"/>
  <c r="D5790" i="2"/>
  <c r="C5790" i="2"/>
  <c r="D5789" i="2"/>
  <c r="C5789" i="2"/>
  <c r="D5788" i="2"/>
  <c r="C5788" i="2"/>
  <c r="D5787" i="2"/>
  <c r="C5787" i="2"/>
  <c r="D5786" i="2"/>
  <c r="C5786" i="2"/>
  <c r="D5785" i="2"/>
  <c r="C5785" i="2"/>
  <c r="D5784" i="2"/>
  <c r="C5784" i="2"/>
  <c r="D5783" i="2"/>
  <c r="C5783" i="2"/>
  <c r="D5782" i="2"/>
  <c r="C5782" i="2"/>
  <c r="D5781" i="2"/>
  <c r="C5781" i="2"/>
  <c r="D5780" i="2"/>
  <c r="C5780" i="2"/>
  <c r="D5779" i="2"/>
  <c r="C5779" i="2"/>
  <c r="D5778" i="2"/>
  <c r="C5778" i="2"/>
  <c r="D5777" i="2"/>
  <c r="C5777" i="2"/>
  <c r="D5776" i="2"/>
  <c r="C5776" i="2"/>
  <c r="D5775" i="2"/>
  <c r="C5775" i="2"/>
  <c r="D5774" i="2"/>
  <c r="C5774" i="2"/>
  <c r="D5773" i="2"/>
  <c r="C5773" i="2"/>
  <c r="D5772" i="2"/>
  <c r="C5772" i="2"/>
  <c r="D5771" i="2"/>
  <c r="C5771" i="2"/>
  <c r="D5770" i="2"/>
  <c r="C5770" i="2"/>
  <c r="D5769" i="2"/>
  <c r="C5769" i="2"/>
  <c r="D5768" i="2"/>
  <c r="C5768" i="2"/>
  <c r="D5767" i="2"/>
  <c r="C5767" i="2"/>
  <c r="D5766" i="2"/>
  <c r="C5766" i="2"/>
  <c r="D5765" i="2"/>
  <c r="C5765" i="2"/>
  <c r="D5764" i="2"/>
  <c r="C5764" i="2"/>
  <c r="D5763" i="2"/>
  <c r="C5763" i="2"/>
  <c r="D5762" i="2"/>
  <c r="C5762" i="2"/>
  <c r="D5761" i="2"/>
  <c r="C5761" i="2"/>
  <c r="D5760" i="2"/>
  <c r="C5760" i="2"/>
  <c r="D5759" i="2"/>
  <c r="C5759" i="2"/>
  <c r="D5758" i="2"/>
  <c r="C5758" i="2"/>
  <c r="D5757" i="2"/>
  <c r="C5757" i="2"/>
  <c r="D5756" i="2"/>
  <c r="C5756" i="2"/>
  <c r="D5755" i="2"/>
  <c r="C5755" i="2"/>
  <c r="D5754" i="2"/>
  <c r="C5754" i="2"/>
  <c r="D5753" i="2"/>
  <c r="C5753" i="2"/>
  <c r="D5752" i="2"/>
  <c r="C5752" i="2"/>
  <c r="D5751" i="2"/>
  <c r="C5751" i="2"/>
  <c r="D5750" i="2"/>
  <c r="C5750" i="2"/>
  <c r="D5749" i="2"/>
  <c r="C5749" i="2"/>
  <c r="D5748" i="2"/>
  <c r="C5748" i="2"/>
  <c r="D5747" i="2"/>
  <c r="C5747" i="2"/>
  <c r="D5746" i="2"/>
  <c r="C5746" i="2"/>
  <c r="D5745" i="2"/>
  <c r="C5745" i="2"/>
  <c r="D5744" i="2"/>
  <c r="C5744" i="2"/>
  <c r="D5743" i="2"/>
  <c r="C5743" i="2"/>
  <c r="D5742" i="2"/>
  <c r="C5742" i="2"/>
  <c r="D5741" i="2"/>
  <c r="C5741" i="2"/>
  <c r="D5740" i="2"/>
  <c r="C5740" i="2"/>
  <c r="D5739" i="2"/>
  <c r="C5739" i="2"/>
  <c r="D5738" i="2"/>
  <c r="C5738" i="2"/>
  <c r="D5737" i="2"/>
  <c r="C5737" i="2"/>
  <c r="D5736" i="2"/>
  <c r="C5736" i="2"/>
  <c r="D5735" i="2"/>
  <c r="C5735" i="2"/>
  <c r="D5734" i="2"/>
  <c r="C5734" i="2"/>
  <c r="D5733" i="2"/>
  <c r="C5733" i="2"/>
  <c r="D5732" i="2"/>
  <c r="C5732" i="2"/>
  <c r="D5731" i="2"/>
  <c r="C5731" i="2"/>
  <c r="D5730" i="2"/>
  <c r="C5730" i="2"/>
  <c r="D5729" i="2"/>
  <c r="C5729" i="2"/>
  <c r="D5728" i="2"/>
  <c r="C5728" i="2"/>
  <c r="D5727" i="2"/>
  <c r="C5727" i="2"/>
  <c r="D5726" i="2"/>
  <c r="C5726" i="2"/>
  <c r="D5725" i="2"/>
  <c r="C5725" i="2"/>
  <c r="D5724" i="2"/>
  <c r="C5724" i="2"/>
  <c r="D5723" i="2"/>
  <c r="C5723" i="2"/>
  <c r="D5722" i="2"/>
  <c r="C5722" i="2"/>
  <c r="D5721" i="2"/>
  <c r="C5721" i="2"/>
  <c r="D5720" i="2"/>
  <c r="C5720" i="2"/>
  <c r="D5719" i="2"/>
  <c r="C5719" i="2"/>
  <c r="D5718" i="2"/>
  <c r="C5718" i="2"/>
  <c r="D5717" i="2"/>
  <c r="C5717" i="2"/>
  <c r="D5716" i="2"/>
  <c r="C5716" i="2"/>
  <c r="D5715" i="2"/>
  <c r="C5715" i="2"/>
  <c r="D5714" i="2"/>
  <c r="C5714" i="2"/>
  <c r="D5713" i="2"/>
  <c r="C5713" i="2"/>
  <c r="D5712" i="2"/>
  <c r="C5712" i="2"/>
  <c r="D5711" i="2"/>
  <c r="C5711" i="2"/>
  <c r="D5710" i="2"/>
  <c r="C5710" i="2"/>
  <c r="D5709" i="2"/>
  <c r="C5709" i="2"/>
  <c r="D5708" i="2"/>
  <c r="C5708" i="2"/>
  <c r="D5707" i="2"/>
  <c r="C5707" i="2"/>
  <c r="D5706" i="2"/>
  <c r="C5706" i="2"/>
  <c r="D5705" i="2"/>
  <c r="C5705" i="2"/>
  <c r="D5704" i="2"/>
  <c r="C5704" i="2"/>
  <c r="D5703" i="2"/>
  <c r="C5703" i="2"/>
  <c r="D5702" i="2"/>
  <c r="C5702" i="2"/>
  <c r="D5701" i="2"/>
  <c r="C5701" i="2"/>
  <c r="D5700" i="2"/>
  <c r="C5700" i="2"/>
  <c r="D5699" i="2"/>
  <c r="C5699" i="2"/>
  <c r="D5698" i="2"/>
  <c r="C5698" i="2"/>
  <c r="D5697" i="2"/>
  <c r="C5697" i="2"/>
  <c r="D5696" i="2"/>
  <c r="C5696" i="2"/>
  <c r="D5695" i="2"/>
  <c r="C5695" i="2"/>
  <c r="D5694" i="2"/>
  <c r="C5694" i="2"/>
  <c r="D5693" i="2"/>
  <c r="C5693" i="2"/>
  <c r="D5692" i="2"/>
  <c r="C5692" i="2"/>
  <c r="D5691" i="2"/>
  <c r="C5691" i="2"/>
  <c r="D5690" i="2"/>
  <c r="C5690" i="2"/>
  <c r="D5689" i="2"/>
  <c r="C5689" i="2"/>
  <c r="D5688" i="2"/>
  <c r="C5688" i="2"/>
  <c r="D5687" i="2"/>
  <c r="C5687" i="2"/>
  <c r="D5686" i="2"/>
  <c r="C5686" i="2"/>
  <c r="D5685" i="2"/>
  <c r="C5685" i="2"/>
  <c r="D5684" i="2"/>
  <c r="C5684" i="2"/>
  <c r="D5683" i="2"/>
  <c r="C5683" i="2"/>
  <c r="D5682" i="2"/>
  <c r="C5682" i="2"/>
  <c r="D5681" i="2"/>
  <c r="C5681" i="2"/>
  <c r="D5680" i="2"/>
  <c r="C5680" i="2"/>
  <c r="D5679" i="2"/>
  <c r="C5679" i="2"/>
  <c r="D5678" i="2"/>
  <c r="C5678" i="2"/>
  <c r="D5677" i="2"/>
  <c r="C5677" i="2"/>
  <c r="D5676" i="2"/>
  <c r="C5676" i="2"/>
  <c r="D5675" i="2"/>
  <c r="C5675" i="2"/>
  <c r="D5674" i="2"/>
  <c r="C5674" i="2"/>
  <c r="D5673" i="2"/>
  <c r="C5673" i="2"/>
  <c r="D5672" i="2"/>
  <c r="C5672" i="2"/>
  <c r="D5671" i="2"/>
  <c r="C5671" i="2"/>
  <c r="D5670" i="2"/>
  <c r="C5670" i="2"/>
  <c r="D5669" i="2"/>
  <c r="C5669" i="2"/>
  <c r="D5668" i="2"/>
  <c r="C5668" i="2"/>
  <c r="D5667" i="2"/>
  <c r="C5667" i="2"/>
  <c r="D5666" i="2"/>
  <c r="C5666" i="2"/>
  <c r="D5665" i="2"/>
  <c r="C5665" i="2"/>
  <c r="D5664" i="2"/>
  <c r="C5664" i="2"/>
  <c r="D5663" i="2"/>
  <c r="C5663" i="2"/>
  <c r="D5662" i="2"/>
  <c r="C5662" i="2"/>
  <c r="D5661" i="2"/>
  <c r="C5661" i="2"/>
  <c r="D5660" i="2"/>
  <c r="C5660" i="2"/>
  <c r="D5659" i="2"/>
  <c r="C5659" i="2"/>
  <c r="D5658" i="2"/>
  <c r="C5658" i="2"/>
  <c r="D5657" i="2"/>
  <c r="C5657" i="2"/>
  <c r="D5656" i="2"/>
  <c r="C5656" i="2"/>
  <c r="D5655" i="2"/>
  <c r="C5655" i="2"/>
  <c r="D5654" i="2"/>
  <c r="C5654" i="2"/>
  <c r="D5653" i="2"/>
  <c r="C5653" i="2"/>
  <c r="D5652" i="2"/>
  <c r="C5652" i="2"/>
  <c r="D5651" i="2"/>
  <c r="C5651" i="2"/>
  <c r="D5650" i="2"/>
  <c r="C5650" i="2"/>
  <c r="D5649" i="2"/>
  <c r="C5649" i="2"/>
  <c r="D5648" i="2"/>
  <c r="C5648" i="2"/>
  <c r="D5647" i="2"/>
  <c r="C5647" i="2"/>
  <c r="D5646" i="2"/>
  <c r="C5646" i="2"/>
  <c r="D5645" i="2"/>
  <c r="C5645" i="2"/>
  <c r="D5644" i="2"/>
  <c r="C5644" i="2"/>
  <c r="D5643" i="2"/>
  <c r="C5643" i="2"/>
  <c r="D5642" i="2"/>
  <c r="C5642" i="2"/>
  <c r="D5641" i="2"/>
  <c r="C5641" i="2"/>
  <c r="D5640" i="2"/>
  <c r="C5640" i="2"/>
  <c r="D5639" i="2"/>
  <c r="C5639" i="2"/>
  <c r="D5638" i="2"/>
  <c r="C5638" i="2"/>
  <c r="D5637" i="2"/>
  <c r="C5637" i="2"/>
  <c r="D5636" i="2"/>
  <c r="C5636" i="2"/>
  <c r="D5635" i="2"/>
  <c r="C5635" i="2"/>
  <c r="D5634" i="2"/>
  <c r="C5634" i="2"/>
  <c r="D5633" i="2"/>
  <c r="C5633" i="2"/>
  <c r="D5632" i="2"/>
  <c r="C5632" i="2"/>
  <c r="D5631" i="2"/>
  <c r="C5631" i="2"/>
  <c r="D5630" i="2"/>
  <c r="C5630" i="2"/>
  <c r="D5629" i="2"/>
  <c r="C5629" i="2"/>
  <c r="D5628" i="2"/>
  <c r="C5628" i="2"/>
  <c r="D5627" i="2"/>
  <c r="C5627" i="2"/>
  <c r="D5626" i="2"/>
  <c r="C5626" i="2"/>
  <c r="D5625" i="2"/>
  <c r="C5625" i="2"/>
  <c r="D5624" i="2"/>
  <c r="C5624" i="2"/>
  <c r="D5623" i="2"/>
  <c r="C5623" i="2"/>
  <c r="D5622" i="2"/>
  <c r="C5622" i="2"/>
  <c r="D5621" i="2"/>
  <c r="C5621" i="2"/>
  <c r="D5620" i="2"/>
  <c r="C5620" i="2"/>
  <c r="D5619" i="2"/>
  <c r="C5619" i="2"/>
  <c r="D5618" i="2"/>
  <c r="C5618" i="2"/>
  <c r="D5617" i="2"/>
  <c r="C5617" i="2"/>
  <c r="D5616" i="2"/>
  <c r="C5616" i="2"/>
  <c r="D5615" i="2"/>
  <c r="C5615" i="2"/>
  <c r="D5614" i="2"/>
  <c r="C5614" i="2"/>
  <c r="D5613" i="2"/>
  <c r="C5613" i="2"/>
  <c r="D5612" i="2"/>
  <c r="C5612" i="2"/>
  <c r="D5611" i="2"/>
  <c r="C5611" i="2"/>
  <c r="D5610" i="2"/>
  <c r="C5610" i="2"/>
  <c r="D5609" i="2"/>
  <c r="C5609" i="2"/>
  <c r="D5608" i="2"/>
  <c r="C5608" i="2"/>
  <c r="D5607" i="2"/>
  <c r="C5607" i="2"/>
  <c r="D5606" i="2"/>
  <c r="C5606" i="2"/>
  <c r="D5605" i="2"/>
  <c r="C5605" i="2"/>
  <c r="D5604" i="2"/>
  <c r="C5604" i="2"/>
  <c r="D5603" i="2"/>
  <c r="C5603" i="2"/>
  <c r="D5602" i="2"/>
  <c r="C5602" i="2"/>
  <c r="D5601" i="2"/>
  <c r="C5601" i="2"/>
  <c r="D5600" i="2"/>
  <c r="C5600" i="2"/>
  <c r="D5599" i="2"/>
  <c r="C5599" i="2"/>
  <c r="D5598" i="2"/>
  <c r="C5598" i="2"/>
  <c r="D5597" i="2"/>
  <c r="C5597" i="2"/>
  <c r="D5596" i="2"/>
  <c r="C5596" i="2"/>
  <c r="D5595" i="2"/>
  <c r="C5595" i="2"/>
  <c r="D5594" i="2"/>
  <c r="C5594" i="2"/>
  <c r="D5593" i="2"/>
  <c r="C5593" i="2"/>
  <c r="D5592" i="2"/>
  <c r="C5592" i="2"/>
  <c r="D5591" i="2"/>
  <c r="C5591" i="2"/>
  <c r="D5590" i="2"/>
  <c r="C5590" i="2"/>
  <c r="D5589" i="2"/>
  <c r="C5589" i="2"/>
  <c r="D5588" i="2"/>
  <c r="C5588" i="2"/>
  <c r="D5587" i="2"/>
  <c r="C5587" i="2"/>
  <c r="D5586" i="2"/>
  <c r="C5586" i="2"/>
  <c r="D5585" i="2"/>
  <c r="C5585" i="2"/>
  <c r="D5584" i="2"/>
  <c r="C5584" i="2"/>
  <c r="D5583" i="2"/>
  <c r="C5583" i="2"/>
  <c r="D5582" i="2"/>
  <c r="C5582" i="2"/>
  <c r="D5581" i="2"/>
  <c r="C5581" i="2"/>
  <c r="D5580" i="2"/>
  <c r="C5580" i="2"/>
  <c r="D5579" i="2"/>
  <c r="C5579" i="2"/>
  <c r="D5578" i="2"/>
  <c r="C5578" i="2"/>
  <c r="D5577" i="2"/>
  <c r="C5577" i="2"/>
  <c r="D5576" i="2"/>
  <c r="C5576" i="2"/>
  <c r="D5575" i="2"/>
  <c r="C5575" i="2"/>
  <c r="D5574" i="2"/>
  <c r="C5574" i="2"/>
  <c r="D5573" i="2"/>
  <c r="C5573" i="2"/>
  <c r="D5572" i="2"/>
  <c r="C5572" i="2"/>
  <c r="D5571" i="2"/>
  <c r="C5571" i="2"/>
  <c r="D5570" i="2"/>
  <c r="C5570" i="2"/>
  <c r="D5569" i="2"/>
  <c r="C5569" i="2"/>
  <c r="D5568" i="2"/>
  <c r="C5568" i="2"/>
  <c r="D5567" i="2"/>
  <c r="C5567" i="2"/>
  <c r="D5566" i="2"/>
  <c r="C5566" i="2"/>
  <c r="D5565" i="2"/>
  <c r="C5565" i="2"/>
  <c r="D5564" i="2"/>
  <c r="C5564" i="2"/>
  <c r="D5563" i="2"/>
  <c r="C5563" i="2"/>
  <c r="D5562" i="2"/>
  <c r="C5562" i="2"/>
  <c r="D5561" i="2"/>
  <c r="C5561" i="2"/>
  <c r="D5560" i="2"/>
  <c r="C5560" i="2"/>
  <c r="D5559" i="2"/>
  <c r="C5559" i="2"/>
  <c r="D5558" i="2"/>
  <c r="C5558" i="2"/>
  <c r="D5557" i="2"/>
  <c r="C5557" i="2"/>
  <c r="D5556" i="2"/>
  <c r="C5556" i="2"/>
  <c r="D5555" i="2"/>
  <c r="C5555" i="2"/>
  <c r="D5554" i="2"/>
  <c r="C5554" i="2"/>
  <c r="D5553" i="2"/>
  <c r="C5553" i="2"/>
  <c r="D5552" i="2"/>
  <c r="C5552" i="2"/>
  <c r="D5551" i="2"/>
  <c r="C5551" i="2"/>
  <c r="D5550" i="2"/>
  <c r="C5550" i="2"/>
  <c r="D5549" i="2"/>
  <c r="C5549" i="2"/>
  <c r="D5548" i="2"/>
  <c r="C5548" i="2"/>
  <c r="D5547" i="2"/>
  <c r="C5547" i="2"/>
  <c r="D5546" i="2"/>
  <c r="C5546" i="2"/>
  <c r="D5545" i="2"/>
  <c r="C5545" i="2"/>
  <c r="D5544" i="2"/>
  <c r="C5544" i="2"/>
  <c r="D5543" i="2"/>
  <c r="C5543" i="2"/>
  <c r="D5542" i="2"/>
  <c r="C5542" i="2"/>
  <c r="D5541" i="2"/>
  <c r="C5541" i="2"/>
  <c r="D5540" i="2"/>
  <c r="C5540" i="2"/>
  <c r="D5539" i="2"/>
  <c r="C5539" i="2"/>
  <c r="D5538" i="2"/>
  <c r="C5538" i="2"/>
  <c r="D5537" i="2"/>
  <c r="C5537" i="2"/>
  <c r="D5536" i="2"/>
  <c r="C5536" i="2"/>
  <c r="D5535" i="2"/>
  <c r="C5535" i="2"/>
  <c r="D5534" i="2"/>
  <c r="C5534" i="2"/>
  <c r="D5533" i="2"/>
  <c r="C5533" i="2"/>
  <c r="D5532" i="2"/>
  <c r="C5532" i="2"/>
  <c r="D5531" i="2"/>
  <c r="C5531" i="2"/>
  <c r="D5530" i="2"/>
  <c r="C5530" i="2"/>
  <c r="D5529" i="2"/>
  <c r="C5529" i="2"/>
  <c r="D5528" i="2"/>
  <c r="C5528" i="2"/>
  <c r="D5527" i="2"/>
  <c r="C5527" i="2"/>
  <c r="D5526" i="2"/>
  <c r="C5526" i="2"/>
  <c r="D5525" i="2"/>
  <c r="C5525" i="2"/>
  <c r="D5524" i="2"/>
  <c r="C5524" i="2"/>
  <c r="D5523" i="2"/>
  <c r="C5523" i="2"/>
  <c r="D5522" i="2"/>
  <c r="C5522" i="2"/>
  <c r="D5521" i="2"/>
  <c r="C5521" i="2"/>
  <c r="D5520" i="2"/>
  <c r="C5520" i="2"/>
  <c r="D5519" i="2"/>
  <c r="C5519" i="2"/>
  <c r="D5518" i="2"/>
  <c r="C5518" i="2"/>
  <c r="D5517" i="2"/>
  <c r="C5517" i="2"/>
  <c r="D5516" i="2"/>
  <c r="C5516" i="2"/>
  <c r="D5515" i="2"/>
  <c r="C5515" i="2"/>
  <c r="D5514" i="2"/>
  <c r="C5514" i="2"/>
  <c r="D5513" i="2"/>
  <c r="C5513" i="2"/>
  <c r="D5512" i="2"/>
  <c r="C5512" i="2"/>
  <c r="D5511" i="2"/>
  <c r="C5511" i="2"/>
  <c r="D5510" i="2"/>
  <c r="C5510" i="2"/>
  <c r="D5509" i="2"/>
  <c r="C5509" i="2"/>
  <c r="D5508" i="2"/>
  <c r="C5508" i="2"/>
  <c r="D5507" i="2"/>
  <c r="C5507" i="2"/>
  <c r="D5506" i="2"/>
  <c r="C5506" i="2"/>
  <c r="D5505" i="2"/>
  <c r="C5505" i="2"/>
  <c r="D5504" i="2"/>
  <c r="C5504" i="2"/>
  <c r="D5503" i="2"/>
  <c r="C5503" i="2"/>
  <c r="D5502" i="2"/>
  <c r="C5502" i="2"/>
  <c r="D5501" i="2"/>
  <c r="C5501" i="2"/>
  <c r="D5500" i="2"/>
  <c r="C5500" i="2"/>
  <c r="D5499" i="2"/>
  <c r="C5499" i="2"/>
  <c r="D5498" i="2"/>
  <c r="C5498" i="2"/>
  <c r="D5497" i="2"/>
  <c r="C5497" i="2"/>
  <c r="D5496" i="2"/>
  <c r="C5496" i="2"/>
  <c r="D5495" i="2"/>
  <c r="C5495" i="2"/>
  <c r="D5494" i="2"/>
  <c r="C5494" i="2"/>
  <c r="D5493" i="2"/>
  <c r="C5493" i="2"/>
  <c r="D5492" i="2"/>
  <c r="C5492" i="2"/>
  <c r="D5491" i="2"/>
  <c r="C5491" i="2"/>
  <c r="D5490" i="2"/>
  <c r="C5490" i="2"/>
  <c r="D5489" i="2"/>
  <c r="C5489" i="2"/>
  <c r="D5488" i="2"/>
  <c r="C5488" i="2"/>
  <c r="D5487" i="2"/>
  <c r="C5487" i="2"/>
  <c r="D5486" i="2"/>
  <c r="C5486" i="2"/>
  <c r="D5485" i="2"/>
  <c r="C5485" i="2"/>
  <c r="D5484" i="2"/>
  <c r="C5484" i="2"/>
  <c r="D5483" i="2"/>
  <c r="C5483" i="2"/>
  <c r="D5482" i="2"/>
  <c r="C5482" i="2"/>
  <c r="D5481" i="2"/>
  <c r="C5481" i="2"/>
  <c r="D5480" i="2"/>
  <c r="C5480" i="2"/>
  <c r="D5479" i="2"/>
  <c r="C5479" i="2"/>
  <c r="D5478" i="2"/>
  <c r="C5478" i="2"/>
  <c r="D5477" i="2"/>
  <c r="C5477" i="2"/>
  <c r="D5476" i="2"/>
  <c r="C5476" i="2"/>
  <c r="D5475" i="2"/>
  <c r="C5475" i="2"/>
  <c r="D5474" i="2"/>
  <c r="C5474" i="2"/>
  <c r="D5473" i="2"/>
  <c r="C5473" i="2"/>
  <c r="D5472" i="2"/>
  <c r="C5472" i="2"/>
  <c r="D5471" i="2"/>
  <c r="C5471" i="2"/>
  <c r="D5470" i="2"/>
  <c r="C5470" i="2"/>
  <c r="D5469" i="2"/>
  <c r="C5469" i="2"/>
  <c r="D5468" i="2"/>
  <c r="C5468" i="2"/>
  <c r="D5467" i="2"/>
  <c r="C5467" i="2"/>
  <c r="D5466" i="2"/>
  <c r="C5466" i="2"/>
  <c r="D5465" i="2"/>
  <c r="C5465" i="2"/>
  <c r="D5464" i="2"/>
  <c r="C5464" i="2"/>
  <c r="D5463" i="2"/>
  <c r="C5463" i="2"/>
  <c r="D5462" i="2"/>
  <c r="C5462" i="2"/>
  <c r="D5461" i="2"/>
  <c r="C5461" i="2"/>
  <c r="D5460" i="2"/>
  <c r="C5460" i="2"/>
  <c r="D5459" i="2"/>
  <c r="C5459" i="2"/>
  <c r="D5458" i="2"/>
  <c r="C5458" i="2"/>
  <c r="D5457" i="2"/>
  <c r="C5457" i="2"/>
  <c r="D5456" i="2"/>
  <c r="C5456" i="2"/>
  <c r="D5455" i="2"/>
  <c r="C5455" i="2"/>
  <c r="D5454" i="2"/>
  <c r="C5454" i="2"/>
  <c r="D5453" i="2"/>
  <c r="C5453" i="2"/>
  <c r="D5452" i="2"/>
  <c r="C5452" i="2"/>
  <c r="D5451" i="2"/>
  <c r="C5451" i="2"/>
  <c r="D5450" i="2"/>
  <c r="C5450" i="2"/>
  <c r="D5449" i="2"/>
  <c r="C5449" i="2"/>
  <c r="D5448" i="2"/>
  <c r="C5448" i="2"/>
  <c r="D5447" i="2"/>
  <c r="C5447" i="2"/>
  <c r="D5446" i="2"/>
  <c r="C5446" i="2"/>
  <c r="D5445" i="2"/>
  <c r="C5445" i="2"/>
  <c r="D5444" i="2"/>
  <c r="C5444" i="2"/>
  <c r="D5443" i="2"/>
  <c r="C5443" i="2"/>
  <c r="D5442" i="2"/>
  <c r="C5442" i="2"/>
  <c r="D5441" i="2"/>
  <c r="C5441" i="2"/>
  <c r="D5440" i="2"/>
  <c r="C5440" i="2"/>
  <c r="D5439" i="2"/>
  <c r="C5439" i="2"/>
  <c r="D5438" i="2"/>
  <c r="C5438" i="2"/>
  <c r="D5437" i="2"/>
  <c r="C5437" i="2"/>
  <c r="D5436" i="2"/>
  <c r="C5436" i="2"/>
  <c r="D5435" i="2"/>
  <c r="C5435" i="2"/>
  <c r="D5434" i="2"/>
  <c r="C5434" i="2"/>
  <c r="D5433" i="2"/>
  <c r="C5433" i="2"/>
  <c r="D5432" i="2"/>
  <c r="C5432" i="2"/>
  <c r="D5431" i="2"/>
  <c r="C5431" i="2"/>
  <c r="D5430" i="2"/>
  <c r="C5430" i="2"/>
  <c r="D5429" i="2"/>
  <c r="C5429" i="2"/>
  <c r="D5428" i="2"/>
  <c r="C5428" i="2"/>
  <c r="D5427" i="2"/>
  <c r="C5427" i="2"/>
  <c r="D5426" i="2"/>
  <c r="C5426" i="2"/>
  <c r="D5425" i="2"/>
  <c r="C5425" i="2"/>
  <c r="D5424" i="2"/>
  <c r="C5424" i="2"/>
  <c r="D5423" i="2"/>
  <c r="C5423" i="2"/>
  <c r="D5422" i="2"/>
  <c r="C5422" i="2"/>
  <c r="D5421" i="2"/>
  <c r="C5421" i="2"/>
  <c r="D5420" i="2"/>
  <c r="C5420" i="2"/>
  <c r="D5419" i="2"/>
  <c r="C5419" i="2"/>
  <c r="D5418" i="2"/>
  <c r="C5418" i="2"/>
  <c r="D5417" i="2"/>
  <c r="C5417" i="2"/>
  <c r="D5416" i="2"/>
  <c r="C5416" i="2"/>
  <c r="D5415" i="2"/>
  <c r="C5415" i="2"/>
  <c r="D5414" i="2"/>
  <c r="C5414" i="2"/>
  <c r="D5413" i="2"/>
  <c r="C5413" i="2"/>
  <c r="D5412" i="2"/>
  <c r="C5412" i="2"/>
  <c r="D5411" i="2"/>
  <c r="C5411" i="2"/>
  <c r="D5410" i="2"/>
  <c r="C5410" i="2"/>
  <c r="D5409" i="2"/>
  <c r="C5409" i="2"/>
  <c r="D5408" i="2"/>
  <c r="C5408" i="2"/>
  <c r="D5407" i="2"/>
  <c r="C5407" i="2"/>
  <c r="D5406" i="2"/>
  <c r="C5406" i="2"/>
  <c r="D5405" i="2"/>
  <c r="C5405" i="2"/>
  <c r="D5404" i="2"/>
  <c r="C5404" i="2"/>
  <c r="D5403" i="2"/>
  <c r="C5403" i="2"/>
  <c r="D5402" i="2"/>
  <c r="C5402" i="2"/>
  <c r="D5401" i="2"/>
  <c r="C5401" i="2"/>
  <c r="D5400" i="2"/>
  <c r="C5400" i="2"/>
  <c r="D5399" i="2"/>
  <c r="C5399" i="2"/>
  <c r="D5398" i="2"/>
  <c r="C5398" i="2"/>
  <c r="D5397" i="2"/>
  <c r="C5397" i="2"/>
  <c r="D5396" i="2"/>
  <c r="C5396" i="2"/>
  <c r="D5395" i="2"/>
  <c r="C5395" i="2"/>
  <c r="D5394" i="2"/>
  <c r="C5394" i="2"/>
  <c r="D5393" i="2"/>
  <c r="C5393" i="2"/>
  <c r="D5392" i="2"/>
  <c r="C5392" i="2"/>
  <c r="D5391" i="2"/>
  <c r="C5391" i="2"/>
  <c r="D5390" i="2"/>
  <c r="C5390" i="2"/>
  <c r="D5389" i="2"/>
  <c r="C5389" i="2"/>
  <c r="D5388" i="2"/>
  <c r="C5388" i="2"/>
  <c r="D5387" i="2"/>
  <c r="C5387" i="2"/>
  <c r="D5386" i="2"/>
  <c r="C5386" i="2"/>
  <c r="D5385" i="2"/>
  <c r="C5385" i="2"/>
  <c r="D5384" i="2"/>
  <c r="C5384" i="2"/>
  <c r="D5383" i="2"/>
  <c r="C5383" i="2"/>
  <c r="D5382" i="2"/>
  <c r="C5382" i="2"/>
  <c r="D5381" i="2"/>
  <c r="C5381" i="2"/>
  <c r="D5380" i="2"/>
  <c r="C5380" i="2"/>
  <c r="D5379" i="2"/>
  <c r="C5379" i="2"/>
  <c r="D5378" i="2"/>
  <c r="C5378" i="2"/>
  <c r="D5377" i="2"/>
  <c r="C5377" i="2"/>
  <c r="D5376" i="2"/>
  <c r="C5376" i="2"/>
  <c r="D5375" i="2"/>
  <c r="C5375" i="2"/>
  <c r="D5374" i="2"/>
  <c r="C5374" i="2"/>
  <c r="D5373" i="2"/>
  <c r="C5373" i="2"/>
  <c r="D5372" i="2"/>
  <c r="C5372" i="2"/>
  <c r="D5371" i="2"/>
  <c r="C5371" i="2"/>
  <c r="D5370" i="2"/>
  <c r="C5370" i="2"/>
  <c r="D5369" i="2"/>
  <c r="C5369" i="2"/>
  <c r="D5368" i="2"/>
  <c r="C5368" i="2"/>
  <c r="D5367" i="2"/>
  <c r="C5367" i="2"/>
  <c r="D5366" i="2"/>
  <c r="C5366" i="2"/>
  <c r="D5365" i="2"/>
  <c r="C5365" i="2"/>
  <c r="D5364" i="2"/>
  <c r="C5364" i="2"/>
  <c r="D5363" i="2"/>
  <c r="C5363" i="2"/>
  <c r="D5362" i="2"/>
  <c r="C5362" i="2"/>
  <c r="D5361" i="2"/>
  <c r="C5361" i="2"/>
  <c r="D5360" i="2"/>
  <c r="C5360" i="2"/>
  <c r="D5359" i="2"/>
  <c r="C5359" i="2"/>
  <c r="D5358" i="2"/>
  <c r="C5358" i="2"/>
  <c r="D5357" i="2"/>
  <c r="C5357" i="2"/>
  <c r="D5356" i="2"/>
  <c r="C5356" i="2"/>
  <c r="D5355" i="2"/>
  <c r="C5355" i="2"/>
  <c r="D5354" i="2"/>
  <c r="C5354" i="2"/>
  <c r="D5353" i="2"/>
  <c r="C5353" i="2"/>
  <c r="D5352" i="2"/>
  <c r="C5352" i="2"/>
  <c r="D5351" i="2"/>
  <c r="C5351" i="2"/>
  <c r="D5350" i="2"/>
  <c r="C5350" i="2"/>
  <c r="D5349" i="2"/>
  <c r="C5349" i="2"/>
  <c r="D5348" i="2"/>
  <c r="C5348" i="2"/>
  <c r="D5347" i="2"/>
  <c r="C5347" i="2"/>
  <c r="D5346" i="2"/>
  <c r="C5346" i="2"/>
  <c r="D5345" i="2"/>
  <c r="C5345" i="2"/>
  <c r="D5344" i="2"/>
  <c r="C5344" i="2"/>
  <c r="D5343" i="2"/>
  <c r="C5343" i="2"/>
  <c r="D5342" i="2"/>
  <c r="C5342" i="2"/>
  <c r="D5341" i="2"/>
  <c r="C5341" i="2"/>
  <c r="D5340" i="2"/>
  <c r="C5340" i="2"/>
  <c r="D5339" i="2"/>
  <c r="C5339" i="2"/>
  <c r="D5338" i="2"/>
  <c r="C5338" i="2"/>
  <c r="D5337" i="2"/>
  <c r="C5337" i="2"/>
  <c r="D5336" i="2"/>
  <c r="C5336" i="2"/>
  <c r="D5335" i="2"/>
  <c r="C5335" i="2"/>
  <c r="D5334" i="2"/>
  <c r="C5334" i="2"/>
  <c r="D5333" i="2"/>
  <c r="C5333" i="2"/>
  <c r="D5332" i="2"/>
  <c r="C5332" i="2"/>
  <c r="D5331" i="2"/>
  <c r="C5331" i="2"/>
  <c r="D5330" i="2"/>
  <c r="C5330" i="2"/>
  <c r="D5329" i="2"/>
  <c r="C5329" i="2"/>
  <c r="D5328" i="2"/>
  <c r="C5328" i="2"/>
  <c r="D5327" i="2"/>
  <c r="C5327" i="2"/>
  <c r="D5326" i="2"/>
  <c r="C5326" i="2"/>
  <c r="D5325" i="2"/>
  <c r="C5325" i="2"/>
  <c r="D5324" i="2"/>
  <c r="C5324" i="2"/>
  <c r="D5323" i="2"/>
  <c r="C5323" i="2"/>
  <c r="D5322" i="2"/>
  <c r="C5322" i="2"/>
  <c r="D5321" i="2"/>
  <c r="C5321" i="2"/>
  <c r="D5320" i="2"/>
  <c r="C5320" i="2"/>
  <c r="D5319" i="2"/>
  <c r="C5319" i="2"/>
  <c r="D5318" i="2"/>
  <c r="C5318" i="2"/>
  <c r="D5317" i="2"/>
  <c r="C5317" i="2"/>
  <c r="D5316" i="2"/>
  <c r="C5316" i="2"/>
  <c r="D5315" i="2"/>
  <c r="C5315" i="2"/>
  <c r="D5314" i="2"/>
  <c r="C5314" i="2"/>
  <c r="D5313" i="2"/>
  <c r="C5313" i="2"/>
  <c r="D5312" i="2"/>
  <c r="C5312" i="2"/>
  <c r="D5311" i="2"/>
  <c r="C5311" i="2"/>
  <c r="D5310" i="2"/>
  <c r="C5310" i="2"/>
  <c r="D5309" i="2"/>
  <c r="C5309" i="2"/>
  <c r="D5308" i="2"/>
  <c r="C5308" i="2"/>
  <c r="D5307" i="2"/>
  <c r="C5307" i="2"/>
  <c r="D5306" i="2"/>
  <c r="C5306" i="2"/>
  <c r="D5305" i="2"/>
  <c r="C5305" i="2"/>
  <c r="D5304" i="2"/>
  <c r="C5304" i="2"/>
  <c r="D5303" i="2"/>
  <c r="C5303" i="2"/>
  <c r="D5302" i="2"/>
  <c r="C5302" i="2"/>
  <c r="D5301" i="2"/>
  <c r="C5301" i="2"/>
  <c r="D5300" i="2"/>
  <c r="C5300" i="2"/>
  <c r="D5299" i="2"/>
  <c r="C5299" i="2"/>
  <c r="D5298" i="2"/>
  <c r="C5298" i="2"/>
  <c r="D5297" i="2"/>
  <c r="C5297" i="2"/>
  <c r="D5296" i="2"/>
  <c r="C5296" i="2"/>
  <c r="D5295" i="2"/>
  <c r="C5295" i="2"/>
  <c r="D5294" i="2"/>
  <c r="C5294" i="2"/>
  <c r="D5293" i="2"/>
  <c r="C5293" i="2"/>
  <c r="D5292" i="2"/>
  <c r="C5292" i="2"/>
  <c r="D5291" i="2"/>
  <c r="C5291" i="2"/>
  <c r="D5290" i="2"/>
  <c r="C5290" i="2"/>
  <c r="D5289" i="2"/>
  <c r="C5289" i="2"/>
  <c r="D5288" i="2"/>
  <c r="C5288" i="2"/>
  <c r="D5287" i="2"/>
  <c r="C5287" i="2"/>
  <c r="D5286" i="2"/>
  <c r="C5286" i="2"/>
  <c r="D5285" i="2"/>
  <c r="C5285" i="2"/>
  <c r="D5284" i="2"/>
  <c r="C5284" i="2"/>
  <c r="D5283" i="2"/>
  <c r="C5283" i="2"/>
  <c r="D5282" i="2"/>
  <c r="C5282" i="2"/>
  <c r="D5281" i="2"/>
  <c r="C5281" i="2"/>
  <c r="D5280" i="2"/>
  <c r="C5280" i="2"/>
  <c r="D5279" i="2"/>
  <c r="C5279" i="2"/>
  <c r="D5278" i="2"/>
  <c r="C5278" i="2"/>
  <c r="D5277" i="2"/>
  <c r="C5277" i="2"/>
  <c r="D5276" i="2"/>
  <c r="C5276" i="2"/>
  <c r="D5275" i="2"/>
  <c r="C5275" i="2"/>
  <c r="D5274" i="2"/>
  <c r="C5274" i="2"/>
  <c r="D5273" i="2"/>
  <c r="C5273" i="2"/>
  <c r="D5272" i="2"/>
  <c r="C5272" i="2"/>
  <c r="D5271" i="2"/>
  <c r="C5271" i="2"/>
  <c r="D5270" i="2"/>
  <c r="C5270" i="2"/>
  <c r="D5269" i="2"/>
  <c r="C5269" i="2"/>
  <c r="D5268" i="2"/>
  <c r="C5268" i="2"/>
  <c r="D5267" i="2"/>
  <c r="C5267" i="2"/>
  <c r="D5266" i="2"/>
  <c r="C5266" i="2"/>
  <c r="D5265" i="2"/>
  <c r="C5265" i="2"/>
  <c r="D5264" i="2"/>
  <c r="C5264" i="2"/>
  <c r="D5263" i="2"/>
  <c r="C5263" i="2"/>
  <c r="D5262" i="2"/>
  <c r="C5262" i="2"/>
  <c r="D5261" i="2"/>
  <c r="C5261" i="2"/>
  <c r="D5260" i="2"/>
  <c r="C5260" i="2"/>
  <c r="D5259" i="2"/>
  <c r="C5259" i="2"/>
  <c r="D5258" i="2"/>
  <c r="C5258" i="2"/>
  <c r="D5257" i="2"/>
  <c r="C5257" i="2"/>
  <c r="D5256" i="2"/>
  <c r="C5256" i="2"/>
  <c r="D5255" i="2"/>
  <c r="C5255" i="2"/>
  <c r="D5254" i="2"/>
  <c r="C5254" i="2"/>
  <c r="D5253" i="2"/>
  <c r="C5253" i="2"/>
  <c r="D5252" i="2"/>
  <c r="C5252" i="2"/>
  <c r="D5251" i="2"/>
  <c r="C5251" i="2"/>
  <c r="D5250" i="2"/>
  <c r="C5250" i="2"/>
  <c r="D5249" i="2"/>
  <c r="C5249" i="2"/>
  <c r="D5248" i="2"/>
  <c r="C5248" i="2"/>
  <c r="D5247" i="2"/>
  <c r="C5247" i="2"/>
  <c r="D5246" i="2"/>
  <c r="C5246" i="2"/>
  <c r="D5245" i="2"/>
  <c r="C5245" i="2"/>
  <c r="D5244" i="2"/>
  <c r="C5244" i="2"/>
  <c r="D5243" i="2"/>
  <c r="C5243" i="2"/>
  <c r="D5242" i="2"/>
  <c r="C5242" i="2"/>
  <c r="D5241" i="2"/>
  <c r="C5241" i="2"/>
  <c r="D5240" i="2"/>
  <c r="C5240" i="2"/>
  <c r="D5239" i="2"/>
  <c r="C5239" i="2"/>
  <c r="D5238" i="2"/>
  <c r="C5238" i="2"/>
  <c r="D5237" i="2"/>
  <c r="C5237" i="2"/>
  <c r="D5236" i="2"/>
  <c r="C5236" i="2"/>
  <c r="D5235" i="2"/>
  <c r="C5235" i="2"/>
  <c r="D5234" i="2"/>
  <c r="C5234" i="2"/>
  <c r="D5233" i="2"/>
  <c r="C5233" i="2"/>
  <c r="D5232" i="2"/>
  <c r="C5232" i="2"/>
  <c r="D5231" i="2"/>
  <c r="C5231" i="2"/>
  <c r="D5230" i="2"/>
  <c r="C5230" i="2"/>
  <c r="D5229" i="2"/>
  <c r="C5229" i="2"/>
  <c r="D5228" i="2"/>
  <c r="C5228" i="2"/>
  <c r="D5227" i="2"/>
  <c r="C5227" i="2"/>
  <c r="D5226" i="2"/>
  <c r="C5226" i="2"/>
  <c r="D5225" i="2"/>
  <c r="C5225" i="2"/>
  <c r="D5224" i="2"/>
  <c r="C5224" i="2"/>
  <c r="D5223" i="2"/>
  <c r="C5223" i="2"/>
  <c r="D5222" i="2"/>
  <c r="C5222" i="2"/>
  <c r="D5221" i="2"/>
  <c r="C5221" i="2"/>
  <c r="D5220" i="2"/>
  <c r="C5220" i="2"/>
  <c r="D5219" i="2"/>
  <c r="C5219" i="2"/>
  <c r="D5218" i="2"/>
  <c r="C5218" i="2"/>
  <c r="D5217" i="2"/>
  <c r="C5217" i="2"/>
  <c r="D5216" i="2"/>
  <c r="C5216" i="2"/>
  <c r="D5215" i="2"/>
  <c r="C5215" i="2"/>
  <c r="D5214" i="2"/>
  <c r="C5214" i="2"/>
  <c r="D5213" i="2"/>
  <c r="C5213" i="2"/>
  <c r="D5212" i="2"/>
  <c r="C5212" i="2"/>
  <c r="D5211" i="2"/>
  <c r="C5211" i="2"/>
  <c r="D5210" i="2"/>
  <c r="C5210" i="2"/>
  <c r="D5209" i="2"/>
  <c r="C5209" i="2"/>
  <c r="D5208" i="2"/>
  <c r="C5208" i="2"/>
  <c r="D5207" i="2"/>
  <c r="C5207" i="2"/>
  <c r="D5206" i="2"/>
  <c r="C5206" i="2"/>
  <c r="D5205" i="2"/>
  <c r="C5205" i="2"/>
  <c r="D5204" i="2"/>
  <c r="C5204" i="2"/>
  <c r="D5203" i="2"/>
  <c r="C5203" i="2"/>
  <c r="D5202" i="2"/>
  <c r="C5202" i="2"/>
  <c r="D5201" i="2"/>
  <c r="C5201" i="2"/>
  <c r="D5200" i="2"/>
  <c r="C5200" i="2"/>
  <c r="D5199" i="2"/>
  <c r="C5199" i="2"/>
  <c r="D5198" i="2"/>
  <c r="C5198" i="2"/>
  <c r="D5197" i="2"/>
  <c r="C5197" i="2"/>
  <c r="D5196" i="2"/>
  <c r="C5196" i="2"/>
  <c r="D5195" i="2"/>
  <c r="C5195" i="2"/>
  <c r="D5194" i="2"/>
  <c r="C5194" i="2"/>
  <c r="D5193" i="2"/>
  <c r="C5193" i="2"/>
  <c r="D5192" i="2"/>
  <c r="C5192" i="2"/>
  <c r="D5191" i="2"/>
  <c r="C5191" i="2"/>
  <c r="D5190" i="2"/>
  <c r="C5190" i="2"/>
  <c r="D5189" i="2"/>
  <c r="C5189" i="2"/>
  <c r="D5188" i="2"/>
  <c r="C5188" i="2"/>
  <c r="D5187" i="2"/>
  <c r="C5187" i="2"/>
  <c r="D5186" i="2"/>
  <c r="C5186" i="2"/>
  <c r="D5185" i="2"/>
  <c r="C5185" i="2"/>
  <c r="D5184" i="2"/>
  <c r="C5184" i="2"/>
  <c r="D5183" i="2"/>
  <c r="C5183" i="2"/>
  <c r="D5182" i="2"/>
  <c r="C5182" i="2"/>
  <c r="D5181" i="2"/>
  <c r="C5181" i="2"/>
  <c r="D5180" i="2"/>
  <c r="C5180" i="2"/>
  <c r="D5179" i="2"/>
  <c r="C5179" i="2"/>
  <c r="D5178" i="2"/>
  <c r="C5178" i="2"/>
  <c r="D5177" i="2"/>
  <c r="C5177" i="2"/>
  <c r="D5176" i="2"/>
  <c r="C5176" i="2"/>
  <c r="D5175" i="2"/>
  <c r="C5175" i="2"/>
  <c r="D5174" i="2"/>
  <c r="C5174" i="2"/>
  <c r="D5173" i="2"/>
  <c r="C5173" i="2"/>
  <c r="D5172" i="2"/>
  <c r="C5172" i="2"/>
  <c r="D5171" i="2"/>
  <c r="C5171" i="2"/>
  <c r="D5170" i="2"/>
  <c r="C5170" i="2"/>
  <c r="D5169" i="2"/>
  <c r="C5169" i="2"/>
  <c r="D5168" i="2"/>
  <c r="C5168" i="2"/>
  <c r="D5167" i="2"/>
  <c r="C5167" i="2"/>
  <c r="D5166" i="2"/>
  <c r="C5166" i="2"/>
  <c r="D5165" i="2"/>
  <c r="C5165" i="2"/>
  <c r="D5164" i="2"/>
  <c r="C5164" i="2"/>
  <c r="D5163" i="2"/>
  <c r="C5163" i="2"/>
  <c r="D5162" i="2"/>
  <c r="C5162" i="2"/>
  <c r="D5161" i="2"/>
  <c r="C5161" i="2"/>
  <c r="D5160" i="2"/>
  <c r="C5160" i="2"/>
  <c r="D5159" i="2"/>
  <c r="C5159" i="2"/>
  <c r="D5158" i="2"/>
  <c r="C5158" i="2"/>
  <c r="D5157" i="2"/>
  <c r="C5157" i="2"/>
  <c r="D5156" i="2"/>
  <c r="C5156" i="2"/>
  <c r="D5155" i="2"/>
  <c r="C5155" i="2"/>
  <c r="D5154" i="2"/>
  <c r="C5154" i="2"/>
  <c r="D5153" i="2"/>
  <c r="C5153" i="2"/>
  <c r="D5152" i="2"/>
  <c r="C5152" i="2"/>
  <c r="D5151" i="2"/>
  <c r="C5151" i="2"/>
  <c r="D5150" i="2"/>
  <c r="C5150" i="2"/>
  <c r="D5149" i="2"/>
  <c r="C5149" i="2"/>
  <c r="D5148" i="2"/>
  <c r="C5148" i="2"/>
  <c r="D5147" i="2"/>
  <c r="C5147" i="2"/>
  <c r="D5146" i="2"/>
  <c r="C5146" i="2"/>
  <c r="D5145" i="2"/>
  <c r="C5145" i="2"/>
  <c r="D5144" i="2"/>
  <c r="C5144" i="2"/>
  <c r="D5143" i="2"/>
  <c r="C5143" i="2"/>
  <c r="D5142" i="2"/>
  <c r="C5142" i="2"/>
  <c r="D5141" i="2"/>
  <c r="C5141" i="2"/>
  <c r="D5140" i="2"/>
  <c r="C5140" i="2"/>
  <c r="D5139" i="2"/>
  <c r="C5139" i="2"/>
  <c r="D5138" i="2"/>
  <c r="C5138" i="2"/>
  <c r="D5137" i="2"/>
  <c r="C5137" i="2"/>
  <c r="D5136" i="2"/>
  <c r="C5136" i="2"/>
  <c r="D5135" i="2"/>
  <c r="C5135" i="2"/>
  <c r="D5134" i="2"/>
  <c r="C5134" i="2"/>
  <c r="D5133" i="2"/>
  <c r="C5133" i="2"/>
  <c r="D5132" i="2"/>
  <c r="C5132" i="2"/>
  <c r="D5131" i="2"/>
  <c r="C5131" i="2"/>
  <c r="D5130" i="2"/>
  <c r="C5130" i="2"/>
  <c r="D5129" i="2"/>
  <c r="C5129" i="2"/>
  <c r="D5128" i="2"/>
  <c r="C5128" i="2"/>
  <c r="D5127" i="2"/>
  <c r="C5127" i="2"/>
  <c r="D5126" i="2"/>
  <c r="C5126" i="2"/>
  <c r="D5125" i="2"/>
  <c r="C5125" i="2"/>
  <c r="D5124" i="2"/>
  <c r="C5124" i="2"/>
  <c r="D5123" i="2"/>
  <c r="C5123" i="2"/>
  <c r="D5122" i="2"/>
  <c r="C5122" i="2"/>
  <c r="D5121" i="2"/>
  <c r="C5121" i="2"/>
  <c r="D5120" i="2"/>
  <c r="C5120" i="2"/>
  <c r="D5119" i="2"/>
  <c r="C5119" i="2"/>
  <c r="D5118" i="2"/>
  <c r="C5118" i="2"/>
  <c r="D5117" i="2"/>
  <c r="C5117" i="2"/>
  <c r="D5116" i="2"/>
  <c r="C5116" i="2"/>
  <c r="D5115" i="2"/>
  <c r="C5115" i="2"/>
  <c r="D5114" i="2"/>
  <c r="C5114" i="2"/>
  <c r="D5113" i="2"/>
  <c r="C5113" i="2"/>
  <c r="D5112" i="2"/>
  <c r="C5112" i="2"/>
  <c r="D5111" i="2"/>
  <c r="C5111" i="2"/>
  <c r="D5110" i="2"/>
  <c r="C5110" i="2"/>
  <c r="D5109" i="2"/>
  <c r="C5109" i="2"/>
  <c r="D5108" i="2"/>
  <c r="C5108" i="2"/>
  <c r="D5107" i="2"/>
  <c r="C5107" i="2"/>
  <c r="D5106" i="2"/>
  <c r="C5106" i="2"/>
  <c r="D5105" i="2"/>
  <c r="C5105" i="2"/>
  <c r="D5104" i="2"/>
  <c r="C5104" i="2"/>
  <c r="D5103" i="2"/>
  <c r="C5103" i="2"/>
  <c r="D5102" i="2"/>
  <c r="C5102" i="2"/>
  <c r="D5101" i="2"/>
  <c r="C5101" i="2"/>
  <c r="D5100" i="2"/>
  <c r="C5100" i="2"/>
  <c r="D5099" i="2"/>
  <c r="C5099" i="2"/>
  <c r="D5098" i="2"/>
  <c r="C5098" i="2"/>
  <c r="D5097" i="2"/>
  <c r="C5097" i="2"/>
  <c r="D5096" i="2"/>
  <c r="C5096" i="2"/>
  <c r="D5095" i="2"/>
  <c r="C5095" i="2"/>
  <c r="D5094" i="2"/>
  <c r="C5094" i="2"/>
  <c r="D5093" i="2"/>
  <c r="C5093" i="2"/>
  <c r="D5092" i="2"/>
  <c r="C5092" i="2"/>
  <c r="D5091" i="2"/>
  <c r="C5091" i="2"/>
  <c r="D5090" i="2"/>
  <c r="C5090" i="2"/>
  <c r="D5089" i="2"/>
  <c r="C5089" i="2"/>
  <c r="D5088" i="2"/>
  <c r="C5088" i="2"/>
  <c r="D5087" i="2"/>
  <c r="C5087" i="2"/>
  <c r="D5086" i="2"/>
  <c r="C5086" i="2"/>
  <c r="D5085" i="2"/>
  <c r="C5085" i="2"/>
  <c r="D5084" i="2"/>
  <c r="C5084" i="2"/>
  <c r="D5083" i="2"/>
  <c r="C5083" i="2"/>
  <c r="D5082" i="2"/>
  <c r="C5082" i="2"/>
  <c r="D5081" i="2"/>
  <c r="C5081" i="2"/>
  <c r="D5080" i="2"/>
  <c r="C5080" i="2"/>
  <c r="D5079" i="2"/>
  <c r="C5079" i="2"/>
  <c r="D5078" i="2"/>
  <c r="C5078" i="2"/>
  <c r="D5077" i="2"/>
  <c r="C5077" i="2"/>
  <c r="D5076" i="2"/>
  <c r="C5076" i="2"/>
  <c r="D5075" i="2"/>
  <c r="C5075" i="2"/>
  <c r="D5074" i="2"/>
  <c r="C5074" i="2"/>
  <c r="D5073" i="2"/>
  <c r="C5073" i="2"/>
  <c r="D5072" i="2"/>
  <c r="C5072" i="2"/>
  <c r="D5071" i="2"/>
  <c r="C5071" i="2"/>
  <c r="D5070" i="2"/>
  <c r="C5070" i="2"/>
  <c r="D5069" i="2"/>
  <c r="C5069" i="2"/>
  <c r="D5068" i="2"/>
  <c r="C5068" i="2"/>
  <c r="D5067" i="2"/>
  <c r="C5067" i="2"/>
  <c r="D5066" i="2"/>
  <c r="C5066" i="2"/>
  <c r="D5065" i="2"/>
  <c r="C5065" i="2"/>
  <c r="D5064" i="2"/>
  <c r="C5064" i="2"/>
  <c r="D5063" i="2"/>
  <c r="C5063" i="2"/>
  <c r="D5062" i="2"/>
  <c r="C5062" i="2"/>
  <c r="D5061" i="2"/>
  <c r="C5061" i="2"/>
  <c r="D5060" i="2"/>
  <c r="C5060" i="2"/>
  <c r="D5059" i="2"/>
  <c r="C5059" i="2"/>
  <c r="D5058" i="2"/>
  <c r="C5058" i="2"/>
  <c r="D5057" i="2"/>
  <c r="C5057" i="2"/>
  <c r="D5056" i="2"/>
  <c r="C5056" i="2"/>
  <c r="D5055" i="2"/>
  <c r="C5055" i="2"/>
  <c r="D5054" i="2"/>
  <c r="C5054" i="2"/>
  <c r="D5053" i="2"/>
  <c r="C5053" i="2"/>
  <c r="D5052" i="2"/>
  <c r="C5052" i="2"/>
  <c r="D5051" i="2"/>
  <c r="C5051" i="2"/>
  <c r="D5050" i="2"/>
  <c r="C5050" i="2"/>
  <c r="D5049" i="2"/>
  <c r="C5049" i="2"/>
  <c r="D5048" i="2"/>
  <c r="C5048" i="2"/>
  <c r="D5047" i="2"/>
  <c r="C5047" i="2"/>
  <c r="D5046" i="2"/>
  <c r="C5046" i="2"/>
  <c r="D5045" i="2"/>
  <c r="C5045" i="2"/>
  <c r="D5044" i="2"/>
  <c r="C5044" i="2"/>
  <c r="D5043" i="2"/>
  <c r="C5043" i="2"/>
  <c r="D5042" i="2"/>
  <c r="C5042" i="2"/>
  <c r="D5041" i="2"/>
  <c r="C5041" i="2"/>
  <c r="D5040" i="2"/>
  <c r="C5040" i="2"/>
  <c r="D5039" i="2"/>
  <c r="C5039" i="2"/>
  <c r="D5038" i="2"/>
  <c r="C5038" i="2"/>
  <c r="D5037" i="2"/>
  <c r="C5037" i="2"/>
  <c r="D5036" i="2"/>
  <c r="C5036" i="2"/>
  <c r="D5035" i="2"/>
  <c r="C5035" i="2"/>
  <c r="D5034" i="2"/>
  <c r="C5034" i="2"/>
  <c r="D5033" i="2"/>
  <c r="C5033" i="2"/>
  <c r="D5032" i="2"/>
  <c r="C5032" i="2"/>
  <c r="D5031" i="2"/>
  <c r="C5031" i="2"/>
  <c r="D5030" i="2"/>
  <c r="C5030" i="2"/>
  <c r="D5029" i="2"/>
  <c r="C5029" i="2"/>
  <c r="D5028" i="2"/>
  <c r="C5028" i="2"/>
  <c r="D5027" i="2"/>
  <c r="C5027" i="2"/>
  <c r="D5026" i="2"/>
  <c r="C5026" i="2"/>
  <c r="D5025" i="2"/>
  <c r="C5025" i="2"/>
  <c r="D5024" i="2"/>
  <c r="C5024" i="2"/>
  <c r="D5023" i="2"/>
  <c r="C5023" i="2"/>
  <c r="D5022" i="2"/>
  <c r="C5022" i="2"/>
  <c r="D5021" i="2"/>
  <c r="C5021" i="2"/>
  <c r="D5020" i="2"/>
  <c r="C5020" i="2"/>
  <c r="D5019" i="2"/>
  <c r="C5019" i="2"/>
  <c r="D5018" i="2"/>
  <c r="C5018" i="2"/>
  <c r="D5017" i="2"/>
  <c r="C5017" i="2"/>
  <c r="D5016" i="2"/>
  <c r="C5016" i="2"/>
  <c r="D5015" i="2"/>
  <c r="C5015" i="2"/>
  <c r="D5014" i="2"/>
  <c r="C5014" i="2"/>
  <c r="D5013" i="2"/>
  <c r="C5013" i="2"/>
  <c r="D5012" i="2"/>
  <c r="C5012" i="2"/>
  <c r="D5011" i="2"/>
  <c r="C5011" i="2"/>
  <c r="D5010" i="2"/>
  <c r="C5010" i="2"/>
  <c r="D5009" i="2"/>
  <c r="C5009" i="2"/>
  <c r="D5008" i="2"/>
  <c r="C5008" i="2"/>
  <c r="D5007" i="2"/>
  <c r="C5007" i="2"/>
  <c r="D5006" i="2"/>
  <c r="C5006" i="2"/>
  <c r="D5005" i="2"/>
  <c r="C5005" i="2"/>
  <c r="D5004" i="2"/>
  <c r="C5004" i="2"/>
  <c r="D5003" i="2"/>
  <c r="C5003" i="2"/>
  <c r="D5002" i="2"/>
  <c r="C5002" i="2"/>
  <c r="D5001" i="2"/>
  <c r="C5001" i="2"/>
  <c r="D5000" i="2"/>
  <c r="C5000" i="2"/>
  <c r="D4999" i="2"/>
  <c r="C4999" i="2"/>
  <c r="D4998" i="2"/>
  <c r="C4998" i="2"/>
  <c r="D4997" i="2"/>
  <c r="C4997" i="2"/>
  <c r="D4996" i="2"/>
  <c r="C4996" i="2"/>
  <c r="D4995" i="2"/>
  <c r="C4995" i="2"/>
  <c r="D4994" i="2"/>
  <c r="C4994" i="2"/>
  <c r="D4993" i="2"/>
  <c r="C4993" i="2"/>
  <c r="D4992" i="2"/>
  <c r="C4992" i="2"/>
  <c r="D4991" i="2"/>
  <c r="C4991" i="2"/>
  <c r="D4990" i="2"/>
  <c r="C4990" i="2"/>
  <c r="D4989" i="2"/>
  <c r="C4989" i="2"/>
  <c r="D4988" i="2"/>
  <c r="C4988" i="2"/>
  <c r="D4987" i="2"/>
  <c r="C4987" i="2"/>
  <c r="D4986" i="2"/>
  <c r="C4986" i="2"/>
  <c r="D4976" i="2"/>
  <c r="C4976" i="2"/>
  <c r="D4966" i="2"/>
  <c r="C4966" i="2"/>
  <c r="D4965" i="2"/>
  <c r="C4965" i="2"/>
  <c r="D4964" i="2"/>
  <c r="C4964" i="2"/>
  <c r="D4963" i="2"/>
  <c r="C4963" i="2"/>
  <c r="D4962" i="2"/>
  <c r="C4962" i="2"/>
  <c r="D4961" i="2"/>
  <c r="C4961" i="2"/>
  <c r="D4960" i="2"/>
  <c r="C4960" i="2"/>
  <c r="D4959" i="2"/>
  <c r="C4959" i="2"/>
  <c r="D4958" i="2"/>
  <c r="C4958" i="2"/>
  <c r="D4957" i="2"/>
  <c r="C4957" i="2"/>
  <c r="D4956" i="2"/>
  <c r="C4956" i="2"/>
  <c r="D4955" i="2"/>
  <c r="C4955" i="2"/>
  <c r="D4954" i="2"/>
  <c r="C4954" i="2"/>
  <c r="D4953" i="2"/>
  <c r="C4953" i="2"/>
  <c r="D4952" i="2"/>
  <c r="C4952" i="2"/>
  <c r="D4951" i="2"/>
  <c r="C4951" i="2"/>
  <c r="D4950" i="2"/>
  <c r="C4950" i="2"/>
  <c r="D4949" i="2"/>
  <c r="C4949" i="2"/>
  <c r="D4948" i="2"/>
  <c r="C4948" i="2"/>
  <c r="D4947" i="2"/>
  <c r="C4947" i="2"/>
  <c r="D4946" i="2"/>
  <c r="C4946" i="2"/>
  <c r="D4945" i="2"/>
  <c r="C4945" i="2"/>
  <c r="D4944" i="2"/>
  <c r="C4944" i="2"/>
  <c r="D4943" i="2"/>
  <c r="C4943" i="2"/>
  <c r="D4942" i="2"/>
  <c r="C4942" i="2"/>
  <c r="D4941" i="2"/>
  <c r="C4941" i="2"/>
  <c r="D4940" i="2"/>
  <c r="C4940" i="2"/>
  <c r="D4939" i="2"/>
  <c r="C4939" i="2"/>
  <c r="D4938" i="2"/>
  <c r="C4938" i="2"/>
  <c r="D4937" i="2"/>
  <c r="C4937" i="2"/>
  <c r="D4936" i="2"/>
  <c r="C4936" i="2"/>
  <c r="D4935" i="2"/>
  <c r="C4935" i="2"/>
  <c r="D4934" i="2"/>
  <c r="C4934" i="2"/>
  <c r="D4933" i="2"/>
  <c r="C4933" i="2"/>
  <c r="D4932" i="2"/>
  <c r="C4932" i="2"/>
  <c r="D4931" i="2"/>
  <c r="C4931" i="2"/>
  <c r="D4930" i="2"/>
  <c r="C4930" i="2"/>
  <c r="D4929" i="2"/>
  <c r="C4929" i="2"/>
  <c r="D4928" i="2"/>
  <c r="C4928" i="2"/>
  <c r="D4927" i="2"/>
  <c r="C4927" i="2"/>
  <c r="D4926" i="2"/>
  <c r="C4926" i="2"/>
  <c r="D4925" i="2"/>
  <c r="C4925" i="2"/>
  <c r="D4924" i="2"/>
  <c r="C4924" i="2"/>
  <c r="D4923" i="2"/>
  <c r="C4923" i="2"/>
  <c r="D4922" i="2"/>
  <c r="C4922" i="2"/>
  <c r="D4921" i="2"/>
  <c r="C4921" i="2"/>
  <c r="D4920" i="2"/>
  <c r="C4920" i="2"/>
  <c r="D4919" i="2"/>
  <c r="C4919" i="2"/>
  <c r="D4918" i="2"/>
  <c r="C4918" i="2"/>
  <c r="D4917" i="2"/>
  <c r="C4917" i="2"/>
  <c r="D4916" i="2"/>
  <c r="C4916" i="2"/>
  <c r="D4915" i="2"/>
  <c r="C4915" i="2"/>
  <c r="D4914" i="2"/>
  <c r="C4914" i="2"/>
  <c r="D4913" i="2"/>
  <c r="C4913" i="2"/>
  <c r="D4912" i="2"/>
  <c r="C4912" i="2"/>
  <c r="D4911" i="2"/>
  <c r="C4911" i="2"/>
  <c r="D4910" i="2"/>
  <c r="C4910" i="2"/>
  <c r="D4909" i="2"/>
  <c r="C4909" i="2"/>
  <c r="D4908" i="2"/>
  <c r="C4908" i="2"/>
  <c r="D4907" i="2"/>
  <c r="C4907" i="2"/>
  <c r="D4906" i="2"/>
  <c r="C4906" i="2"/>
  <c r="D4905" i="2"/>
  <c r="C4905" i="2"/>
  <c r="D4904" i="2"/>
  <c r="C4904" i="2"/>
  <c r="D4903" i="2"/>
  <c r="C4903" i="2"/>
  <c r="D4902" i="2"/>
  <c r="C4902" i="2"/>
  <c r="D4901" i="2"/>
  <c r="C4901" i="2"/>
  <c r="D4900" i="2"/>
  <c r="C4900" i="2"/>
  <c r="D4899" i="2"/>
  <c r="C4899" i="2"/>
  <c r="D4898" i="2"/>
  <c r="C4898" i="2"/>
  <c r="D4897" i="2"/>
  <c r="C4897" i="2"/>
  <c r="D4896" i="2"/>
  <c r="C4896" i="2"/>
  <c r="D4895" i="2"/>
  <c r="C4895" i="2"/>
  <c r="D4894" i="2"/>
  <c r="C4894" i="2"/>
  <c r="D4893" i="2"/>
  <c r="C4893" i="2"/>
  <c r="D4892" i="2"/>
  <c r="C4892" i="2"/>
  <c r="D4891" i="2"/>
  <c r="C4891" i="2"/>
  <c r="D4890" i="2"/>
  <c r="C4890" i="2"/>
  <c r="D4889" i="2"/>
  <c r="C4889" i="2"/>
  <c r="D4888" i="2"/>
  <c r="C4888" i="2"/>
  <c r="D4887" i="2"/>
  <c r="C4887" i="2"/>
  <c r="D4886" i="2"/>
  <c r="C4886" i="2"/>
  <c r="D4885" i="2"/>
  <c r="C4885" i="2"/>
  <c r="D4884" i="2"/>
  <c r="C4884" i="2"/>
  <c r="D4883" i="2"/>
  <c r="C4883" i="2"/>
  <c r="D4882" i="2"/>
  <c r="C4882" i="2"/>
  <c r="D4881" i="2"/>
  <c r="C4881" i="2"/>
  <c r="D4880" i="2"/>
  <c r="C4880" i="2"/>
  <c r="D4879" i="2"/>
  <c r="C4879" i="2"/>
  <c r="D4878" i="2"/>
  <c r="C4878" i="2"/>
  <c r="D4877" i="2"/>
  <c r="C4877" i="2"/>
  <c r="D4876" i="2"/>
  <c r="C4876" i="2"/>
  <c r="D4875" i="2"/>
  <c r="C4875" i="2"/>
  <c r="D4874" i="2"/>
  <c r="C4874" i="2"/>
  <c r="D4873" i="2"/>
  <c r="C4873" i="2"/>
  <c r="D4872" i="2"/>
  <c r="C4872" i="2"/>
  <c r="D4871" i="2"/>
  <c r="C4871" i="2"/>
  <c r="D4870" i="2"/>
  <c r="C4870" i="2"/>
  <c r="D4869" i="2"/>
  <c r="C4869" i="2"/>
  <c r="D4868" i="2"/>
  <c r="C4868" i="2"/>
  <c r="D4867" i="2"/>
  <c r="C4867" i="2"/>
  <c r="D4866" i="2"/>
  <c r="C4866" i="2"/>
  <c r="D4865" i="2"/>
  <c r="C4865" i="2"/>
  <c r="D4864" i="2"/>
  <c r="C4864" i="2"/>
  <c r="D4863" i="2"/>
  <c r="C4863" i="2"/>
  <c r="D4862" i="2"/>
  <c r="C4862" i="2"/>
  <c r="D4861" i="2"/>
  <c r="C4861" i="2"/>
  <c r="D4860" i="2"/>
  <c r="C4860" i="2"/>
  <c r="D4859" i="2"/>
  <c r="C4859" i="2"/>
  <c r="D4858" i="2"/>
  <c r="C4858" i="2"/>
  <c r="D4857" i="2"/>
  <c r="C4857" i="2"/>
  <c r="D4856" i="2"/>
  <c r="C4856" i="2"/>
  <c r="D4855" i="2"/>
  <c r="C4855" i="2"/>
  <c r="D4854" i="2"/>
  <c r="C4854" i="2"/>
  <c r="D4853" i="2"/>
  <c r="C4853" i="2"/>
  <c r="D4852" i="2"/>
  <c r="C4852" i="2"/>
  <c r="D4851" i="2"/>
  <c r="C4851" i="2"/>
  <c r="D4850" i="2"/>
  <c r="C4850" i="2"/>
  <c r="D4849" i="2"/>
  <c r="C4849" i="2"/>
  <c r="D4848" i="2"/>
  <c r="C4848" i="2"/>
  <c r="D4847" i="2"/>
  <c r="C4847" i="2"/>
  <c r="D4846" i="2"/>
  <c r="C4846" i="2"/>
  <c r="D4845" i="2"/>
  <c r="C4845" i="2"/>
  <c r="D4844" i="2"/>
  <c r="C4844" i="2"/>
  <c r="D4843" i="2"/>
  <c r="C4843" i="2"/>
  <c r="D4842" i="2"/>
  <c r="C4842" i="2"/>
  <c r="D4841" i="2"/>
  <c r="C4841" i="2"/>
  <c r="D4840" i="2"/>
  <c r="C4840" i="2"/>
  <c r="D4839" i="2"/>
  <c r="C4839" i="2"/>
  <c r="D4838" i="2"/>
  <c r="C4838" i="2"/>
  <c r="D4837" i="2"/>
  <c r="C4837" i="2"/>
  <c r="D4836" i="2"/>
  <c r="C4836" i="2"/>
  <c r="D4835" i="2"/>
  <c r="C4835" i="2"/>
  <c r="D4825" i="2"/>
  <c r="C4825" i="2"/>
  <c r="D4824" i="2"/>
  <c r="C4824" i="2"/>
  <c r="D4823" i="2"/>
  <c r="C4823" i="2"/>
  <c r="D4822" i="2"/>
  <c r="C4822" i="2"/>
  <c r="D4821" i="2"/>
  <c r="C4821" i="2"/>
  <c r="D4820" i="2"/>
  <c r="C4820" i="2"/>
  <c r="D4819" i="2"/>
  <c r="C4819" i="2"/>
  <c r="D4818" i="2"/>
  <c r="C4818" i="2"/>
  <c r="D4817" i="2"/>
  <c r="C4817" i="2"/>
  <c r="D4816" i="2"/>
  <c r="C4816" i="2"/>
  <c r="D4815" i="2"/>
  <c r="C4815" i="2"/>
  <c r="D4814" i="2"/>
  <c r="C4814" i="2"/>
  <c r="D4813" i="2"/>
  <c r="C4813" i="2"/>
  <c r="D4812" i="2"/>
  <c r="C4812" i="2"/>
  <c r="D4811" i="2"/>
  <c r="C4811" i="2"/>
  <c r="D4810" i="2"/>
  <c r="C4810" i="2"/>
  <c r="D4809" i="2"/>
  <c r="C4809" i="2"/>
  <c r="D4808" i="2"/>
  <c r="C4808" i="2"/>
  <c r="D4807" i="2"/>
  <c r="C4807" i="2"/>
  <c r="D4806" i="2"/>
  <c r="C4806" i="2"/>
  <c r="D4805" i="2"/>
  <c r="C4805" i="2"/>
  <c r="D4804" i="2"/>
  <c r="C4804" i="2"/>
  <c r="D4803" i="2"/>
  <c r="C4803" i="2"/>
  <c r="D4802" i="2"/>
  <c r="C4802" i="2"/>
  <c r="D4801" i="2"/>
  <c r="C4801" i="2"/>
  <c r="D4800" i="2"/>
  <c r="C4800" i="2"/>
  <c r="D4799" i="2"/>
  <c r="C4799" i="2"/>
  <c r="D4798" i="2"/>
  <c r="C4798" i="2"/>
  <c r="D4797" i="2"/>
  <c r="C4797" i="2"/>
  <c r="D4796" i="2"/>
  <c r="C4796" i="2"/>
  <c r="D4795" i="2"/>
  <c r="C4795" i="2"/>
  <c r="D4794" i="2"/>
  <c r="C4794" i="2"/>
  <c r="D4793" i="2"/>
  <c r="C4793" i="2"/>
  <c r="D4792" i="2"/>
  <c r="C4792" i="2"/>
  <c r="D4791" i="2"/>
  <c r="C4791" i="2"/>
  <c r="D4790" i="2"/>
  <c r="C4790" i="2"/>
  <c r="D4789" i="2"/>
  <c r="C4789" i="2"/>
  <c r="D4788" i="2"/>
  <c r="C4788" i="2"/>
  <c r="D4787" i="2"/>
  <c r="C4787" i="2"/>
  <c r="D4786" i="2"/>
  <c r="C4786" i="2"/>
  <c r="D4785" i="2"/>
  <c r="C4785" i="2"/>
  <c r="D4784" i="2"/>
  <c r="C4784" i="2"/>
  <c r="D4783" i="2"/>
  <c r="C4783" i="2"/>
  <c r="D4782" i="2"/>
  <c r="C4782" i="2"/>
  <c r="D4781" i="2"/>
  <c r="C4781" i="2"/>
  <c r="D4780" i="2"/>
  <c r="C4780" i="2"/>
  <c r="D4779" i="2"/>
  <c r="C4779" i="2"/>
  <c r="D4778" i="2"/>
  <c r="C4778" i="2"/>
  <c r="D4777" i="2"/>
  <c r="C4777" i="2"/>
  <c r="D4776" i="2"/>
  <c r="C4776" i="2"/>
  <c r="D4775" i="2"/>
  <c r="C4775" i="2"/>
  <c r="D4774" i="2"/>
  <c r="C4774" i="2"/>
  <c r="D4773" i="2"/>
  <c r="C4773" i="2"/>
  <c r="D4772" i="2"/>
  <c r="C4772" i="2"/>
  <c r="D4762" i="2"/>
  <c r="C4762" i="2"/>
  <c r="D4761" i="2"/>
  <c r="C4761" i="2"/>
  <c r="D4760" i="2"/>
  <c r="C4760" i="2"/>
  <c r="D4759" i="2"/>
  <c r="C4759" i="2"/>
  <c r="D4758" i="2"/>
  <c r="C4758" i="2"/>
  <c r="D4757" i="2"/>
  <c r="C4757" i="2"/>
  <c r="D4756" i="2"/>
  <c r="C4756" i="2"/>
  <c r="D4755" i="2"/>
  <c r="C4755" i="2"/>
  <c r="D4754" i="2"/>
  <c r="C4754" i="2"/>
  <c r="D4753" i="2"/>
  <c r="C4753" i="2"/>
  <c r="D4752" i="2"/>
  <c r="C4752" i="2"/>
  <c r="D4751" i="2"/>
  <c r="C4751" i="2"/>
  <c r="D4750" i="2"/>
  <c r="C4750" i="2"/>
  <c r="D4749" i="2"/>
  <c r="C4749" i="2"/>
  <c r="D4748" i="2"/>
  <c r="C4748" i="2"/>
  <c r="D4747" i="2"/>
  <c r="C4747" i="2"/>
  <c r="D4746" i="2"/>
  <c r="C4746" i="2"/>
  <c r="D4745" i="2"/>
  <c r="C4745" i="2"/>
  <c r="D4744" i="2"/>
  <c r="C4744" i="2"/>
  <c r="D4743" i="2"/>
  <c r="C4743" i="2"/>
  <c r="D4742" i="2"/>
  <c r="C4742" i="2"/>
  <c r="D4741" i="2"/>
  <c r="C4741" i="2"/>
  <c r="D4740" i="2"/>
  <c r="C4740" i="2"/>
  <c r="D4739" i="2"/>
  <c r="C4739" i="2"/>
  <c r="D4738" i="2"/>
  <c r="C4738" i="2"/>
  <c r="D4737" i="2"/>
  <c r="C4737" i="2"/>
  <c r="D4736" i="2"/>
  <c r="C4736" i="2"/>
  <c r="D4735" i="2"/>
  <c r="C4735" i="2"/>
  <c r="D4734" i="2"/>
  <c r="C4734" i="2"/>
  <c r="D4733" i="2"/>
  <c r="C4733" i="2"/>
  <c r="D4732" i="2"/>
  <c r="C4732" i="2"/>
  <c r="D4731" i="2"/>
  <c r="C4731" i="2"/>
  <c r="D4730" i="2"/>
  <c r="C4730" i="2"/>
  <c r="D4729" i="2"/>
  <c r="C4729" i="2"/>
  <c r="D4728" i="2"/>
  <c r="C4728" i="2"/>
  <c r="D4727" i="2"/>
  <c r="C4727" i="2"/>
  <c r="D4726" i="2"/>
  <c r="C4726" i="2"/>
  <c r="D4725" i="2"/>
  <c r="C4725" i="2"/>
  <c r="D4724" i="2"/>
  <c r="C4724" i="2"/>
  <c r="D4723" i="2"/>
  <c r="C4723" i="2"/>
  <c r="D4722" i="2"/>
  <c r="C4722" i="2"/>
  <c r="D4721" i="2"/>
  <c r="C4721" i="2"/>
  <c r="D4720" i="2"/>
  <c r="C4720" i="2"/>
  <c r="D4719" i="2"/>
  <c r="C4719" i="2"/>
  <c r="D4718" i="2"/>
  <c r="C4718" i="2"/>
  <c r="D4717" i="2"/>
  <c r="C4717" i="2"/>
  <c r="D4716" i="2"/>
  <c r="C4716" i="2"/>
  <c r="D4715" i="2"/>
  <c r="C4715" i="2"/>
  <c r="D4714" i="2"/>
  <c r="C4714" i="2"/>
  <c r="D4713" i="2"/>
  <c r="C4713" i="2"/>
  <c r="D4712" i="2"/>
  <c r="C4712" i="2"/>
  <c r="D4711" i="2"/>
  <c r="C4711" i="2"/>
  <c r="D4710" i="2"/>
  <c r="C4710" i="2"/>
  <c r="D4709" i="2"/>
  <c r="C4709" i="2"/>
  <c r="D4708" i="2"/>
  <c r="C4708" i="2"/>
  <c r="D4707" i="2"/>
  <c r="C4707" i="2"/>
  <c r="D4706" i="2"/>
  <c r="C4706" i="2"/>
  <c r="D4705" i="2"/>
  <c r="C4705" i="2"/>
  <c r="D4704" i="2"/>
  <c r="C4704" i="2"/>
  <c r="D4703" i="2"/>
  <c r="C4703" i="2"/>
  <c r="D4702" i="2"/>
  <c r="C4702" i="2"/>
  <c r="D4701" i="2"/>
  <c r="C4701" i="2"/>
  <c r="D4700" i="2"/>
  <c r="C4700" i="2"/>
  <c r="D4699" i="2"/>
  <c r="C4699" i="2"/>
  <c r="D4698" i="2"/>
  <c r="C4698" i="2"/>
  <c r="D4697" i="2"/>
  <c r="C4697" i="2"/>
  <c r="D4696" i="2"/>
  <c r="C4696" i="2"/>
  <c r="D4695" i="2"/>
  <c r="C4695" i="2"/>
  <c r="D4694" i="2"/>
  <c r="C4694" i="2"/>
  <c r="D4693" i="2"/>
  <c r="C4693" i="2"/>
  <c r="D4692" i="2"/>
  <c r="C4692" i="2"/>
  <c r="D4691" i="2"/>
  <c r="C4691" i="2"/>
  <c r="D4690" i="2"/>
  <c r="C4690" i="2"/>
  <c r="D4689" i="2"/>
  <c r="C4689" i="2"/>
  <c r="D4688" i="2"/>
  <c r="C4688" i="2"/>
  <c r="D4687" i="2"/>
  <c r="C4687" i="2"/>
  <c r="D4686" i="2"/>
  <c r="C4686" i="2"/>
  <c r="D4685" i="2"/>
  <c r="C4685" i="2"/>
  <c r="D4684" i="2"/>
  <c r="C4684" i="2"/>
  <c r="D4683" i="2"/>
  <c r="C4683" i="2"/>
  <c r="D4682" i="2"/>
  <c r="C4682" i="2"/>
  <c r="D4681" i="2"/>
  <c r="C4681" i="2"/>
  <c r="D4680" i="2"/>
  <c r="C4680" i="2"/>
  <c r="D4679" i="2"/>
  <c r="C4679" i="2"/>
  <c r="D4678" i="2"/>
  <c r="C4678" i="2"/>
  <c r="D4677" i="2"/>
  <c r="C4677" i="2"/>
  <c r="D4676" i="2"/>
  <c r="C4676" i="2"/>
  <c r="D4675" i="2"/>
  <c r="C4675" i="2"/>
  <c r="D4674" i="2"/>
  <c r="C4674" i="2"/>
  <c r="D4673" i="2"/>
  <c r="C4673" i="2"/>
  <c r="D4672" i="2"/>
  <c r="C4672" i="2"/>
  <c r="D4671" i="2"/>
  <c r="C4671" i="2"/>
  <c r="D4670" i="2"/>
  <c r="C4670" i="2"/>
  <c r="D4669" i="2"/>
  <c r="C4669" i="2"/>
  <c r="D4668" i="2"/>
  <c r="C4668" i="2"/>
  <c r="D4667" i="2"/>
  <c r="C4667" i="2"/>
  <c r="D4666" i="2"/>
  <c r="C4666" i="2"/>
  <c r="D4665" i="2"/>
  <c r="C4665" i="2"/>
  <c r="D4664" i="2"/>
  <c r="C4664" i="2"/>
  <c r="D4663" i="2"/>
  <c r="C4663" i="2"/>
  <c r="D4662" i="2"/>
  <c r="C4662" i="2"/>
  <c r="D4661" i="2"/>
  <c r="C4661" i="2"/>
  <c r="D4660" i="2"/>
  <c r="C4660" i="2"/>
  <c r="D4659" i="2"/>
  <c r="C4659" i="2"/>
  <c r="D4658" i="2"/>
  <c r="C4658" i="2"/>
  <c r="D4657" i="2"/>
  <c r="C4657" i="2"/>
  <c r="D4656" i="2"/>
  <c r="C4656" i="2"/>
  <c r="D4655" i="2"/>
  <c r="C4655" i="2"/>
  <c r="D4654" i="2"/>
  <c r="C4654" i="2"/>
  <c r="D4653" i="2"/>
  <c r="C4653" i="2"/>
  <c r="D4652" i="2"/>
  <c r="C4652" i="2"/>
  <c r="D4651" i="2"/>
  <c r="C4651" i="2"/>
  <c r="D4650" i="2"/>
  <c r="C4650" i="2"/>
  <c r="D4649" i="2"/>
  <c r="C4649" i="2"/>
  <c r="D4648" i="2"/>
  <c r="C4648" i="2"/>
  <c r="D4647" i="2"/>
  <c r="C4647" i="2"/>
  <c r="D4646" i="2"/>
  <c r="C4646" i="2"/>
  <c r="D4645" i="2"/>
  <c r="C4645" i="2"/>
  <c r="D4644" i="2"/>
  <c r="C4644" i="2"/>
  <c r="D4643" i="2"/>
  <c r="C4643" i="2"/>
  <c r="D4642" i="2"/>
  <c r="C4642" i="2"/>
  <c r="D4641" i="2"/>
  <c r="C4641" i="2"/>
  <c r="D4640" i="2"/>
  <c r="C4640" i="2"/>
  <c r="D4639" i="2"/>
  <c r="C4639" i="2"/>
  <c r="D4638" i="2"/>
  <c r="C4638" i="2"/>
  <c r="D4637" i="2"/>
  <c r="C4637" i="2"/>
  <c r="D4636" i="2"/>
  <c r="C4636" i="2"/>
  <c r="D4635" i="2"/>
  <c r="C4635" i="2"/>
  <c r="D4634" i="2"/>
  <c r="C4634" i="2"/>
  <c r="D4633" i="2"/>
  <c r="C4633" i="2"/>
  <c r="D4632" i="2"/>
  <c r="C4632" i="2"/>
  <c r="D4631" i="2"/>
  <c r="C4631" i="2"/>
  <c r="D4630" i="2"/>
  <c r="C4630" i="2"/>
  <c r="D4629" i="2"/>
  <c r="C4629" i="2"/>
  <c r="D4628" i="2"/>
  <c r="C4628" i="2"/>
  <c r="D4627" i="2"/>
  <c r="C4627" i="2"/>
  <c r="D4626" i="2"/>
  <c r="C4626" i="2"/>
  <c r="D4625" i="2"/>
  <c r="C4625" i="2"/>
  <c r="D4624" i="2"/>
  <c r="C4624" i="2"/>
  <c r="D4623" i="2"/>
  <c r="C4623" i="2"/>
  <c r="D4622" i="2"/>
  <c r="C4622" i="2"/>
  <c r="D4621" i="2"/>
  <c r="C4621" i="2"/>
  <c r="D4620" i="2"/>
  <c r="C4620" i="2"/>
  <c r="D4619" i="2"/>
  <c r="C4619" i="2"/>
  <c r="D4618" i="2"/>
  <c r="C4618" i="2"/>
  <c r="D4617" i="2"/>
  <c r="C4617" i="2"/>
  <c r="D4616" i="2"/>
  <c r="C4616" i="2"/>
  <c r="D4615" i="2"/>
  <c r="C4615" i="2"/>
  <c r="D4614" i="2"/>
  <c r="C4614" i="2"/>
  <c r="D4613" i="2"/>
  <c r="C4613" i="2"/>
  <c r="D4612" i="2"/>
  <c r="C4612" i="2"/>
  <c r="D4611" i="2"/>
  <c r="C4611" i="2"/>
  <c r="D4610" i="2"/>
  <c r="C4610" i="2"/>
  <c r="D4609" i="2"/>
  <c r="C4609" i="2"/>
  <c r="D4608" i="2"/>
  <c r="C4608" i="2"/>
  <c r="D4607" i="2"/>
  <c r="C4607" i="2"/>
  <c r="D4606" i="2"/>
  <c r="C4606" i="2"/>
  <c r="D4605" i="2"/>
  <c r="C4605" i="2"/>
  <c r="D4604" i="2"/>
  <c r="C4604" i="2"/>
  <c r="D4603" i="2"/>
  <c r="C4603" i="2"/>
  <c r="D4602" i="2"/>
  <c r="C4602" i="2"/>
  <c r="D4601" i="2"/>
  <c r="C4601" i="2"/>
  <c r="D4600" i="2"/>
  <c r="C4600" i="2"/>
  <c r="D4599" i="2"/>
  <c r="C4599" i="2"/>
  <c r="D4598" i="2"/>
  <c r="C4598" i="2"/>
  <c r="D4597" i="2"/>
  <c r="C4597" i="2"/>
  <c r="D4596" i="2"/>
  <c r="C4596" i="2"/>
  <c r="D4595" i="2"/>
  <c r="C4595" i="2"/>
  <c r="D4594" i="2"/>
  <c r="C4594" i="2"/>
  <c r="D4593" i="2"/>
  <c r="C4593" i="2"/>
  <c r="D4592" i="2"/>
  <c r="C4592" i="2"/>
  <c r="D4591" i="2"/>
  <c r="C4591" i="2"/>
  <c r="D4590" i="2"/>
  <c r="C4590" i="2"/>
  <c r="D4589" i="2"/>
  <c r="C4589" i="2"/>
  <c r="D4588" i="2"/>
  <c r="C4588" i="2"/>
  <c r="D4587" i="2"/>
  <c r="C4587" i="2"/>
  <c r="D4586" i="2"/>
  <c r="C4586" i="2"/>
  <c r="D4585" i="2"/>
  <c r="C4585" i="2"/>
  <c r="D4584" i="2"/>
  <c r="C4584" i="2"/>
  <c r="D4583" i="2"/>
  <c r="C4583" i="2"/>
  <c r="D4582" i="2"/>
  <c r="C4582" i="2"/>
  <c r="D4581" i="2"/>
  <c r="C4581" i="2"/>
  <c r="D4580" i="2"/>
  <c r="C4580" i="2"/>
  <c r="D4579" i="2"/>
  <c r="C4579" i="2"/>
  <c r="D4578" i="2"/>
  <c r="C4578" i="2"/>
  <c r="D4577" i="2"/>
  <c r="C4577" i="2"/>
  <c r="D4576" i="2"/>
  <c r="C4576" i="2"/>
  <c r="D4575" i="2"/>
  <c r="C4575" i="2"/>
  <c r="D4574" i="2"/>
  <c r="C4574" i="2"/>
  <c r="D4573" i="2"/>
  <c r="C4573" i="2"/>
  <c r="D4572" i="2"/>
  <c r="C4572" i="2"/>
  <c r="D4571" i="2"/>
  <c r="C4571" i="2"/>
  <c r="D4570" i="2"/>
  <c r="C4570" i="2"/>
  <c r="D4569" i="2"/>
  <c r="C4569" i="2"/>
  <c r="D4568" i="2"/>
  <c r="C4568" i="2"/>
  <c r="D4567" i="2"/>
  <c r="C4567" i="2"/>
  <c r="D4566" i="2"/>
  <c r="C4566" i="2"/>
  <c r="D4565" i="2"/>
  <c r="C4565" i="2"/>
  <c r="D4564" i="2"/>
  <c r="C4564" i="2"/>
  <c r="D4563" i="2"/>
  <c r="C4563" i="2"/>
  <c r="D4562" i="2"/>
  <c r="C4562" i="2"/>
  <c r="D4561" i="2"/>
  <c r="C4561" i="2"/>
  <c r="D4560" i="2"/>
  <c r="C4560" i="2"/>
  <c r="D4559" i="2"/>
  <c r="C4559" i="2"/>
  <c r="D4558" i="2"/>
  <c r="C4558" i="2"/>
  <c r="D4557" i="2"/>
  <c r="C4557" i="2"/>
  <c r="D4556" i="2"/>
  <c r="C4556" i="2"/>
  <c r="D4555" i="2"/>
  <c r="C4555" i="2"/>
  <c r="D4554" i="2"/>
  <c r="C4554" i="2"/>
  <c r="D4553" i="2"/>
  <c r="C4553" i="2"/>
  <c r="D4552" i="2"/>
  <c r="C4552" i="2"/>
  <c r="D4551" i="2"/>
  <c r="C4551" i="2"/>
  <c r="D4550" i="2"/>
  <c r="C4550" i="2"/>
  <c r="D4549" i="2"/>
  <c r="C4549" i="2"/>
  <c r="D4548" i="2"/>
  <c r="C4548" i="2"/>
  <c r="D4547" i="2"/>
  <c r="C4547" i="2"/>
  <c r="D4546" i="2"/>
  <c r="C4546" i="2"/>
  <c r="D4545" i="2"/>
  <c r="C4545" i="2"/>
  <c r="D4544" i="2"/>
  <c r="C4544" i="2"/>
  <c r="D4543" i="2"/>
  <c r="C4543" i="2"/>
  <c r="D4542" i="2"/>
  <c r="C4542" i="2"/>
  <c r="D4541" i="2"/>
  <c r="C4541" i="2"/>
  <c r="D4540" i="2"/>
  <c r="C4540" i="2"/>
  <c r="D4539" i="2"/>
  <c r="C4539" i="2"/>
  <c r="D4538" i="2"/>
  <c r="C4538" i="2"/>
  <c r="D4537" i="2"/>
  <c r="C4537" i="2"/>
  <c r="D4536" i="2"/>
  <c r="C4536" i="2"/>
  <c r="D4535" i="2"/>
  <c r="C4535" i="2"/>
  <c r="D4534" i="2"/>
  <c r="C4534" i="2"/>
  <c r="D4533" i="2"/>
  <c r="C4533" i="2"/>
  <c r="D4532" i="2"/>
  <c r="C4532" i="2"/>
  <c r="D4531" i="2"/>
  <c r="C4531" i="2"/>
  <c r="D4530" i="2"/>
  <c r="C4530" i="2"/>
  <c r="D4529" i="2"/>
  <c r="C4529" i="2"/>
  <c r="D4528" i="2"/>
  <c r="C4528" i="2"/>
  <c r="D4527" i="2"/>
  <c r="C4527" i="2"/>
  <c r="D4526" i="2"/>
  <c r="C4526" i="2"/>
  <c r="D4525" i="2"/>
  <c r="C4525" i="2"/>
  <c r="D4524" i="2"/>
  <c r="C4524" i="2"/>
  <c r="D4523" i="2"/>
  <c r="C4523" i="2"/>
  <c r="D4522" i="2"/>
  <c r="C4522" i="2"/>
  <c r="D4521" i="2"/>
  <c r="C4521" i="2"/>
  <c r="D4520" i="2"/>
  <c r="C4520" i="2"/>
  <c r="D4519" i="2"/>
  <c r="C4519" i="2"/>
  <c r="D4518" i="2"/>
  <c r="C4518" i="2"/>
  <c r="D4517" i="2"/>
  <c r="C4517" i="2"/>
  <c r="D4516" i="2"/>
  <c r="C4516" i="2"/>
  <c r="D4515" i="2"/>
  <c r="C4515" i="2"/>
  <c r="D4514" i="2"/>
  <c r="C4514" i="2"/>
  <c r="D4513" i="2"/>
  <c r="C4513" i="2"/>
  <c r="D4512" i="2"/>
  <c r="C4512" i="2"/>
  <c r="D4511" i="2"/>
  <c r="C4511" i="2"/>
  <c r="D4510" i="2"/>
  <c r="C4510" i="2"/>
  <c r="D4509" i="2"/>
  <c r="C4509" i="2"/>
  <c r="D4508" i="2"/>
  <c r="C4508" i="2"/>
  <c r="D4507" i="2"/>
  <c r="C4507" i="2"/>
  <c r="D4506" i="2"/>
  <c r="C4506" i="2"/>
  <c r="D4505" i="2"/>
  <c r="C4505" i="2"/>
  <c r="D4504" i="2"/>
  <c r="C4504" i="2"/>
  <c r="D4503" i="2"/>
  <c r="C4503" i="2"/>
  <c r="D4502" i="2"/>
  <c r="C4502" i="2"/>
  <c r="D4501" i="2"/>
  <c r="C4501" i="2"/>
  <c r="D4500" i="2"/>
  <c r="C4500" i="2"/>
  <c r="D4499" i="2"/>
  <c r="C4499" i="2"/>
  <c r="D4498" i="2"/>
  <c r="C4498" i="2"/>
  <c r="D4497" i="2"/>
  <c r="C4497" i="2"/>
  <c r="D4496" i="2"/>
  <c r="C4496" i="2"/>
  <c r="D4495" i="2"/>
  <c r="C4495" i="2"/>
  <c r="D4494" i="2"/>
  <c r="C4494" i="2"/>
  <c r="D4493" i="2"/>
  <c r="C4493" i="2"/>
  <c r="D4492" i="2"/>
  <c r="C4492" i="2"/>
  <c r="D4491" i="2"/>
  <c r="C4491" i="2"/>
  <c r="D4490" i="2"/>
  <c r="C4490" i="2"/>
  <c r="D4489" i="2"/>
  <c r="C4489" i="2"/>
  <c r="D4488" i="2"/>
  <c r="C4488" i="2"/>
  <c r="D4487" i="2"/>
  <c r="C4487" i="2"/>
  <c r="D4486" i="2"/>
  <c r="C4486" i="2"/>
  <c r="D4485" i="2"/>
  <c r="C4485" i="2"/>
  <c r="D4484" i="2"/>
  <c r="C4484" i="2"/>
  <c r="D4483" i="2"/>
  <c r="C4483" i="2"/>
  <c r="D4482" i="2"/>
  <c r="C4482" i="2"/>
  <c r="D4481" i="2"/>
  <c r="C4481" i="2"/>
  <c r="D4480" i="2"/>
  <c r="C4480" i="2"/>
  <c r="D4479" i="2"/>
  <c r="C4479" i="2"/>
  <c r="D4478" i="2"/>
  <c r="C4478" i="2"/>
  <c r="D4477" i="2"/>
  <c r="C4477" i="2"/>
  <c r="D4476" i="2"/>
  <c r="C4476" i="2"/>
  <c r="D4475" i="2"/>
  <c r="C4475" i="2"/>
  <c r="D4474" i="2"/>
  <c r="C4474" i="2"/>
  <c r="D4473" i="2"/>
  <c r="C4473" i="2"/>
  <c r="D4472" i="2"/>
  <c r="C4472" i="2"/>
  <c r="D4471" i="2"/>
  <c r="C4471" i="2"/>
  <c r="D4470" i="2"/>
  <c r="C4470" i="2"/>
  <c r="D4469" i="2"/>
  <c r="C4469" i="2"/>
  <c r="D4468" i="2"/>
  <c r="C4468" i="2"/>
  <c r="D4467" i="2"/>
  <c r="C4467" i="2"/>
  <c r="D4466" i="2"/>
  <c r="C4466" i="2"/>
  <c r="D4465" i="2"/>
  <c r="C4465" i="2"/>
  <c r="D4464" i="2"/>
  <c r="C4464" i="2"/>
  <c r="D4463" i="2"/>
  <c r="C4463" i="2"/>
  <c r="D4462" i="2"/>
  <c r="C4462" i="2"/>
  <c r="D4461" i="2"/>
  <c r="C4461" i="2"/>
  <c r="D4460" i="2"/>
  <c r="C4460" i="2"/>
  <c r="D4459" i="2"/>
  <c r="C4459" i="2"/>
  <c r="D4458" i="2"/>
  <c r="C4458" i="2"/>
  <c r="D4457" i="2"/>
  <c r="C4457" i="2"/>
  <c r="D4456" i="2"/>
  <c r="C4456" i="2"/>
  <c r="D4455" i="2"/>
  <c r="C4455" i="2"/>
  <c r="D4454" i="2"/>
  <c r="C4454" i="2"/>
  <c r="D4453" i="2"/>
  <c r="C4453" i="2"/>
  <c r="D4452" i="2"/>
  <c r="C4452" i="2"/>
  <c r="D4451" i="2"/>
  <c r="C4451" i="2"/>
  <c r="D4450" i="2"/>
  <c r="C4450" i="2"/>
  <c r="D4449" i="2"/>
  <c r="C4449" i="2"/>
  <c r="D4448" i="2"/>
  <c r="C4448" i="2"/>
  <c r="D4447" i="2"/>
  <c r="C4447" i="2"/>
  <c r="D4446" i="2"/>
  <c r="C4446" i="2"/>
  <c r="D4445" i="2"/>
  <c r="C4445" i="2"/>
  <c r="D4444" i="2"/>
  <c r="C4444" i="2"/>
  <c r="D4443" i="2"/>
  <c r="C4443" i="2"/>
  <c r="D4442" i="2"/>
  <c r="C4442" i="2"/>
  <c r="D4441" i="2"/>
  <c r="C4441" i="2"/>
  <c r="D4440" i="2"/>
  <c r="C4440" i="2"/>
  <c r="D4439" i="2"/>
  <c r="C4439" i="2"/>
  <c r="D4438" i="2"/>
  <c r="C4438" i="2"/>
  <c r="D4437" i="2"/>
  <c r="C4437" i="2"/>
  <c r="D4436" i="2"/>
  <c r="C4436" i="2"/>
  <c r="D4435" i="2"/>
  <c r="C4435" i="2"/>
  <c r="D4434" i="2"/>
  <c r="C4434" i="2"/>
  <c r="D4433" i="2"/>
  <c r="C4433" i="2"/>
  <c r="D4432" i="2"/>
  <c r="C4432" i="2"/>
  <c r="D4431" i="2"/>
  <c r="C4431" i="2"/>
  <c r="D4430" i="2"/>
  <c r="C4430" i="2"/>
  <c r="D4429" i="2"/>
  <c r="C4429" i="2"/>
  <c r="D4428" i="2"/>
  <c r="C4428" i="2"/>
  <c r="D4427" i="2"/>
  <c r="C4427" i="2"/>
  <c r="D4426" i="2"/>
  <c r="C4426" i="2"/>
  <c r="D4425" i="2"/>
  <c r="C4425" i="2"/>
  <c r="D4424" i="2"/>
  <c r="C4424" i="2"/>
  <c r="D4423" i="2"/>
  <c r="C4423" i="2"/>
  <c r="D4422" i="2"/>
  <c r="C4422" i="2"/>
  <c r="D4421" i="2"/>
  <c r="C4421" i="2"/>
  <c r="D4420" i="2"/>
  <c r="C4420" i="2"/>
  <c r="D4419" i="2"/>
  <c r="C4419" i="2"/>
  <c r="D4418" i="2"/>
  <c r="C4418" i="2"/>
  <c r="D4417" i="2"/>
  <c r="C4417" i="2"/>
  <c r="D4416" i="2"/>
  <c r="C4416" i="2"/>
  <c r="D4415" i="2"/>
  <c r="C4415" i="2"/>
  <c r="D4414" i="2"/>
  <c r="C4414" i="2"/>
  <c r="D4413" i="2"/>
  <c r="C4413" i="2"/>
  <c r="D4412" i="2"/>
  <c r="C4412" i="2"/>
  <c r="D4411" i="2"/>
  <c r="C4411" i="2"/>
  <c r="D4410" i="2"/>
  <c r="C4410" i="2"/>
  <c r="D4409" i="2"/>
  <c r="C4409" i="2"/>
  <c r="D4408" i="2"/>
  <c r="C4408" i="2"/>
  <c r="D4407" i="2"/>
  <c r="C4407" i="2"/>
  <c r="D4406" i="2"/>
  <c r="C4406" i="2"/>
  <c r="D4405" i="2"/>
  <c r="C4405" i="2"/>
  <c r="D4404" i="2"/>
  <c r="C4404" i="2"/>
  <c r="D4403" i="2"/>
  <c r="C4403" i="2"/>
  <c r="D4402" i="2"/>
  <c r="C4402" i="2"/>
  <c r="D4401" i="2"/>
  <c r="C4401" i="2"/>
  <c r="D4400" i="2"/>
  <c r="C4400" i="2"/>
  <c r="D4399" i="2"/>
  <c r="C4399" i="2"/>
  <c r="D4398" i="2"/>
  <c r="C4398" i="2"/>
  <c r="D4397" i="2"/>
  <c r="C4397" i="2"/>
  <c r="D4396" i="2"/>
  <c r="C4396" i="2"/>
  <c r="D4386" i="2"/>
  <c r="C4386" i="2"/>
  <c r="D4376" i="2"/>
  <c r="C4376" i="2"/>
  <c r="D4366" i="2"/>
  <c r="C4366" i="2"/>
  <c r="D4356" i="2"/>
  <c r="C4356" i="2"/>
  <c r="D4355" i="2"/>
  <c r="C4355" i="2"/>
  <c r="D4354" i="2"/>
  <c r="C4354" i="2"/>
  <c r="D4353" i="2"/>
  <c r="C4353" i="2"/>
  <c r="D4352" i="2"/>
  <c r="C4352" i="2"/>
  <c r="D4351" i="2"/>
  <c r="C4351" i="2"/>
  <c r="D4350" i="2"/>
  <c r="C4350" i="2"/>
  <c r="D4349" i="2"/>
  <c r="C4349" i="2"/>
  <c r="D4348" i="2"/>
  <c r="C4348" i="2"/>
  <c r="D4347" i="2"/>
  <c r="C4347" i="2"/>
  <c r="D4346" i="2"/>
  <c r="C4346" i="2"/>
  <c r="D4345" i="2"/>
  <c r="C4345" i="2"/>
  <c r="D4344" i="2"/>
  <c r="C4344" i="2"/>
  <c r="D4343" i="2"/>
  <c r="C4343" i="2"/>
  <c r="D4342" i="2"/>
  <c r="C4342" i="2"/>
  <c r="D4341" i="2"/>
  <c r="C4341" i="2"/>
  <c r="D4340" i="2"/>
  <c r="C4340" i="2"/>
  <c r="D4339" i="2"/>
  <c r="C4339" i="2"/>
  <c r="D4338" i="2"/>
  <c r="C4338" i="2"/>
  <c r="D4337" i="2"/>
  <c r="C4337" i="2"/>
  <c r="D4336" i="2"/>
  <c r="C4336" i="2"/>
  <c r="D4335" i="2"/>
  <c r="C4335" i="2"/>
  <c r="D4334" i="2"/>
  <c r="C4334" i="2"/>
  <c r="D4333" i="2"/>
  <c r="C4333" i="2"/>
  <c r="D4332" i="2"/>
  <c r="C4332" i="2"/>
  <c r="D4331" i="2"/>
  <c r="C4331" i="2"/>
  <c r="D4330" i="2"/>
  <c r="C4330" i="2"/>
  <c r="D4329" i="2"/>
  <c r="C4329" i="2"/>
  <c r="D4328" i="2"/>
  <c r="C4328" i="2"/>
  <c r="D4327" i="2"/>
  <c r="C4327" i="2"/>
  <c r="D4326" i="2"/>
  <c r="C4326" i="2"/>
  <c r="D4325" i="2"/>
  <c r="C4325" i="2"/>
  <c r="D4324" i="2"/>
  <c r="C4324" i="2"/>
  <c r="D4323" i="2"/>
  <c r="C4323" i="2"/>
  <c r="D4322" i="2"/>
  <c r="C4322" i="2"/>
  <c r="D4321" i="2"/>
  <c r="C4321" i="2"/>
  <c r="D4320" i="2"/>
  <c r="C4320" i="2"/>
  <c r="D4319" i="2"/>
  <c r="C4319" i="2"/>
  <c r="D4318" i="2"/>
  <c r="C4318" i="2"/>
  <c r="D4317" i="2"/>
  <c r="C4317" i="2"/>
  <c r="D4316" i="2"/>
  <c r="C4316" i="2"/>
  <c r="D4315" i="2"/>
  <c r="C4315" i="2"/>
  <c r="D4314" i="2"/>
  <c r="C4314" i="2"/>
  <c r="D4313" i="2"/>
  <c r="C4313" i="2"/>
  <c r="D4312" i="2"/>
  <c r="C4312" i="2"/>
  <c r="D4311" i="2"/>
  <c r="C4311" i="2"/>
  <c r="D4310" i="2"/>
  <c r="C4310" i="2"/>
  <c r="D4309" i="2"/>
  <c r="C4309" i="2"/>
  <c r="D4308" i="2"/>
  <c r="C4308" i="2"/>
  <c r="D4307" i="2"/>
  <c r="C4307" i="2"/>
  <c r="D4306" i="2"/>
  <c r="C4306" i="2"/>
  <c r="D4305" i="2"/>
  <c r="C4305" i="2"/>
  <c r="D4304" i="2"/>
  <c r="C4304" i="2"/>
  <c r="D4303" i="2"/>
  <c r="C4303" i="2"/>
  <c r="D4302" i="2"/>
  <c r="C4302" i="2"/>
  <c r="D4301" i="2"/>
  <c r="C4301" i="2"/>
  <c r="D4300" i="2"/>
  <c r="C4300" i="2"/>
  <c r="D4299" i="2"/>
  <c r="C4299" i="2"/>
  <c r="D4298" i="2"/>
  <c r="C4298" i="2"/>
  <c r="D4297" i="2"/>
  <c r="C4297" i="2"/>
  <c r="D4296" i="2"/>
  <c r="C4296" i="2"/>
  <c r="D4295" i="2"/>
  <c r="C4295" i="2"/>
  <c r="D4294" i="2"/>
  <c r="C4294" i="2"/>
  <c r="D4293" i="2"/>
  <c r="C4293" i="2"/>
  <c r="D4292" i="2"/>
  <c r="C4292" i="2"/>
  <c r="D4291" i="2"/>
  <c r="C4291" i="2"/>
  <c r="D4290" i="2"/>
  <c r="C4290" i="2"/>
  <c r="D4289" i="2"/>
  <c r="C4289" i="2"/>
  <c r="D4288" i="2"/>
  <c r="C4288" i="2"/>
  <c r="D4287" i="2"/>
  <c r="C4287" i="2"/>
  <c r="D4286" i="2"/>
  <c r="C4286" i="2"/>
  <c r="D4285" i="2"/>
  <c r="C4285" i="2"/>
  <c r="D4284" i="2"/>
  <c r="C4284" i="2"/>
  <c r="D4283" i="2"/>
  <c r="C4283" i="2"/>
  <c r="D4282" i="2"/>
  <c r="C4282" i="2"/>
  <c r="D4281" i="2"/>
  <c r="C4281" i="2"/>
  <c r="D4280" i="2"/>
  <c r="C4280" i="2"/>
  <c r="D4279" i="2"/>
  <c r="C4279" i="2"/>
  <c r="D4278" i="2"/>
  <c r="C4278" i="2"/>
  <c r="D4277" i="2"/>
  <c r="C4277" i="2"/>
  <c r="D4276" i="2"/>
  <c r="C4276" i="2"/>
  <c r="D4275" i="2"/>
  <c r="C4275" i="2"/>
  <c r="D4274" i="2"/>
  <c r="C4274" i="2"/>
  <c r="D4273" i="2"/>
  <c r="C4273" i="2"/>
  <c r="D4272" i="2"/>
  <c r="C4272" i="2"/>
  <c r="D4271" i="2"/>
  <c r="C4271" i="2"/>
  <c r="D4270" i="2"/>
  <c r="C4270" i="2"/>
  <c r="D4269" i="2"/>
  <c r="C4269" i="2"/>
  <c r="D4268" i="2"/>
  <c r="C4268" i="2"/>
  <c r="D4267" i="2"/>
  <c r="C4267" i="2"/>
  <c r="D4266" i="2"/>
  <c r="C4266" i="2"/>
  <c r="D4265" i="2"/>
  <c r="C4265" i="2"/>
  <c r="D4264" i="2"/>
  <c r="C4264" i="2"/>
  <c r="D4263" i="2"/>
  <c r="C4263" i="2"/>
  <c r="D4262" i="2"/>
  <c r="C4262" i="2"/>
  <c r="D4261" i="2"/>
  <c r="C4261" i="2"/>
  <c r="D4260" i="2"/>
  <c r="C4260" i="2"/>
  <c r="D4259" i="2"/>
  <c r="C4259" i="2"/>
  <c r="D4258" i="2"/>
  <c r="C4258" i="2"/>
  <c r="D4257" i="2"/>
  <c r="C4257" i="2"/>
  <c r="D4256" i="2"/>
  <c r="C4256" i="2"/>
  <c r="D4255" i="2"/>
  <c r="C4255" i="2"/>
  <c r="D4254" i="2"/>
  <c r="C4254" i="2"/>
  <c r="D4253" i="2"/>
  <c r="C4253" i="2"/>
  <c r="D4252" i="2"/>
  <c r="C4252" i="2"/>
  <c r="D4251" i="2"/>
  <c r="C4251" i="2"/>
  <c r="D4250" i="2"/>
  <c r="C4250" i="2"/>
  <c r="D4249" i="2"/>
  <c r="C4249" i="2"/>
  <c r="D4248" i="2"/>
  <c r="C4248" i="2"/>
  <c r="D4247" i="2"/>
  <c r="C4247" i="2"/>
  <c r="D4246" i="2"/>
  <c r="C4246" i="2"/>
  <c r="D4245" i="2"/>
  <c r="C4245" i="2"/>
  <c r="D4244" i="2"/>
  <c r="C4244" i="2"/>
  <c r="D4243" i="2"/>
  <c r="C4243" i="2"/>
  <c r="D4242" i="2"/>
  <c r="C4242" i="2"/>
  <c r="D4241" i="2"/>
  <c r="C4241" i="2"/>
  <c r="D4240" i="2"/>
  <c r="C4240" i="2"/>
  <c r="D4239" i="2"/>
  <c r="C4239" i="2"/>
  <c r="D4238" i="2"/>
  <c r="C4238" i="2"/>
  <c r="D4237" i="2"/>
  <c r="C4237" i="2"/>
  <c r="D4236" i="2"/>
  <c r="C4236" i="2"/>
  <c r="D4235" i="2"/>
  <c r="C4235" i="2"/>
  <c r="D4234" i="2"/>
  <c r="C4234" i="2"/>
  <c r="D4233" i="2"/>
  <c r="C4233" i="2"/>
  <c r="D4232" i="2"/>
  <c r="C4232" i="2"/>
  <c r="D4231" i="2"/>
  <c r="C4231" i="2"/>
  <c r="D4230" i="2"/>
  <c r="C4230" i="2"/>
  <c r="D4229" i="2"/>
  <c r="C4229" i="2"/>
  <c r="D4228" i="2"/>
  <c r="C4228" i="2"/>
  <c r="D4227" i="2"/>
  <c r="C4227" i="2"/>
  <c r="D4226" i="2"/>
  <c r="C4226" i="2"/>
  <c r="D4225" i="2"/>
  <c r="C4225" i="2"/>
  <c r="D4224" i="2"/>
  <c r="C4224" i="2"/>
  <c r="D4223" i="2"/>
  <c r="C4223" i="2"/>
  <c r="D4222" i="2"/>
  <c r="C4222" i="2"/>
  <c r="D4221" i="2"/>
  <c r="C4221" i="2"/>
  <c r="D4220" i="2"/>
  <c r="C4220" i="2"/>
  <c r="D4219" i="2"/>
  <c r="C4219" i="2"/>
  <c r="D4218" i="2"/>
  <c r="C4218" i="2"/>
  <c r="D4217" i="2"/>
  <c r="C4217" i="2"/>
  <c r="D4216" i="2"/>
  <c r="C4216" i="2"/>
  <c r="D4215" i="2"/>
  <c r="C4215" i="2"/>
  <c r="D4214" i="2"/>
  <c r="C4214" i="2"/>
  <c r="D4213" i="2"/>
  <c r="C4213" i="2"/>
  <c r="D4212" i="2"/>
  <c r="C4212" i="2"/>
  <c r="D4211" i="2"/>
  <c r="C4211" i="2"/>
  <c r="D4210" i="2"/>
  <c r="C4210" i="2"/>
  <c r="D4209" i="2"/>
  <c r="C4209" i="2"/>
  <c r="D4208" i="2"/>
  <c r="C4208" i="2"/>
  <c r="D4207" i="2"/>
  <c r="C4207" i="2"/>
  <c r="D4206" i="2"/>
  <c r="C4206" i="2"/>
  <c r="D4205" i="2"/>
  <c r="C4205" i="2"/>
  <c r="D4204" i="2"/>
  <c r="C4204" i="2"/>
  <c r="D4203" i="2"/>
  <c r="C4203" i="2"/>
  <c r="D4202" i="2"/>
  <c r="C4202" i="2"/>
  <c r="D4201" i="2"/>
  <c r="C4201" i="2"/>
  <c r="D4200" i="2"/>
  <c r="C4200" i="2"/>
  <c r="D4199" i="2"/>
  <c r="C4199" i="2"/>
  <c r="D4198" i="2"/>
  <c r="C4198" i="2"/>
  <c r="D4197" i="2"/>
  <c r="C4197" i="2"/>
  <c r="D4196" i="2"/>
  <c r="C4196" i="2"/>
  <c r="D4195" i="2"/>
  <c r="C4195" i="2"/>
  <c r="D4194" i="2"/>
  <c r="C4194" i="2"/>
  <c r="D4193" i="2"/>
  <c r="C4193" i="2"/>
  <c r="D4192" i="2"/>
  <c r="C4192" i="2"/>
  <c r="D4191" i="2"/>
  <c r="C4191" i="2"/>
  <c r="D4190" i="2"/>
  <c r="C4190" i="2"/>
  <c r="D4189" i="2"/>
  <c r="C4189" i="2"/>
  <c r="D4188" i="2"/>
  <c r="C4188" i="2"/>
  <c r="D4187" i="2"/>
  <c r="C4187" i="2"/>
  <c r="D4186" i="2"/>
  <c r="C4186" i="2"/>
  <c r="D4185" i="2"/>
  <c r="C4185" i="2"/>
  <c r="D4184" i="2"/>
  <c r="C4184" i="2"/>
  <c r="D4183" i="2"/>
  <c r="C4183" i="2"/>
  <c r="D4182" i="2"/>
  <c r="C4182" i="2"/>
  <c r="D4181" i="2"/>
  <c r="C4181" i="2"/>
  <c r="D4180" i="2"/>
  <c r="C4180" i="2"/>
  <c r="D4179" i="2"/>
  <c r="C4179" i="2"/>
  <c r="D4178" i="2"/>
  <c r="C4178" i="2"/>
  <c r="D4177" i="2"/>
  <c r="C4177" i="2"/>
  <c r="D4176" i="2"/>
  <c r="C4176" i="2"/>
  <c r="D4175" i="2"/>
  <c r="C4175" i="2"/>
  <c r="D4174" i="2"/>
  <c r="C4174" i="2"/>
  <c r="D4173" i="2"/>
  <c r="C4173" i="2"/>
  <c r="D4172" i="2"/>
  <c r="C4172" i="2"/>
  <c r="D4171" i="2"/>
  <c r="C4171" i="2"/>
  <c r="D4170" i="2"/>
  <c r="C4170" i="2"/>
  <c r="D4169" i="2"/>
  <c r="C4169" i="2"/>
  <c r="D4168" i="2"/>
  <c r="C4168" i="2"/>
  <c r="D4167" i="2"/>
  <c r="C4167" i="2"/>
  <c r="D4166" i="2"/>
  <c r="C4166" i="2"/>
  <c r="D4165" i="2"/>
  <c r="C4165" i="2"/>
  <c r="D4164" i="2"/>
  <c r="C4164" i="2"/>
  <c r="D4163" i="2"/>
  <c r="C4163" i="2"/>
  <c r="D4162" i="2"/>
  <c r="C4162" i="2"/>
  <c r="D4161" i="2"/>
  <c r="C4161" i="2"/>
  <c r="D4160" i="2"/>
  <c r="C4160" i="2"/>
  <c r="D4159" i="2"/>
  <c r="C4159" i="2"/>
  <c r="D4158" i="2"/>
  <c r="C4158" i="2"/>
  <c r="D4157" i="2"/>
  <c r="C4157" i="2"/>
  <c r="D4156" i="2"/>
  <c r="C4156" i="2"/>
  <c r="D4155" i="2"/>
  <c r="C4155" i="2"/>
  <c r="D4154" i="2"/>
  <c r="C4154" i="2"/>
  <c r="D4153" i="2"/>
  <c r="C4153" i="2"/>
  <c r="D4152" i="2"/>
  <c r="C4152" i="2"/>
  <c r="D4151" i="2"/>
  <c r="C4151" i="2"/>
  <c r="D4150" i="2"/>
  <c r="C4150" i="2"/>
  <c r="D4149" i="2"/>
  <c r="C4149" i="2"/>
  <c r="D4148" i="2"/>
  <c r="C4148" i="2"/>
  <c r="D4147" i="2"/>
  <c r="C4147" i="2"/>
  <c r="D4146" i="2"/>
  <c r="C4146" i="2"/>
  <c r="D4145" i="2"/>
  <c r="C4145" i="2"/>
  <c r="D4144" i="2"/>
  <c r="C4144" i="2"/>
  <c r="D4143" i="2"/>
  <c r="C4143" i="2"/>
  <c r="D4142" i="2"/>
  <c r="C4142" i="2"/>
  <c r="D4141" i="2"/>
  <c r="C4141" i="2"/>
  <c r="D4140" i="2"/>
  <c r="C4140" i="2"/>
  <c r="D4139" i="2"/>
  <c r="C4139" i="2"/>
  <c r="D4138" i="2"/>
  <c r="C4138" i="2"/>
  <c r="D4137" i="2"/>
  <c r="C4137" i="2"/>
  <c r="D4136" i="2"/>
  <c r="C4136" i="2"/>
  <c r="D4135" i="2"/>
  <c r="C4135" i="2"/>
  <c r="D4134" i="2"/>
  <c r="C4134" i="2"/>
  <c r="D4133" i="2"/>
  <c r="C4133" i="2"/>
  <c r="D4132" i="2"/>
  <c r="C4132" i="2"/>
  <c r="D4131" i="2"/>
  <c r="C4131" i="2"/>
  <c r="D4130" i="2"/>
  <c r="C4130" i="2"/>
  <c r="D4129" i="2"/>
  <c r="C4129" i="2"/>
  <c r="D4128" i="2"/>
  <c r="C4128" i="2"/>
  <c r="D4127" i="2"/>
  <c r="C4127" i="2"/>
  <c r="D4126" i="2"/>
  <c r="C4126" i="2"/>
  <c r="D4125" i="2"/>
  <c r="C4125" i="2"/>
  <c r="D4124" i="2"/>
  <c r="C4124" i="2"/>
  <c r="D4123" i="2"/>
  <c r="C4123" i="2"/>
  <c r="D4122" i="2"/>
  <c r="C4122" i="2"/>
  <c r="D4121" i="2"/>
  <c r="C4121" i="2"/>
  <c r="D4120" i="2"/>
  <c r="C4120" i="2"/>
  <c r="D4119" i="2"/>
  <c r="C4119" i="2"/>
  <c r="D4118" i="2"/>
  <c r="C4118" i="2"/>
  <c r="D4117" i="2"/>
  <c r="C4117" i="2"/>
  <c r="D4116" i="2"/>
  <c r="C4116" i="2"/>
  <c r="D4115" i="2"/>
  <c r="C4115" i="2"/>
  <c r="D4114" i="2"/>
  <c r="C4114" i="2"/>
  <c r="D4113" i="2"/>
  <c r="C4113" i="2"/>
  <c r="D4112" i="2"/>
  <c r="C4112" i="2"/>
  <c r="D4111" i="2"/>
  <c r="C4111" i="2"/>
  <c r="D4110" i="2"/>
  <c r="C4110" i="2"/>
  <c r="D4109" i="2"/>
  <c r="C4109" i="2"/>
  <c r="D4108" i="2"/>
  <c r="C4108" i="2"/>
  <c r="D4107" i="2"/>
  <c r="C4107" i="2"/>
  <c r="D4106" i="2"/>
  <c r="C4106" i="2"/>
  <c r="D4105" i="2"/>
  <c r="C4105" i="2"/>
  <c r="D4104" i="2"/>
  <c r="C4104" i="2"/>
  <c r="D4103" i="2"/>
  <c r="C4103" i="2"/>
  <c r="D4102" i="2"/>
  <c r="C4102" i="2"/>
  <c r="D4101" i="2"/>
  <c r="C4101" i="2"/>
  <c r="D4100" i="2"/>
  <c r="C4100" i="2"/>
  <c r="D4099" i="2"/>
  <c r="C4099" i="2"/>
  <c r="D4098" i="2"/>
  <c r="C4098" i="2"/>
  <c r="D4097" i="2"/>
  <c r="C4097" i="2"/>
  <c r="D4096" i="2"/>
  <c r="C4096" i="2"/>
  <c r="D4095" i="2"/>
  <c r="C4095" i="2"/>
  <c r="D4094" i="2"/>
  <c r="C4094" i="2"/>
  <c r="D4093" i="2"/>
  <c r="C4093" i="2"/>
  <c r="D4092" i="2"/>
  <c r="C4092" i="2"/>
  <c r="D4091" i="2"/>
  <c r="C4091" i="2"/>
  <c r="D4090" i="2"/>
  <c r="C4090" i="2"/>
  <c r="D4089" i="2"/>
  <c r="C4089" i="2"/>
  <c r="D4088" i="2"/>
  <c r="C4088" i="2"/>
  <c r="D4087" i="2"/>
  <c r="C4087" i="2"/>
  <c r="D4086" i="2"/>
  <c r="C4086" i="2"/>
  <c r="D4085" i="2"/>
  <c r="C4085" i="2"/>
  <c r="D4084" i="2"/>
  <c r="C4084" i="2"/>
  <c r="D4083" i="2"/>
  <c r="C4083" i="2"/>
  <c r="D4082" i="2"/>
  <c r="C4082" i="2"/>
  <c r="D4081" i="2"/>
  <c r="C4081" i="2"/>
  <c r="D4080" i="2"/>
  <c r="C4080" i="2"/>
  <c r="D4079" i="2"/>
  <c r="C4079" i="2"/>
  <c r="D4078" i="2"/>
  <c r="C4078" i="2"/>
  <c r="D4077" i="2"/>
  <c r="C4077" i="2"/>
  <c r="D4076" i="2"/>
  <c r="C4076" i="2"/>
  <c r="D4075" i="2"/>
  <c r="C4075" i="2"/>
  <c r="D4074" i="2"/>
  <c r="C4074" i="2"/>
  <c r="D4073" i="2"/>
  <c r="C4073" i="2"/>
  <c r="D4072" i="2"/>
  <c r="C4072" i="2"/>
  <c r="D4071" i="2"/>
  <c r="C4071" i="2"/>
  <c r="D4070" i="2"/>
  <c r="C4070" i="2"/>
  <c r="D4069" i="2"/>
  <c r="C4069" i="2"/>
  <c r="D4068" i="2"/>
  <c r="C4068" i="2"/>
  <c r="D4067" i="2"/>
  <c r="C4067" i="2"/>
  <c r="D4066" i="2"/>
  <c r="C4066" i="2"/>
  <c r="D4065" i="2"/>
  <c r="C4065" i="2"/>
  <c r="D4064" i="2"/>
  <c r="C4064" i="2"/>
  <c r="D4063" i="2"/>
  <c r="C4063" i="2"/>
  <c r="D4062" i="2"/>
  <c r="C4062" i="2"/>
  <c r="D4061" i="2"/>
  <c r="C4061" i="2"/>
  <c r="D4060" i="2"/>
  <c r="C4060" i="2"/>
  <c r="D4059" i="2"/>
  <c r="C4059" i="2"/>
  <c r="D4058" i="2"/>
  <c r="C4058" i="2"/>
  <c r="D4057" i="2"/>
  <c r="C4057" i="2"/>
  <c r="D4056" i="2"/>
  <c r="C4056" i="2"/>
  <c r="D4055" i="2"/>
  <c r="C4055" i="2"/>
  <c r="D4054" i="2"/>
  <c r="C4054" i="2"/>
  <c r="D4053" i="2"/>
  <c r="C4053" i="2"/>
  <c r="D4052" i="2"/>
  <c r="C4052" i="2"/>
  <c r="D4051" i="2"/>
  <c r="C4051" i="2"/>
  <c r="D4050" i="2"/>
  <c r="C4050" i="2"/>
  <c r="D4049" i="2"/>
  <c r="C4049" i="2"/>
  <c r="D4048" i="2"/>
  <c r="C4048" i="2"/>
  <c r="D4047" i="2"/>
  <c r="C4047" i="2"/>
  <c r="D4046" i="2"/>
  <c r="C4046" i="2"/>
  <c r="D4045" i="2"/>
  <c r="C4045" i="2"/>
  <c r="D4044" i="2"/>
  <c r="C4044" i="2"/>
  <c r="D4043" i="2"/>
  <c r="C4043" i="2"/>
  <c r="D4042" i="2"/>
  <c r="C4042" i="2"/>
  <c r="D4041" i="2"/>
  <c r="C4041" i="2"/>
  <c r="D4040" i="2"/>
  <c r="C4040" i="2"/>
  <c r="D4039" i="2"/>
  <c r="C4039" i="2"/>
  <c r="D4038" i="2"/>
  <c r="C4038" i="2"/>
  <c r="D4037" i="2"/>
  <c r="C4037" i="2"/>
  <c r="D4036" i="2"/>
  <c r="C4036" i="2"/>
  <c r="D4035" i="2"/>
  <c r="C4035" i="2"/>
  <c r="D4034" i="2"/>
  <c r="C4034" i="2"/>
  <c r="D4033" i="2"/>
  <c r="C4033" i="2"/>
  <c r="D4032" i="2"/>
  <c r="C4032" i="2"/>
  <c r="D4031" i="2"/>
  <c r="C4031" i="2"/>
  <c r="D4030" i="2"/>
  <c r="C4030" i="2"/>
  <c r="D4029" i="2"/>
  <c r="C4029" i="2"/>
  <c r="D4028" i="2"/>
  <c r="C4028" i="2"/>
  <c r="D4027" i="2"/>
  <c r="C4027" i="2"/>
  <c r="D4026" i="2"/>
  <c r="C4026" i="2"/>
  <c r="D4025" i="2"/>
  <c r="C4025" i="2"/>
  <c r="D4024" i="2"/>
  <c r="C4024" i="2"/>
  <c r="D4023" i="2"/>
  <c r="C4023" i="2"/>
  <c r="D4022" i="2"/>
  <c r="C4022" i="2"/>
  <c r="D4021" i="2"/>
  <c r="C4021" i="2"/>
  <c r="D4020" i="2"/>
  <c r="C4020" i="2"/>
  <c r="D4019" i="2"/>
  <c r="C4019" i="2"/>
  <c r="D4018" i="2"/>
  <c r="C4018" i="2"/>
  <c r="D4017" i="2"/>
  <c r="C4017" i="2"/>
  <c r="D4016" i="2"/>
  <c r="C4016" i="2"/>
  <c r="D4015" i="2"/>
  <c r="C4015" i="2"/>
  <c r="D4014" i="2"/>
  <c r="C4014" i="2"/>
  <c r="D4013" i="2"/>
  <c r="C4013" i="2"/>
  <c r="D4012" i="2"/>
  <c r="C4012" i="2"/>
  <c r="D4011" i="2"/>
  <c r="C4011" i="2"/>
  <c r="D4010" i="2"/>
  <c r="C4010" i="2"/>
  <c r="D4009" i="2"/>
  <c r="C4009" i="2"/>
  <c r="D4008" i="2"/>
  <c r="C4008" i="2"/>
  <c r="D4007" i="2"/>
  <c r="C4007" i="2"/>
  <c r="D4006" i="2"/>
  <c r="C4006" i="2"/>
  <c r="D4005" i="2"/>
  <c r="C4005" i="2"/>
  <c r="D4004" i="2"/>
  <c r="C4004" i="2"/>
  <c r="D4003" i="2"/>
  <c r="C4003" i="2"/>
  <c r="D4002" i="2"/>
  <c r="C4002" i="2"/>
  <c r="D4001" i="2"/>
  <c r="C4001" i="2"/>
  <c r="D4000" i="2"/>
  <c r="C4000" i="2"/>
  <c r="D3999" i="2"/>
  <c r="C3999" i="2"/>
  <c r="D3998" i="2"/>
  <c r="C3998" i="2"/>
  <c r="D3997" i="2"/>
  <c r="C3997" i="2"/>
  <c r="D3996" i="2"/>
  <c r="C3996" i="2"/>
  <c r="D3995" i="2"/>
  <c r="C3995" i="2"/>
  <c r="D3994" i="2"/>
  <c r="C3994" i="2"/>
  <c r="D3993" i="2"/>
  <c r="C3993" i="2"/>
  <c r="D3992" i="2"/>
  <c r="C3992" i="2"/>
  <c r="D3991" i="2"/>
  <c r="C3991" i="2"/>
  <c r="D3990" i="2"/>
  <c r="C3990" i="2"/>
  <c r="D3989" i="2"/>
  <c r="C3989" i="2"/>
  <c r="D3988" i="2"/>
  <c r="C3988" i="2"/>
  <c r="D3987" i="2"/>
  <c r="C3987" i="2"/>
  <c r="D3986" i="2"/>
  <c r="C3986" i="2"/>
  <c r="D3985" i="2"/>
  <c r="C3985" i="2"/>
  <c r="D3984" i="2"/>
  <c r="C3984" i="2"/>
  <c r="D3983" i="2"/>
  <c r="C3983" i="2"/>
  <c r="D3982" i="2"/>
  <c r="C3982" i="2"/>
  <c r="D3981" i="2"/>
  <c r="C3981" i="2"/>
  <c r="D3980" i="2"/>
  <c r="C3980" i="2"/>
  <c r="D3979" i="2"/>
  <c r="C3979" i="2"/>
  <c r="D3978" i="2"/>
  <c r="C3978" i="2"/>
  <c r="D3977" i="2"/>
  <c r="C3977" i="2"/>
  <c r="D3976" i="2"/>
  <c r="C3976" i="2"/>
  <c r="D3975" i="2"/>
  <c r="C3975" i="2"/>
  <c r="D3974" i="2"/>
  <c r="C3974" i="2"/>
  <c r="D3973" i="2"/>
  <c r="C3973" i="2"/>
  <c r="D3972" i="2"/>
  <c r="C3972" i="2"/>
  <c r="D3971" i="2"/>
  <c r="C3971" i="2"/>
  <c r="D3970" i="2"/>
  <c r="C3970" i="2"/>
  <c r="D3969" i="2"/>
  <c r="C3969" i="2"/>
  <c r="D3968" i="2"/>
  <c r="C3968" i="2"/>
  <c r="D3967" i="2"/>
  <c r="C3967" i="2"/>
  <c r="D3966" i="2"/>
  <c r="C3966" i="2"/>
  <c r="D3965" i="2"/>
  <c r="C3965" i="2"/>
  <c r="D3964" i="2"/>
  <c r="C3964" i="2"/>
  <c r="D3963" i="2"/>
  <c r="C3963" i="2"/>
  <c r="D3962" i="2"/>
  <c r="C3962" i="2"/>
  <c r="D3961" i="2"/>
  <c r="C3961" i="2"/>
  <c r="D3960" i="2"/>
  <c r="C3960" i="2"/>
  <c r="D3959" i="2"/>
  <c r="C3959" i="2"/>
  <c r="D3958" i="2"/>
  <c r="C3958" i="2"/>
  <c r="D3957" i="2"/>
  <c r="C3957" i="2"/>
  <c r="D3956" i="2"/>
  <c r="C3956" i="2"/>
  <c r="D3955" i="2"/>
  <c r="C3955" i="2"/>
  <c r="D3954" i="2"/>
  <c r="C3954" i="2"/>
  <c r="D3953" i="2"/>
  <c r="C3953" i="2"/>
  <c r="D3952" i="2"/>
  <c r="C3952" i="2"/>
  <c r="D3951" i="2"/>
  <c r="C3951" i="2"/>
  <c r="D3950" i="2"/>
  <c r="C3950" i="2"/>
  <c r="D3949" i="2"/>
  <c r="C3949" i="2"/>
  <c r="D3948" i="2"/>
  <c r="C3948" i="2"/>
  <c r="D3947" i="2"/>
  <c r="C3947" i="2"/>
  <c r="D3946" i="2"/>
  <c r="C3946" i="2"/>
  <c r="D3945" i="2"/>
  <c r="C3945" i="2"/>
  <c r="D3944" i="2"/>
  <c r="C3944" i="2"/>
  <c r="D3943" i="2"/>
  <c r="C3943" i="2"/>
  <c r="D3942" i="2"/>
  <c r="C3942" i="2"/>
  <c r="D3941" i="2"/>
  <c r="C3941" i="2"/>
  <c r="D3940" i="2"/>
  <c r="C3940" i="2"/>
  <c r="D3939" i="2"/>
  <c r="C3939" i="2"/>
  <c r="D3938" i="2"/>
  <c r="C3938" i="2"/>
  <c r="D3937" i="2"/>
  <c r="C3937" i="2"/>
  <c r="D3936" i="2"/>
  <c r="C3936" i="2"/>
  <c r="D3935" i="2"/>
  <c r="C3935" i="2"/>
  <c r="D3934" i="2"/>
  <c r="C3934" i="2"/>
  <c r="D3933" i="2"/>
  <c r="C3933" i="2"/>
  <c r="D3932" i="2"/>
  <c r="C3932" i="2"/>
  <c r="D3931" i="2"/>
  <c r="C3931" i="2"/>
  <c r="D3930" i="2"/>
  <c r="C3930" i="2"/>
  <c r="D3929" i="2"/>
  <c r="C3929" i="2"/>
  <c r="D3928" i="2"/>
  <c r="C3928" i="2"/>
  <c r="D3927" i="2"/>
  <c r="C3927" i="2"/>
  <c r="D3926" i="2"/>
  <c r="C3926" i="2"/>
  <c r="D3925" i="2"/>
  <c r="C3925" i="2"/>
  <c r="D3924" i="2"/>
  <c r="C3924" i="2"/>
  <c r="D3923" i="2"/>
  <c r="C3923" i="2"/>
  <c r="D3922" i="2"/>
  <c r="C3922" i="2"/>
  <c r="D3921" i="2"/>
  <c r="C3921" i="2"/>
  <c r="D3920" i="2"/>
  <c r="C3920" i="2"/>
  <c r="D3919" i="2"/>
  <c r="C3919" i="2"/>
  <c r="D3918" i="2"/>
  <c r="C3918" i="2"/>
  <c r="D3917" i="2"/>
  <c r="C3917" i="2"/>
  <c r="D3916" i="2"/>
  <c r="C3916" i="2"/>
  <c r="D3915" i="2"/>
  <c r="C3915" i="2"/>
  <c r="D3914" i="2"/>
  <c r="C3914" i="2"/>
  <c r="D3913" i="2"/>
  <c r="C3913" i="2"/>
  <c r="D3912" i="2"/>
  <c r="C3912" i="2"/>
  <c r="D3911" i="2"/>
  <c r="C3911" i="2"/>
  <c r="D3910" i="2"/>
  <c r="C3910" i="2"/>
  <c r="D3909" i="2"/>
  <c r="C3909" i="2"/>
  <c r="D3908" i="2"/>
  <c r="C3908" i="2"/>
  <c r="D3907" i="2"/>
  <c r="C3907" i="2"/>
  <c r="D3906" i="2"/>
  <c r="C3906" i="2"/>
  <c r="D3905" i="2"/>
  <c r="C3905" i="2"/>
  <c r="D3904" i="2"/>
  <c r="C3904" i="2"/>
  <c r="D3903" i="2"/>
  <c r="C3903" i="2"/>
  <c r="D3902" i="2"/>
  <c r="C3902" i="2"/>
  <c r="D3901" i="2"/>
  <c r="C3901" i="2"/>
  <c r="D3900" i="2"/>
  <c r="C3900" i="2"/>
  <c r="D3899" i="2"/>
  <c r="C3899" i="2"/>
  <c r="D3898" i="2"/>
  <c r="C3898" i="2"/>
  <c r="D3897" i="2"/>
  <c r="C3897" i="2"/>
  <c r="D3896" i="2"/>
  <c r="C3896" i="2"/>
  <c r="D3895" i="2"/>
  <c r="C3895" i="2"/>
  <c r="D3894" i="2"/>
  <c r="C3894" i="2"/>
  <c r="D3893" i="2"/>
  <c r="C3893" i="2"/>
  <c r="D3892" i="2"/>
  <c r="C3892" i="2"/>
  <c r="D3891" i="2"/>
  <c r="C3891" i="2"/>
  <c r="D3890" i="2"/>
  <c r="C3890" i="2"/>
  <c r="D3889" i="2"/>
  <c r="C3889" i="2"/>
  <c r="D3888" i="2"/>
  <c r="C3888" i="2"/>
  <c r="D3887" i="2"/>
  <c r="C3887" i="2"/>
  <c r="D3886" i="2"/>
  <c r="C3886" i="2"/>
  <c r="D3885" i="2"/>
  <c r="C3885" i="2"/>
  <c r="D3884" i="2"/>
  <c r="C3884" i="2"/>
  <c r="D3883" i="2"/>
  <c r="C3883" i="2"/>
  <c r="D3882" i="2"/>
  <c r="C3882" i="2"/>
  <c r="D3881" i="2"/>
  <c r="C3881" i="2"/>
  <c r="D3880" i="2"/>
  <c r="C3880" i="2"/>
  <c r="D3879" i="2"/>
  <c r="C3879" i="2"/>
  <c r="D3878" i="2"/>
  <c r="C3878" i="2"/>
  <c r="D3877" i="2"/>
  <c r="C3877" i="2"/>
  <c r="D3876" i="2"/>
  <c r="C3876" i="2"/>
  <c r="D3875" i="2"/>
  <c r="C3875" i="2"/>
  <c r="D3874" i="2"/>
  <c r="C3874" i="2"/>
  <c r="D3873" i="2"/>
  <c r="C3873" i="2"/>
  <c r="D3872" i="2"/>
  <c r="C3872" i="2"/>
  <c r="D3871" i="2"/>
  <c r="C3871" i="2"/>
  <c r="D3870" i="2"/>
  <c r="C3870" i="2"/>
  <c r="D3869" i="2"/>
  <c r="C3869" i="2"/>
  <c r="D3868" i="2"/>
  <c r="C3868" i="2"/>
  <c r="D3867" i="2"/>
  <c r="C3867" i="2"/>
  <c r="D3866" i="2"/>
  <c r="C3866" i="2"/>
  <c r="D3865" i="2"/>
  <c r="C3865" i="2"/>
  <c r="D3864" i="2"/>
  <c r="C3864" i="2"/>
  <c r="D3863" i="2"/>
  <c r="C3863" i="2"/>
  <c r="D3862" i="2"/>
  <c r="C3862" i="2"/>
  <c r="D3861" i="2"/>
  <c r="C3861" i="2"/>
  <c r="D3860" i="2"/>
  <c r="C3860" i="2"/>
  <c r="D3859" i="2"/>
  <c r="C3859" i="2"/>
  <c r="D3858" i="2"/>
  <c r="C3858" i="2"/>
  <c r="D3857" i="2"/>
  <c r="C3857" i="2"/>
  <c r="D3856" i="2"/>
  <c r="C3856" i="2"/>
  <c r="D3855" i="2"/>
  <c r="C3855" i="2"/>
  <c r="D3854" i="2"/>
  <c r="C3854" i="2"/>
  <c r="D3853" i="2"/>
  <c r="C3853" i="2"/>
  <c r="D3852" i="2"/>
  <c r="C3852" i="2"/>
  <c r="D3851" i="2"/>
  <c r="C3851" i="2"/>
  <c r="D3850" i="2"/>
  <c r="C3850" i="2"/>
  <c r="D3849" i="2"/>
  <c r="C3849" i="2"/>
  <c r="D3848" i="2"/>
  <c r="C3848" i="2"/>
  <c r="D3847" i="2"/>
  <c r="C3847" i="2"/>
  <c r="D3846" i="2"/>
  <c r="C3846" i="2"/>
  <c r="D3845" i="2"/>
  <c r="C3845" i="2"/>
  <c r="D3844" i="2"/>
  <c r="C3844" i="2"/>
  <c r="D3843" i="2"/>
  <c r="C3843" i="2"/>
  <c r="D3842" i="2"/>
  <c r="C3842" i="2"/>
  <c r="D3841" i="2"/>
  <c r="C3841" i="2"/>
  <c r="D3840" i="2"/>
  <c r="C3840" i="2"/>
  <c r="D3839" i="2"/>
  <c r="C3839" i="2"/>
  <c r="D3838" i="2"/>
  <c r="C3838" i="2"/>
  <c r="D3837" i="2"/>
  <c r="C3837" i="2"/>
  <c r="D3836" i="2"/>
  <c r="C3836" i="2"/>
  <c r="D3835" i="2"/>
  <c r="C3835" i="2"/>
  <c r="D3834" i="2"/>
  <c r="C3834" i="2"/>
  <c r="D3833" i="2"/>
  <c r="C3833" i="2"/>
  <c r="D3832" i="2"/>
  <c r="C3832" i="2"/>
  <c r="D3831" i="2"/>
  <c r="C3831" i="2"/>
  <c r="D3830" i="2"/>
  <c r="C3830" i="2"/>
  <c r="D3829" i="2"/>
  <c r="C3829" i="2"/>
  <c r="D3828" i="2"/>
  <c r="C3828" i="2"/>
  <c r="D3827" i="2"/>
  <c r="C3827" i="2"/>
  <c r="D3826" i="2"/>
  <c r="C3826" i="2"/>
  <c r="D3825" i="2"/>
  <c r="C3825" i="2"/>
  <c r="D3824" i="2"/>
  <c r="C3824" i="2"/>
  <c r="D3823" i="2"/>
  <c r="C3823" i="2"/>
  <c r="D3822" i="2"/>
  <c r="C3822" i="2"/>
  <c r="D3821" i="2"/>
  <c r="C3821" i="2"/>
  <c r="D3820" i="2"/>
  <c r="C3820" i="2"/>
  <c r="D3819" i="2"/>
  <c r="C3819" i="2"/>
  <c r="D3818" i="2"/>
  <c r="C3818" i="2"/>
  <c r="D3817" i="2"/>
  <c r="C3817" i="2"/>
  <c r="D3816" i="2"/>
  <c r="C3816" i="2"/>
  <c r="D3815" i="2"/>
  <c r="C3815" i="2"/>
  <c r="D3814" i="2"/>
  <c r="C3814" i="2"/>
  <c r="D3813" i="2"/>
  <c r="C3813" i="2"/>
  <c r="D3812" i="2"/>
  <c r="C3812" i="2"/>
  <c r="D3811" i="2"/>
  <c r="C3811" i="2"/>
  <c r="D3810" i="2"/>
  <c r="C3810" i="2"/>
  <c r="D3809" i="2"/>
  <c r="C3809" i="2"/>
  <c r="D3808" i="2"/>
  <c r="C3808" i="2"/>
  <c r="D3807" i="2"/>
  <c r="C3807" i="2"/>
  <c r="D3806" i="2"/>
  <c r="C3806" i="2"/>
  <c r="D3805" i="2"/>
  <c r="C3805" i="2"/>
  <c r="D3804" i="2"/>
  <c r="C3804" i="2"/>
  <c r="D3803" i="2"/>
  <c r="C3803" i="2"/>
  <c r="D3802" i="2"/>
  <c r="C3802" i="2"/>
  <c r="D3801" i="2"/>
  <c r="C3801" i="2"/>
  <c r="D3800" i="2"/>
  <c r="C3800" i="2"/>
  <c r="D3799" i="2"/>
  <c r="C3799" i="2"/>
  <c r="D3798" i="2"/>
  <c r="C3798" i="2"/>
  <c r="D3797" i="2"/>
  <c r="C3797" i="2"/>
  <c r="D3796" i="2"/>
  <c r="C3796" i="2"/>
  <c r="D3795" i="2"/>
  <c r="C3795" i="2"/>
  <c r="D3794" i="2"/>
  <c r="C3794" i="2"/>
  <c r="D3793" i="2"/>
  <c r="C3793" i="2"/>
  <c r="D3792" i="2"/>
  <c r="C3792" i="2"/>
  <c r="D3791" i="2"/>
  <c r="C3791" i="2"/>
  <c r="D3790" i="2"/>
  <c r="C3790" i="2"/>
  <c r="D3789" i="2"/>
  <c r="C3789" i="2"/>
  <c r="D3788" i="2"/>
  <c r="C3788" i="2"/>
  <c r="D3787" i="2"/>
  <c r="C3787" i="2"/>
  <c r="D3786" i="2"/>
  <c r="C3786" i="2"/>
  <c r="D3785" i="2"/>
  <c r="C3785" i="2"/>
  <c r="D3784" i="2"/>
  <c r="C3784" i="2"/>
  <c r="D3783" i="2"/>
  <c r="C3783" i="2"/>
  <c r="D3782" i="2"/>
  <c r="C3782" i="2"/>
  <c r="D3781" i="2"/>
  <c r="C3781" i="2"/>
  <c r="D3780" i="2"/>
  <c r="C3780" i="2"/>
  <c r="D3779" i="2"/>
  <c r="C3779" i="2"/>
  <c r="D3778" i="2"/>
  <c r="C3778" i="2"/>
  <c r="D3777" i="2"/>
  <c r="C3777" i="2"/>
  <c r="D3776" i="2"/>
  <c r="C3776" i="2"/>
  <c r="D3775" i="2"/>
  <c r="C3775" i="2"/>
  <c r="D3774" i="2"/>
  <c r="C3774" i="2"/>
  <c r="D3773" i="2"/>
  <c r="C3773" i="2"/>
  <c r="D3772" i="2"/>
  <c r="C3772" i="2"/>
  <c r="D3771" i="2"/>
  <c r="C3771" i="2"/>
  <c r="D3770" i="2"/>
  <c r="C3770" i="2"/>
  <c r="D3769" i="2"/>
  <c r="C3769" i="2"/>
  <c r="D3768" i="2"/>
  <c r="C3768" i="2"/>
  <c r="D3767" i="2"/>
  <c r="C3767" i="2"/>
  <c r="D3766" i="2"/>
  <c r="C3766" i="2"/>
  <c r="D3765" i="2"/>
  <c r="C3765" i="2"/>
  <c r="D3764" i="2"/>
  <c r="C3764" i="2"/>
  <c r="D3763" i="2"/>
  <c r="C3763" i="2"/>
  <c r="D3762" i="2"/>
  <c r="C3762" i="2"/>
  <c r="D3761" i="2"/>
  <c r="C3761" i="2"/>
  <c r="D3760" i="2"/>
  <c r="C3760" i="2"/>
  <c r="D3759" i="2"/>
  <c r="C3759" i="2"/>
  <c r="D3758" i="2"/>
  <c r="C3758" i="2"/>
  <c r="D3757" i="2"/>
  <c r="C3757" i="2"/>
  <c r="D3756" i="2"/>
  <c r="C3756" i="2"/>
  <c r="D3755" i="2"/>
  <c r="C3755" i="2"/>
  <c r="D3754" i="2"/>
  <c r="C3754" i="2"/>
  <c r="D3753" i="2"/>
  <c r="C3753" i="2"/>
  <c r="D3752" i="2"/>
  <c r="C3752" i="2"/>
  <c r="D3751" i="2"/>
  <c r="C3751" i="2"/>
  <c r="D3750" i="2"/>
  <c r="C3750" i="2"/>
  <c r="D3749" i="2"/>
  <c r="C3749" i="2"/>
  <c r="D3748" i="2"/>
  <c r="C3748" i="2"/>
  <c r="D3747" i="2"/>
  <c r="C3747" i="2"/>
  <c r="D3746" i="2"/>
  <c r="C3746" i="2"/>
  <c r="D3745" i="2"/>
  <c r="C3745" i="2"/>
  <c r="D3744" i="2"/>
  <c r="C3744" i="2"/>
  <c r="D3743" i="2"/>
  <c r="C3743" i="2"/>
  <c r="D3742" i="2"/>
  <c r="C3742" i="2"/>
  <c r="D3741" i="2"/>
  <c r="C3741" i="2"/>
  <c r="D3740" i="2"/>
  <c r="C3740" i="2"/>
  <c r="D3739" i="2"/>
  <c r="C3739" i="2"/>
  <c r="D3738" i="2"/>
  <c r="C3738" i="2"/>
  <c r="D3737" i="2"/>
  <c r="C3737" i="2"/>
  <c r="D3736" i="2"/>
  <c r="C3736" i="2"/>
  <c r="D3735" i="2"/>
  <c r="C3735" i="2"/>
  <c r="D3734" i="2"/>
  <c r="C3734" i="2"/>
  <c r="D3733" i="2"/>
  <c r="C3733" i="2"/>
  <c r="D3732" i="2"/>
  <c r="C3732" i="2"/>
  <c r="D3731" i="2"/>
  <c r="C3731" i="2"/>
  <c r="D3730" i="2"/>
  <c r="C3730" i="2"/>
  <c r="D3729" i="2"/>
  <c r="C3729" i="2"/>
  <c r="D3728" i="2"/>
  <c r="C3728" i="2"/>
  <c r="D3727" i="2"/>
  <c r="C3727" i="2"/>
  <c r="D3726" i="2"/>
  <c r="C3726" i="2"/>
  <c r="D3725" i="2"/>
  <c r="C3725" i="2"/>
  <c r="D3724" i="2"/>
  <c r="C3724" i="2"/>
  <c r="D3723" i="2"/>
  <c r="C3723" i="2"/>
  <c r="D3722" i="2"/>
  <c r="C3722" i="2"/>
  <c r="D3721" i="2"/>
  <c r="C3721" i="2"/>
  <c r="D3720" i="2"/>
  <c r="C3720" i="2"/>
  <c r="D3719" i="2"/>
  <c r="C3719" i="2"/>
  <c r="D3718" i="2"/>
  <c r="C3718" i="2"/>
  <c r="D3717" i="2"/>
  <c r="C3717" i="2"/>
  <c r="D3716" i="2"/>
  <c r="C3716" i="2"/>
  <c r="D3715" i="2"/>
  <c r="C3715" i="2"/>
  <c r="D3714" i="2"/>
  <c r="C3714" i="2"/>
  <c r="D3713" i="2"/>
  <c r="C3713" i="2"/>
  <c r="D3712" i="2"/>
  <c r="C3712" i="2"/>
  <c r="D3711" i="2"/>
  <c r="C3711" i="2"/>
  <c r="D3710" i="2"/>
  <c r="C3710" i="2"/>
  <c r="D3709" i="2"/>
  <c r="C3709" i="2"/>
  <c r="D3708" i="2"/>
  <c r="C3708" i="2"/>
  <c r="D3707" i="2"/>
  <c r="C3707" i="2"/>
  <c r="D3706" i="2"/>
  <c r="C3706" i="2"/>
  <c r="D3705" i="2"/>
  <c r="C3705" i="2"/>
  <c r="D3704" i="2"/>
  <c r="C3704" i="2"/>
  <c r="D3703" i="2"/>
  <c r="C3703" i="2"/>
  <c r="D3702" i="2"/>
  <c r="C3702" i="2"/>
  <c r="D3701" i="2"/>
  <c r="C3701" i="2"/>
  <c r="D3700" i="2"/>
  <c r="C3700" i="2"/>
  <c r="D3699" i="2"/>
  <c r="C3699" i="2"/>
  <c r="D3698" i="2"/>
  <c r="C3698" i="2"/>
  <c r="D3697" i="2"/>
  <c r="C3697" i="2"/>
  <c r="D3696" i="2"/>
  <c r="C3696" i="2"/>
  <c r="D3695" i="2"/>
  <c r="C3695" i="2"/>
  <c r="D3694" i="2"/>
  <c r="C3694" i="2"/>
  <c r="D3693" i="2"/>
  <c r="C3693" i="2"/>
  <c r="D3692" i="2"/>
  <c r="C3692" i="2"/>
  <c r="D3691" i="2"/>
  <c r="C3691" i="2"/>
  <c r="D3690" i="2"/>
  <c r="C3690" i="2"/>
  <c r="D3689" i="2"/>
  <c r="C3689" i="2"/>
  <c r="D3688" i="2"/>
  <c r="C3688" i="2"/>
  <c r="D3687" i="2"/>
  <c r="C3687" i="2"/>
  <c r="D3686" i="2"/>
  <c r="C3686" i="2"/>
  <c r="D3685" i="2"/>
  <c r="C3685" i="2"/>
  <c r="D3684" i="2"/>
  <c r="C3684" i="2"/>
  <c r="D3683" i="2"/>
  <c r="C3683" i="2"/>
  <c r="D3682" i="2"/>
  <c r="C3682" i="2"/>
  <c r="D3681" i="2"/>
  <c r="C3681" i="2"/>
  <c r="D3680" i="2"/>
  <c r="C3680" i="2"/>
  <c r="D3679" i="2"/>
  <c r="C3679" i="2"/>
  <c r="D3678" i="2"/>
  <c r="C3678" i="2"/>
  <c r="D3677" i="2"/>
  <c r="C3677" i="2"/>
  <c r="D3676" i="2"/>
  <c r="C3676" i="2"/>
  <c r="D3675" i="2"/>
  <c r="C3675" i="2"/>
  <c r="D3674" i="2"/>
  <c r="C3674" i="2"/>
  <c r="D3673" i="2"/>
  <c r="C3673" i="2"/>
  <c r="D3672" i="2"/>
  <c r="C3672" i="2"/>
  <c r="D3671" i="2"/>
  <c r="C3671" i="2"/>
  <c r="D3670" i="2"/>
  <c r="C3670" i="2"/>
  <c r="D3669" i="2"/>
  <c r="C3669" i="2"/>
  <c r="D3668" i="2"/>
  <c r="C3668" i="2"/>
  <c r="D3667" i="2"/>
  <c r="C3667" i="2"/>
  <c r="D3666" i="2"/>
  <c r="C3666" i="2"/>
  <c r="D3665" i="2"/>
  <c r="C3665" i="2"/>
  <c r="D3664" i="2"/>
  <c r="C3664" i="2"/>
  <c r="D3663" i="2"/>
  <c r="C3663" i="2"/>
  <c r="D3662" i="2"/>
  <c r="C3662" i="2"/>
  <c r="D3661" i="2"/>
  <c r="C3661" i="2"/>
  <c r="D3660" i="2"/>
  <c r="C3660" i="2"/>
  <c r="D3659" i="2"/>
  <c r="C3659" i="2"/>
  <c r="D3658" i="2"/>
  <c r="C3658" i="2"/>
  <c r="D3657" i="2"/>
  <c r="C3657" i="2"/>
  <c r="D3656" i="2"/>
  <c r="C3656" i="2"/>
  <c r="D3655" i="2"/>
  <c r="C3655" i="2"/>
  <c r="D3654" i="2"/>
  <c r="C3654" i="2"/>
  <c r="D3653" i="2"/>
  <c r="C3653" i="2"/>
  <c r="D3652" i="2"/>
  <c r="C3652" i="2"/>
  <c r="D3651" i="2"/>
  <c r="C3651" i="2"/>
  <c r="D3650" i="2"/>
  <c r="C3650" i="2"/>
  <c r="D3649" i="2"/>
  <c r="C3649" i="2"/>
  <c r="D3648" i="2"/>
  <c r="C3648" i="2"/>
  <c r="D3647" i="2"/>
  <c r="C3647" i="2"/>
  <c r="D3646" i="2"/>
  <c r="C3646" i="2"/>
  <c r="D3645" i="2"/>
  <c r="C3645" i="2"/>
  <c r="D3644" i="2"/>
  <c r="C3644" i="2"/>
  <c r="D3643" i="2"/>
  <c r="C3643" i="2"/>
  <c r="D3642" i="2"/>
  <c r="C3642" i="2"/>
  <c r="D3641" i="2"/>
  <c r="C3641" i="2"/>
  <c r="D3640" i="2"/>
  <c r="C3640" i="2"/>
  <c r="D3639" i="2"/>
  <c r="C3639" i="2"/>
  <c r="D3638" i="2"/>
  <c r="C3638" i="2"/>
  <c r="D3637" i="2"/>
  <c r="C3637" i="2"/>
  <c r="D3636" i="2"/>
  <c r="C3636" i="2"/>
  <c r="D3635" i="2"/>
  <c r="C3635" i="2"/>
  <c r="D3634" i="2"/>
  <c r="C3634" i="2"/>
  <c r="D3633" i="2"/>
  <c r="C3633" i="2"/>
  <c r="D3632" i="2"/>
  <c r="C3632" i="2"/>
  <c r="D3631" i="2"/>
  <c r="C3631" i="2"/>
  <c r="D3630" i="2"/>
  <c r="C3630" i="2"/>
  <c r="D3629" i="2"/>
  <c r="C3629" i="2"/>
  <c r="D3628" i="2"/>
  <c r="C3628" i="2"/>
  <c r="D3627" i="2"/>
  <c r="C3627" i="2"/>
  <c r="D3626" i="2"/>
  <c r="C3626" i="2"/>
  <c r="D3625" i="2"/>
  <c r="C3625" i="2"/>
  <c r="D3624" i="2"/>
  <c r="C3624" i="2"/>
  <c r="D3623" i="2"/>
  <c r="C3623" i="2"/>
  <c r="D3622" i="2"/>
  <c r="C3622" i="2"/>
  <c r="D3621" i="2"/>
  <c r="C3621" i="2"/>
  <c r="D3620" i="2"/>
  <c r="C3620" i="2"/>
  <c r="D3619" i="2"/>
  <c r="C3619" i="2"/>
  <c r="D3618" i="2"/>
  <c r="C3618" i="2"/>
  <c r="D3617" i="2"/>
  <c r="C3617" i="2"/>
  <c r="D3616" i="2"/>
  <c r="C3616" i="2"/>
  <c r="D3615" i="2"/>
  <c r="C3615" i="2"/>
  <c r="D3614" i="2"/>
  <c r="C3614" i="2"/>
  <c r="D3613" i="2"/>
  <c r="C3613" i="2"/>
  <c r="D3612" i="2"/>
  <c r="C3612" i="2"/>
  <c r="D3611" i="2"/>
  <c r="C3611" i="2"/>
  <c r="D3610" i="2"/>
  <c r="C3610" i="2"/>
  <c r="D3609" i="2"/>
  <c r="C3609" i="2"/>
  <c r="D3608" i="2"/>
  <c r="C3608" i="2"/>
  <c r="D3607" i="2"/>
  <c r="C3607" i="2"/>
  <c r="D3606" i="2"/>
  <c r="C3606" i="2"/>
  <c r="D3605" i="2"/>
  <c r="C3605" i="2"/>
  <c r="D3604" i="2"/>
  <c r="C3604" i="2"/>
  <c r="D3603" i="2"/>
  <c r="C3603" i="2"/>
  <c r="D3602" i="2"/>
  <c r="C3602" i="2"/>
  <c r="D3601" i="2"/>
  <c r="C3601" i="2"/>
  <c r="D3600" i="2"/>
  <c r="C3600" i="2"/>
  <c r="D3599" i="2"/>
  <c r="C3599" i="2"/>
  <c r="D3598" i="2"/>
  <c r="C3598" i="2"/>
  <c r="D3597" i="2"/>
  <c r="C3597" i="2"/>
  <c r="D3596" i="2"/>
  <c r="C3596" i="2"/>
  <c r="D3595" i="2"/>
  <c r="C3595" i="2"/>
  <c r="D3594" i="2"/>
  <c r="C3594" i="2"/>
  <c r="D3593" i="2"/>
  <c r="C3593" i="2"/>
  <c r="D3592" i="2"/>
  <c r="C3592" i="2"/>
  <c r="D3591" i="2"/>
  <c r="C3591" i="2"/>
  <c r="D3590" i="2"/>
  <c r="C3590" i="2"/>
  <c r="D3589" i="2"/>
  <c r="C3589" i="2"/>
  <c r="D3588" i="2"/>
  <c r="C3588" i="2"/>
  <c r="D3587" i="2"/>
  <c r="C3587" i="2"/>
  <c r="D3586" i="2"/>
  <c r="C3586" i="2"/>
  <c r="D3585" i="2"/>
  <c r="C3585" i="2"/>
  <c r="D3584" i="2"/>
  <c r="C3584" i="2"/>
  <c r="D3583" i="2"/>
  <c r="C3583" i="2"/>
  <c r="D3582" i="2"/>
  <c r="C3582" i="2"/>
  <c r="D3581" i="2"/>
  <c r="C3581" i="2"/>
  <c r="D3580" i="2"/>
  <c r="C3580" i="2"/>
  <c r="D3579" i="2"/>
  <c r="C3579" i="2"/>
  <c r="D3578" i="2"/>
  <c r="C3578" i="2"/>
  <c r="D3577" i="2"/>
  <c r="C3577" i="2"/>
  <c r="D3576" i="2"/>
  <c r="C3576" i="2"/>
  <c r="D3575" i="2"/>
  <c r="C3575" i="2"/>
  <c r="D3574" i="2"/>
  <c r="C3574" i="2"/>
  <c r="D3573" i="2"/>
  <c r="C3573" i="2"/>
  <c r="D3572" i="2"/>
  <c r="C3572" i="2"/>
  <c r="D3571" i="2"/>
  <c r="C3571" i="2"/>
  <c r="D3570" i="2"/>
  <c r="C3570" i="2"/>
  <c r="D3569" i="2"/>
  <c r="C3569" i="2"/>
  <c r="D3568" i="2"/>
  <c r="C3568" i="2"/>
  <c r="D3567" i="2"/>
  <c r="C3567" i="2"/>
  <c r="D3566" i="2"/>
  <c r="C3566" i="2"/>
  <c r="D3565" i="2"/>
  <c r="C3565" i="2"/>
  <c r="D3564" i="2"/>
  <c r="C3564" i="2"/>
  <c r="D3563" i="2"/>
  <c r="C3563" i="2"/>
  <c r="D3562" i="2"/>
  <c r="C3562" i="2"/>
  <c r="D3561" i="2"/>
  <c r="C3561" i="2"/>
  <c r="D3560" i="2"/>
  <c r="C3560" i="2"/>
  <c r="D3559" i="2"/>
  <c r="C3559" i="2"/>
  <c r="D3558" i="2"/>
  <c r="C3558" i="2"/>
  <c r="D3557" i="2"/>
  <c r="C3557" i="2"/>
  <c r="D3556" i="2"/>
  <c r="C3556" i="2"/>
  <c r="D3555" i="2"/>
  <c r="C3555" i="2"/>
  <c r="D3554" i="2"/>
  <c r="C3554" i="2"/>
  <c r="D3553" i="2"/>
  <c r="C3553" i="2"/>
  <c r="D3552" i="2"/>
  <c r="C3552" i="2"/>
  <c r="D3551" i="2"/>
  <c r="C3551" i="2"/>
  <c r="D3550" i="2"/>
  <c r="C3550" i="2"/>
  <c r="D3549" i="2"/>
  <c r="C3549" i="2"/>
  <c r="D3548" i="2"/>
  <c r="C3548" i="2"/>
  <c r="D3547" i="2"/>
  <c r="C3547" i="2"/>
  <c r="D3546" i="2"/>
  <c r="C3546" i="2"/>
  <c r="D3545" i="2"/>
  <c r="C3545" i="2"/>
  <c r="D3544" i="2"/>
  <c r="C3544" i="2"/>
  <c r="D3543" i="2"/>
  <c r="C3543" i="2"/>
  <c r="D3542" i="2"/>
  <c r="C3542" i="2"/>
  <c r="D3541" i="2"/>
  <c r="C3541" i="2"/>
  <c r="D3540" i="2"/>
  <c r="C3540" i="2"/>
  <c r="D3539" i="2"/>
  <c r="C3539" i="2"/>
  <c r="D3538" i="2"/>
  <c r="C3538" i="2"/>
  <c r="D3537" i="2"/>
  <c r="C3537" i="2"/>
  <c r="D3536" i="2"/>
  <c r="C3536" i="2"/>
  <c r="D3535" i="2"/>
  <c r="C3535" i="2"/>
  <c r="D3534" i="2"/>
  <c r="C3534" i="2"/>
  <c r="D3533" i="2"/>
  <c r="C3533" i="2"/>
  <c r="D3532" i="2"/>
  <c r="C3532" i="2"/>
  <c r="D3531" i="2"/>
  <c r="C3531" i="2"/>
  <c r="D3530" i="2"/>
  <c r="C3530" i="2"/>
  <c r="D3529" i="2"/>
  <c r="C3529" i="2"/>
  <c r="D3528" i="2"/>
  <c r="C3528" i="2"/>
  <c r="D3527" i="2"/>
  <c r="C3527" i="2"/>
  <c r="D3526" i="2"/>
  <c r="C3526" i="2"/>
  <c r="D3525" i="2"/>
  <c r="C3525" i="2"/>
  <c r="D3524" i="2"/>
  <c r="C3524" i="2"/>
  <c r="D3523" i="2"/>
  <c r="C3523" i="2"/>
  <c r="D3522" i="2"/>
  <c r="C3522" i="2"/>
  <c r="D3521" i="2"/>
  <c r="C3521" i="2"/>
  <c r="D3520" i="2"/>
  <c r="C3520" i="2"/>
  <c r="D3519" i="2"/>
  <c r="C3519" i="2"/>
  <c r="D3518" i="2"/>
  <c r="C3518" i="2"/>
  <c r="D3517" i="2"/>
  <c r="C3517" i="2"/>
  <c r="D3516" i="2"/>
  <c r="C3516" i="2"/>
  <c r="D3515" i="2"/>
  <c r="C3515" i="2"/>
  <c r="D3514" i="2"/>
  <c r="C3514" i="2"/>
  <c r="D3513" i="2"/>
  <c r="C3513" i="2"/>
  <c r="D3512" i="2"/>
  <c r="C3512" i="2"/>
  <c r="D3511" i="2"/>
  <c r="C3511" i="2"/>
  <c r="D3510" i="2"/>
  <c r="C3510" i="2"/>
  <c r="D3509" i="2"/>
  <c r="C3509" i="2"/>
  <c r="D3508" i="2"/>
  <c r="C3508" i="2"/>
  <c r="D3507" i="2"/>
  <c r="C3507" i="2"/>
  <c r="D3506" i="2"/>
  <c r="C3506" i="2"/>
  <c r="D3505" i="2"/>
  <c r="C3505" i="2"/>
  <c r="D3504" i="2"/>
  <c r="C3504" i="2"/>
  <c r="D3503" i="2"/>
  <c r="C3503" i="2"/>
  <c r="D3502" i="2"/>
  <c r="C3502" i="2"/>
  <c r="D3501" i="2"/>
  <c r="C3501" i="2"/>
  <c r="D3500" i="2"/>
  <c r="C3500" i="2"/>
  <c r="D3499" i="2"/>
  <c r="C3499" i="2"/>
  <c r="D3498" i="2"/>
  <c r="C3498" i="2"/>
  <c r="D3497" i="2"/>
  <c r="C3497" i="2"/>
  <c r="D3496" i="2"/>
  <c r="C3496" i="2"/>
  <c r="D3495" i="2"/>
  <c r="C3495" i="2"/>
  <c r="D3494" i="2"/>
  <c r="C3494" i="2"/>
  <c r="D3493" i="2"/>
  <c r="C3493" i="2"/>
  <c r="D3492" i="2"/>
  <c r="C3492" i="2"/>
  <c r="D3491" i="2"/>
  <c r="C3491" i="2"/>
  <c r="D3490" i="2"/>
  <c r="C3490" i="2"/>
  <c r="D3489" i="2"/>
  <c r="C3489" i="2"/>
  <c r="D3488" i="2"/>
  <c r="C3488" i="2"/>
  <c r="D3487" i="2"/>
  <c r="C3487" i="2"/>
  <c r="D3486" i="2"/>
  <c r="C3486" i="2"/>
  <c r="D3485" i="2"/>
  <c r="C3485" i="2"/>
  <c r="D3484" i="2"/>
  <c r="C3484" i="2"/>
  <c r="D3483" i="2"/>
  <c r="C3483" i="2"/>
  <c r="D3482" i="2"/>
  <c r="C3482" i="2"/>
  <c r="D3481" i="2"/>
  <c r="C3481" i="2"/>
  <c r="D3471" i="2"/>
  <c r="C3471" i="2"/>
  <c r="D3470" i="2"/>
  <c r="C3470" i="2"/>
  <c r="D3469" i="2"/>
  <c r="C3469" i="2"/>
  <c r="D3468" i="2"/>
  <c r="C3468" i="2"/>
  <c r="D3467" i="2"/>
  <c r="C3467" i="2"/>
  <c r="D3466" i="2"/>
  <c r="C3466" i="2"/>
  <c r="D3465" i="2"/>
  <c r="C3465" i="2"/>
  <c r="D3464" i="2"/>
  <c r="C3464" i="2"/>
  <c r="D3463" i="2"/>
  <c r="C3463" i="2"/>
  <c r="D3462" i="2"/>
  <c r="C3462" i="2"/>
  <c r="D3461" i="2"/>
  <c r="C3461" i="2"/>
  <c r="D3460" i="2"/>
  <c r="C3460" i="2"/>
  <c r="D3459" i="2"/>
  <c r="C3459" i="2"/>
  <c r="D3458" i="2"/>
  <c r="C3458" i="2"/>
  <c r="D3457" i="2"/>
  <c r="C3457" i="2"/>
  <c r="D3456" i="2"/>
  <c r="C3456" i="2"/>
  <c r="D3455" i="2"/>
  <c r="C3455" i="2"/>
  <c r="D3454" i="2"/>
  <c r="C3454" i="2"/>
  <c r="D3453" i="2"/>
  <c r="C3453" i="2"/>
  <c r="D3452" i="2"/>
  <c r="C3452" i="2"/>
  <c r="D3451" i="2"/>
  <c r="C3451" i="2"/>
  <c r="D3450" i="2"/>
  <c r="C3450" i="2"/>
  <c r="D3449" i="2"/>
  <c r="C3449" i="2"/>
  <c r="D3448" i="2"/>
  <c r="C3448" i="2"/>
  <c r="D3447" i="2"/>
  <c r="C3447" i="2"/>
  <c r="D3446" i="2"/>
  <c r="C3446" i="2"/>
  <c r="D3445" i="2"/>
  <c r="C3445" i="2"/>
  <c r="D3444" i="2"/>
  <c r="C3444" i="2"/>
  <c r="D3443" i="2"/>
  <c r="C3443" i="2"/>
  <c r="D3442" i="2"/>
  <c r="C3442" i="2"/>
  <c r="D3441" i="2"/>
  <c r="C3441" i="2"/>
  <c r="D3440" i="2"/>
  <c r="C3440" i="2"/>
  <c r="D3439" i="2"/>
  <c r="C3439" i="2"/>
  <c r="D3438" i="2"/>
  <c r="C3438" i="2"/>
  <c r="D3437" i="2"/>
  <c r="C3437" i="2"/>
  <c r="D3436" i="2"/>
  <c r="C3436" i="2"/>
  <c r="D3435" i="2"/>
  <c r="C3435" i="2"/>
  <c r="D3434" i="2"/>
  <c r="C3434" i="2"/>
  <c r="D3433" i="2"/>
  <c r="C3433" i="2"/>
  <c r="D3432" i="2"/>
  <c r="C3432" i="2"/>
  <c r="D3431" i="2"/>
  <c r="C3431" i="2"/>
  <c r="D3430" i="2"/>
  <c r="C3430" i="2"/>
  <c r="D3429" i="2"/>
  <c r="C3429" i="2"/>
  <c r="D3428" i="2"/>
  <c r="C3428" i="2"/>
  <c r="D3427" i="2"/>
  <c r="C3427" i="2"/>
  <c r="D3426" i="2"/>
  <c r="C3426" i="2"/>
  <c r="D3425" i="2"/>
  <c r="C3425" i="2"/>
  <c r="D3424" i="2"/>
  <c r="C3424" i="2"/>
  <c r="D3423" i="2"/>
  <c r="C3423" i="2"/>
  <c r="D3422" i="2"/>
  <c r="C3422" i="2"/>
  <c r="D3421" i="2"/>
  <c r="C3421" i="2"/>
  <c r="D3420" i="2"/>
  <c r="C3420" i="2"/>
  <c r="D3419" i="2"/>
  <c r="C3419" i="2"/>
  <c r="D3418" i="2"/>
  <c r="C3418" i="2"/>
  <c r="D3417" i="2"/>
  <c r="C3417" i="2"/>
  <c r="D3416" i="2"/>
  <c r="C3416" i="2"/>
  <c r="D3415" i="2"/>
  <c r="C3415" i="2"/>
  <c r="D3414" i="2"/>
  <c r="C3414" i="2"/>
  <c r="D3413" i="2"/>
  <c r="C3413" i="2"/>
  <c r="D3412" i="2"/>
  <c r="C3412" i="2"/>
  <c r="D3411" i="2"/>
  <c r="C3411" i="2"/>
  <c r="D3410" i="2"/>
  <c r="C3410" i="2"/>
  <c r="D3409" i="2"/>
  <c r="C3409" i="2"/>
  <c r="D3408" i="2"/>
  <c r="C3408" i="2"/>
  <c r="D3407" i="2"/>
  <c r="C3407" i="2"/>
  <c r="D3406" i="2"/>
  <c r="C3406" i="2"/>
  <c r="D3405" i="2"/>
  <c r="C3405" i="2"/>
  <c r="D3404" i="2"/>
  <c r="C3404" i="2"/>
  <c r="D3403" i="2"/>
  <c r="C3403" i="2"/>
  <c r="D3402" i="2"/>
  <c r="C3402" i="2"/>
  <c r="D3401" i="2"/>
  <c r="C3401" i="2"/>
  <c r="D3400" i="2"/>
  <c r="C3400" i="2"/>
  <c r="D3399" i="2"/>
  <c r="C3399" i="2"/>
  <c r="D3398" i="2"/>
  <c r="C3398" i="2"/>
  <c r="D3397" i="2"/>
  <c r="C3397" i="2"/>
  <c r="D3396" i="2"/>
  <c r="C3396" i="2"/>
  <c r="D3395" i="2"/>
  <c r="C3395" i="2"/>
  <c r="D3394" i="2"/>
  <c r="C3394" i="2"/>
  <c r="D3393" i="2"/>
  <c r="C3393" i="2"/>
  <c r="D3392" i="2"/>
  <c r="C3392" i="2"/>
  <c r="D3391" i="2"/>
  <c r="C3391" i="2"/>
  <c r="D3390" i="2"/>
  <c r="C3390" i="2"/>
  <c r="D3389" i="2"/>
  <c r="C3389" i="2"/>
  <c r="D3388" i="2"/>
  <c r="C3388" i="2"/>
  <c r="D3387" i="2"/>
  <c r="C3387" i="2"/>
  <c r="D3386" i="2"/>
  <c r="C3386" i="2"/>
  <c r="D3385" i="2"/>
  <c r="C3385" i="2"/>
  <c r="D3384" i="2"/>
  <c r="C3384" i="2"/>
  <c r="D3383" i="2"/>
  <c r="C3383" i="2"/>
  <c r="D3382" i="2"/>
  <c r="C3382" i="2"/>
  <c r="D3381" i="2"/>
  <c r="C3381" i="2"/>
  <c r="D3380" i="2"/>
  <c r="C3380" i="2"/>
  <c r="D3379" i="2"/>
  <c r="C3379" i="2"/>
  <c r="D3378" i="2"/>
  <c r="C3378" i="2"/>
  <c r="D3377" i="2"/>
  <c r="C3377" i="2"/>
  <c r="D3376" i="2"/>
  <c r="C3376" i="2"/>
  <c r="D3375" i="2"/>
  <c r="C3375" i="2"/>
  <c r="D3374" i="2"/>
  <c r="C3374" i="2"/>
  <c r="D3373" i="2"/>
  <c r="C3373" i="2"/>
  <c r="D3372" i="2"/>
  <c r="C3372" i="2"/>
  <c r="D3371" i="2"/>
  <c r="C3371" i="2"/>
  <c r="D3370" i="2"/>
  <c r="C3370" i="2"/>
  <c r="D3369" i="2"/>
  <c r="C3369" i="2"/>
  <c r="D3368" i="2"/>
  <c r="C3368" i="2"/>
  <c r="D3367" i="2"/>
  <c r="C3367" i="2"/>
  <c r="D3366" i="2"/>
  <c r="C3366" i="2"/>
  <c r="D3365" i="2"/>
  <c r="C3365" i="2"/>
  <c r="D3364" i="2"/>
  <c r="C3364" i="2"/>
  <c r="D3363" i="2"/>
  <c r="C3363" i="2"/>
  <c r="D3362" i="2"/>
  <c r="C3362" i="2"/>
  <c r="D3361" i="2"/>
  <c r="C3361" i="2"/>
  <c r="D3360" i="2"/>
  <c r="C3360" i="2"/>
  <c r="D3359" i="2"/>
  <c r="C3359" i="2"/>
  <c r="D3358" i="2"/>
  <c r="C3358" i="2"/>
  <c r="D3357" i="2"/>
  <c r="C3357" i="2"/>
  <c r="D3356" i="2"/>
  <c r="C3356" i="2"/>
  <c r="D3355" i="2"/>
  <c r="C3355" i="2"/>
  <c r="D3354" i="2"/>
  <c r="C3354" i="2"/>
  <c r="D3353" i="2"/>
  <c r="C3353" i="2"/>
  <c r="D3352" i="2"/>
  <c r="C3352" i="2"/>
  <c r="D3351" i="2"/>
  <c r="C3351" i="2"/>
  <c r="D3350" i="2"/>
  <c r="C3350" i="2"/>
  <c r="D3349" i="2"/>
  <c r="C3349" i="2"/>
  <c r="D3348" i="2"/>
  <c r="C3348" i="2"/>
  <c r="D3347" i="2"/>
  <c r="C3347" i="2"/>
  <c r="D3346" i="2"/>
  <c r="C3346" i="2"/>
  <c r="D3345" i="2"/>
  <c r="C3345" i="2"/>
  <c r="D3344" i="2"/>
  <c r="C3344" i="2"/>
  <c r="D3343" i="2"/>
  <c r="C3343" i="2"/>
  <c r="D3342" i="2"/>
  <c r="C3342" i="2"/>
  <c r="D3341" i="2"/>
  <c r="C3341" i="2"/>
  <c r="D3340" i="2"/>
  <c r="C3340" i="2"/>
  <c r="D3339" i="2"/>
  <c r="C3339" i="2"/>
  <c r="D3338" i="2"/>
  <c r="C3338" i="2"/>
  <c r="D3337" i="2"/>
  <c r="C3337" i="2"/>
  <c r="D3336" i="2"/>
  <c r="C3336" i="2"/>
  <c r="D3335" i="2"/>
  <c r="C3335" i="2"/>
  <c r="D3334" i="2"/>
  <c r="C3334" i="2"/>
  <c r="D3333" i="2"/>
  <c r="C3333" i="2"/>
  <c r="D3332" i="2"/>
  <c r="C3332" i="2"/>
  <c r="D3331" i="2"/>
  <c r="C3331" i="2"/>
  <c r="D3330" i="2"/>
  <c r="C3330" i="2"/>
  <c r="D3329" i="2"/>
  <c r="C3329" i="2"/>
  <c r="D3328" i="2"/>
  <c r="C3328" i="2"/>
  <c r="D3327" i="2"/>
  <c r="C3327" i="2"/>
  <c r="D3326" i="2"/>
  <c r="C3326" i="2"/>
  <c r="D3325" i="2"/>
  <c r="C3325" i="2"/>
  <c r="D3324" i="2"/>
  <c r="C3324" i="2"/>
  <c r="D3323" i="2"/>
  <c r="C3323" i="2"/>
  <c r="D3322" i="2"/>
  <c r="C3322" i="2"/>
  <c r="D3321" i="2"/>
  <c r="C3321" i="2"/>
  <c r="D3320" i="2"/>
  <c r="C3320" i="2"/>
  <c r="D3319" i="2"/>
  <c r="C3319" i="2"/>
  <c r="D3318" i="2"/>
  <c r="C3318" i="2"/>
  <c r="D3317" i="2"/>
  <c r="C3317" i="2"/>
  <c r="D3316" i="2"/>
  <c r="C3316" i="2"/>
  <c r="D3315" i="2"/>
  <c r="C3315" i="2"/>
  <c r="D3314" i="2"/>
  <c r="C3314" i="2"/>
  <c r="D3313" i="2"/>
  <c r="C3313" i="2"/>
  <c r="D3312" i="2"/>
  <c r="C3312" i="2"/>
  <c r="D3311" i="2"/>
  <c r="C3311" i="2"/>
  <c r="D3310" i="2"/>
  <c r="C3310" i="2"/>
  <c r="D3309" i="2"/>
  <c r="C3309" i="2"/>
  <c r="D3308" i="2"/>
  <c r="C3308" i="2"/>
  <c r="D3307" i="2"/>
  <c r="C3307" i="2"/>
  <c r="D3306" i="2"/>
  <c r="C3306" i="2"/>
  <c r="D3305" i="2"/>
  <c r="C3305" i="2"/>
  <c r="D3304" i="2"/>
  <c r="C3304" i="2"/>
  <c r="D3303" i="2"/>
  <c r="C3303" i="2"/>
  <c r="D3302" i="2"/>
  <c r="C3302" i="2"/>
  <c r="D3301" i="2"/>
  <c r="C3301" i="2"/>
  <c r="D3300" i="2"/>
  <c r="C3300" i="2"/>
  <c r="D3299" i="2"/>
  <c r="C3299" i="2"/>
  <c r="D3298" i="2"/>
  <c r="C3298" i="2"/>
  <c r="D3297" i="2"/>
  <c r="C3297" i="2"/>
  <c r="D3296" i="2"/>
  <c r="C3296" i="2"/>
  <c r="D3295" i="2"/>
  <c r="C3295" i="2"/>
  <c r="D3294" i="2"/>
  <c r="C3294" i="2"/>
  <c r="D3293" i="2"/>
  <c r="C3293" i="2"/>
  <c r="D3292" i="2"/>
  <c r="C3292" i="2"/>
  <c r="D3291" i="2"/>
  <c r="C3291" i="2"/>
  <c r="D3290" i="2"/>
  <c r="C3290" i="2"/>
  <c r="D3289" i="2"/>
  <c r="C3289" i="2"/>
  <c r="D3288" i="2"/>
  <c r="C3288" i="2"/>
  <c r="D3287" i="2"/>
  <c r="C3287" i="2"/>
  <c r="D3286" i="2"/>
  <c r="C3286" i="2"/>
  <c r="D3285" i="2"/>
  <c r="C3285" i="2"/>
  <c r="D3284" i="2"/>
  <c r="C3284" i="2"/>
  <c r="D3283" i="2"/>
  <c r="C3283" i="2"/>
  <c r="D3282" i="2"/>
  <c r="C3282" i="2"/>
  <c r="D3281" i="2"/>
  <c r="C3281" i="2"/>
  <c r="D3280" i="2"/>
  <c r="C3280" i="2"/>
  <c r="D3279" i="2"/>
  <c r="C3279" i="2"/>
  <c r="D3278" i="2"/>
  <c r="C3278" i="2"/>
  <c r="D3277" i="2"/>
  <c r="C3277" i="2"/>
  <c r="D3276" i="2"/>
  <c r="C3276" i="2"/>
  <c r="D3275" i="2"/>
  <c r="C3275" i="2"/>
  <c r="D3274" i="2"/>
  <c r="C3274" i="2"/>
  <c r="D3273" i="2"/>
  <c r="C3273" i="2"/>
  <c r="D3272" i="2"/>
  <c r="C3272" i="2"/>
  <c r="D3271" i="2"/>
  <c r="C3271" i="2"/>
  <c r="D3270" i="2"/>
  <c r="C3270" i="2"/>
  <c r="D3269" i="2"/>
  <c r="C3269" i="2"/>
  <c r="D3268" i="2"/>
  <c r="C3268" i="2"/>
  <c r="D3267" i="2"/>
  <c r="C3267" i="2"/>
  <c r="D3266" i="2"/>
  <c r="C3266" i="2"/>
  <c r="D3265" i="2"/>
  <c r="C3265" i="2"/>
  <c r="D3264" i="2"/>
  <c r="C3264" i="2"/>
  <c r="D3263" i="2"/>
  <c r="C3263" i="2"/>
  <c r="D3262" i="2"/>
  <c r="C3262" i="2"/>
  <c r="D3261" i="2"/>
  <c r="C3261" i="2"/>
  <c r="D3260" i="2"/>
  <c r="C3260" i="2"/>
  <c r="D3259" i="2"/>
  <c r="C3259" i="2"/>
  <c r="D3258" i="2"/>
  <c r="C3258" i="2"/>
  <c r="D3257" i="2"/>
  <c r="C3257" i="2"/>
  <c r="D3256" i="2"/>
  <c r="C3256" i="2"/>
  <c r="D3255" i="2"/>
  <c r="C3255" i="2"/>
  <c r="D3254" i="2"/>
  <c r="C3254" i="2"/>
  <c r="D3253" i="2"/>
  <c r="C3253" i="2"/>
  <c r="D3252" i="2"/>
  <c r="C3252" i="2"/>
  <c r="D3251" i="2"/>
  <c r="C3251" i="2"/>
  <c r="D3250" i="2"/>
  <c r="C3250" i="2"/>
  <c r="D3249" i="2"/>
  <c r="C3249" i="2"/>
  <c r="D3248" i="2"/>
  <c r="C3248" i="2"/>
  <c r="D3247" i="2"/>
  <c r="C3247" i="2"/>
  <c r="D3246" i="2"/>
  <c r="C3246" i="2"/>
  <c r="D3245" i="2"/>
  <c r="C3245" i="2"/>
  <c r="D3244" i="2"/>
  <c r="C3244" i="2"/>
  <c r="D3243" i="2"/>
  <c r="C3243" i="2"/>
  <c r="D3242" i="2"/>
  <c r="C3242" i="2"/>
  <c r="D3241" i="2"/>
  <c r="C3241" i="2"/>
  <c r="D3240" i="2"/>
  <c r="C3240" i="2"/>
  <c r="D3239" i="2"/>
  <c r="C3239" i="2"/>
  <c r="D3238" i="2"/>
  <c r="C3238" i="2"/>
  <c r="D3237" i="2"/>
  <c r="C3237" i="2"/>
  <c r="D3236" i="2"/>
  <c r="C3236" i="2"/>
  <c r="D3235" i="2"/>
  <c r="C3235" i="2"/>
  <c r="D3234" i="2"/>
  <c r="C3234" i="2"/>
  <c r="D3233" i="2"/>
  <c r="C3233" i="2"/>
  <c r="D3232" i="2"/>
  <c r="C3232" i="2"/>
  <c r="D3231" i="2"/>
  <c r="C3231" i="2"/>
  <c r="D3230" i="2"/>
  <c r="C3230" i="2"/>
  <c r="D3229" i="2"/>
  <c r="C3229" i="2"/>
  <c r="D3228" i="2"/>
  <c r="C3228" i="2"/>
  <c r="D3227" i="2"/>
  <c r="C3227" i="2"/>
  <c r="D3226" i="2"/>
  <c r="C3226" i="2"/>
  <c r="D3225" i="2"/>
  <c r="C3225" i="2"/>
  <c r="D3224" i="2"/>
  <c r="C3224" i="2"/>
  <c r="D3223" i="2"/>
  <c r="C3223" i="2"/>
  <c r="D3222" i="2"/>
  <c r="C3222" i="2"/>
  <c r="D3221" i="2"/>
  <c r="C3221" i="2"/>
  <c r="D3220" i="2"/>
  <c r="C3220" i="2"/>
  <c r="D3219" i="2"/>
  <c r="C3219" i="2"/>
  <c r="D3218" i="2"/>
  <c r="C3218" i="2"/>
  <c r="D3217" i="2"/>
  <c r="C3217" i="2"/>
  <c r="D3216" i="2"/>
  <c r="C3216" i="2"/>
  <c r="D3215" i="2"/>
  <c r="C3215" i="2"/>
  <c r="D3214" i="2"/>
  <c r="C3214" i="2"/>
  <c r="D3213" i="2"/>
  <c r="C3213" i="2"/>
  <c r="D3212" i="2"/>
  <c r="C3212" i="2"/>
  <c r="D3211" i="2"/>
  <c r="C3211" i="2"/>
  <c r="D3210" i="2"/>
  <c r="C3210" i="2"/>
  <c r="D3209" i="2"/>
  <c r="C3209" i="2"/>
  <c r="D3208" i="2"/>
  <c r="C3208" i="2"/>
  <c r="D3207" i="2"/>
  <c r="C3207" i="2"/>
  <c r="D3206" i="2"/>
  <c r="C3206" i="2"/>
  <c r="D3205" i="2"/>
  <c r="C3205" i="2"/>
  <c r="D3204" i="2"/>
  <c r="C3204" i="2"/>
  <c r="D3203" i="2"/>
  <c r="C3203" i="2"/>
  <c r="D3202" i="2"/>
  <c r="C3202" i="2"/>
  <c r="D3201" i="2"/>
  <c r="C3201" i="2"/>
  <c r="D3200" i="2"/>
  <c r="C3200" i="2"/>
  <c r="D3199" i="2"/>
  <c r="C3199" i="2"/>
  <c r="D3198" i="2"/>
  <c r="C3198" i="2"/>
  <c r="D3197" i="2"/>
  <c r="C3197" i="2"/>
  <c r="D3196" i="2"/>
  <c r="C3196" i="2"/>
  <c r="D3195" i="2"/>
  <c r="C3195" i="2"/>
  <c r="D3194" i="2"/>
  <c r="C3194" i="2"/>
  <c r="D3193" i="2"/>
  <c r="C3193" i="2"/>
  <c r="D3192" i="2"/>
  <c r="C3192" i="2"/>
  <c r="D3191" i="2"/>
  <c r="C3191" i="2"/>
  <c r="D3190" i="2"/>
  <c r="C3190" i="2"/>
  <c r="D3189" i="2"/>
  <c r="C3189" i="2"/>
  <c r="D3188" i="2"/>
  <c r="C3188" i="2"/>
  <c r="D3187" i="2"/>
  <c r="C3187" i="2"/>
  <c r="D3186" i="2"/>
  <c r="C3186" i="2"/>
  <c r="D3185" i="2"/>
  <c r="C3185" i="2"/>
  <c r="D3184" i="2"/>
  <c r="C3184" i="2"/>
  <c r="D3183" i="2"/>
  <c r="C3183" i="2"/>
  <c r="D3182" i="2"/>
  <c r="C3182" i="2"/>
  <c r="D3181" i="2"/>
  <c r="C3181" i="2"/>
  <c r="D3180" i="2"/>
  <c r="C3180" i="2"/>
  <c r="D3179" i="2"/>
  <c r="C3179" i="2"/>
  <c r="D3178" i="2"/>
  <c r="C3178" i="2"/>
  <c r="D3177" i="2"/>
  <c r="C3177" i="2"/>
  <c r="D3176" i="2"/>
  <c r="C3176" i="2"/>
  <c r="D3175" i="2"/>
  <c r="C3175" i="2"/>
  <c r="D3174" i="2"/>
  <c r="C3174" i="2"/>
  <c r="D3173" i="2"/>
  <c r="C3173" i="2"/>
  <c r="D3172" i="2"/>
  <c r="C3172" i="2"/>
  <c r="D3171" i="2"/>
  <c r="C3171" i="2"/>
  <c r="D3170" i="2"/>
  <c r="C3170" i="2"/>
  <c r="D3169" i="2"/>
  <c r="C3169" i="2"/>
  <c r="D3168" i="2"/>
  <c r="C3168" i="2"/>
  <c r="D3167" i="2"/>
  <c r="C3167" i="2"/>
  <c r="D3166" i="2"/>
  <c r="C3166" i="2"/>
  <c r="D3165" i="2"/>
  <c r="C3165" i="2"/>
  <c r="D3164" i="2"/>
  <c r="C3164" i="2"/>
  <c r="D3163" i="2"/>
  <c r="C3163" i="2"/>
  <c r="D3162" i="2"/>
  <c r="C3162" i="2"/>
  <c r="D3161" i="2"/>
  <c r="C3161" i="2"/>
  <c r="D3160" i="2"/>
  <c r="C3160" i="2"/>
  <c r="D3159" i="2"/>
  <c r="C3159" i="2"/>
  <c r="D3158" i="2"/>
  <c r="C3158" i="2"/>
  <c r="D3157" i="2"/>
  <c r="C3157" i="2"/>
  <c r="D3156" i="2"/>
  <c r="C3156" i="2"/>
  <c r="D3155" i="2"/>
  <c r="C3155" i="2"/>
  <c r="D3154" i="2"/>
  <c r="C3154" i="2"/>
  <c r="D3153" i="2"/>
  <c r="C3153" i="2"/>
  <c r="D3152" i="2"/>
  <c r="C3152" i="2"/>
  <c r="D3151" i="2"/>
  <c r="C3151" i="2"/>
  <c r="D3150" i="2"/>
  <c r="C3150" i="2"/>
  <c r="D3149" i="2"/>
  <c r="C3149" i="2"/>
  <c r="D3148" i="2"/>
  <c r="C3148" i="2"/>
  <c r="D3147" i="2"/>
  <c r="C3147" i="2"/>
  <c r="D3146" i="2"/>
  <c r="C3146" i="2"/>
  <c r="D3145" i="2"/>
  <c r="C3145" i="2"/>
  <c r="D3144" i="2"/>
  <c r="C3144" i="2"/>
  <c r="D3143" i="2"/>
  <c r="C3143" i="2"/>
  <c r="D3142" i="2"/>
  <c r="C3142" i="2"/>
  <c r="D3141" i="2"/>
  <c r="C3141" i="2"/>
  <c r="D3140" i="2"/>
  <c r="C3140" i="2"/>
  <c r="D3139" i="2"/>
  <c r="C3139" i="2"/>
  <c r="D3138" i="2"/>
  <c r="C3138" i="2"/>
  <c r="D3137" i="2"/>
  <c r="C3137" i="2"/>
  <c r="D3136" i="2"/>
  <c r="C3136" i="2"/>
  <c r="D3135" i="2"/>
  <c r="C3135" i="2"/>
  <c r="D3134" i="2"/>
  <c r="C3134" i="2"/>
  <c r="D3133" i="2"/>
  <c r="C3133" i="2"/>
  <c r="D3132" i="2"/>
  <c r="C3132" i="2"/>
  <c r="D3131" i="2"/>
  <c r="C3131" i="2"/>
  <c r="D3130" i="2"/>
  <c r="C3130" i="2"/>
  <c r="D3129" i="2"/>
  <c r="C3129" i="2"/>
  <c r="D3128" i="2"/>
  <c r="C3128" i="2"/>
  <c r="D3127" i="2"/>
  <c r="C3127" i="2"/>
  <c r="D3126" i="2"/>
  <c r="C3126" i="2"/>
  <c r="D3125" i="2"/>
  <c r="C3125" i="2"/>
  <c r="D3124" i="2"/>
  <c r="C3124" i="2"/>
  <c r="D3123" i="2"/>
  <c r="C3123" i="2"/>
  <c r="D3122" i="2"/>
  <c r="C3122" i="2"/>
  <c r="D3121" i="2"/>
  <c r="C3121" i="2"/>
  <c r="D3120" i="2"/>
  <c r="C3120" i="2"/>
  <c r="D3119" i="2"/>
  <c r="C3119" i="2"/>
  <c r="D3118" i="2"/>
  <c r="C3118" i="2"/>
  <c r="D3117" i="2"/>
  <c r="C3117" i="2"/>
  <c r="D3116" i="2"/>
  <c r="C3116" i="2"/>
  <c r="D3115" i="2"/>
  <c r="C3115" i="2"/>
  <c r="D3114" i="2"/>
  <c r="C3114" i="2"/>
  <c r="D3113" i="2"/>
  <c r="C3113" i="2"/>
  <c r="D3112" i="2"/>
  <c r="C3112" i="2"/>
  <c r="D3111" i="2"/>
  <c r="C3111" i="2"/>
  <c r="D3110" i="2"/>
  <c r="C3110" i="2"/>
  <c r="D3109" i="2"/>
  <c r="C3109" i="2"/>
  <c r="D3108" i="2"/>
  <c r="C3108" i="2"/>
  <c r="D3107" i="2"/>
  <c r="C3107" i="2"/>
  <c r="D3106" i="2"/>
  <c r="C3106" i="2"/>
  <c r="D3105" i="2"/>
  <c r="C3105" i="2"/>
  <c r="D3104" i="2"/>
  <c r="C3104" i="2"/>
  <c r="D3103" i="2"/>
  <c r="C3103" i="2"/>
  <c r="D3102" i="2"/>
  <c r="C3102" i="2"/>
  <c r="D3101" i="2"/>
  <c r="C3101" i="2"/>
  <c r="D3100" i="2"/>
  <c r="C3100" i="2"/>
  <c r="D3099" i="2"/>
  <c r="C3099" i="2"/>
  <c r="D3098" i="2"/>
  <c r="C3098" i="2"/>
  <c r="D3097" i="2"/>
  <c r="C3097" i="2"/>
  <c r="D3096" i="2"/>
  <c r="C3096" i="2"/>
  <c r="D3095" i="2"/>
  <c r="C3095" i="2"/>
  <c r="D3094" i="2"/>
  <c r="C3094" i="2"/>
  <c r="D3084" i="2"/>
  <c r="C3084" i="2"/>
  <c r="D3083" i="2"/>
  <c r="C3083" i="2"/>
  <c r="D3082" i="2"/>
  <c r="C3082" i="2"/>
  <c r="D3081" i="2"/>
  <c r="C3081" i="2"/>
  <c r="D3080" i="2"/>
  <c r="C3080" i="2"/>
  <c r="D3079" i="2"/>
  <c r="C3079" i="2"/>
  <c r="D3078" i="2"/>
  <c r="C3078" i="2"/>
  <c r="D3077" i="2"/>
  <c r="C3077" i="2"/>
  <c r="D3076" i="2"/>
  <c r="C3076" i="2"/>
  <c r="D3075" i="2"/>
  <c r="C3075" i="2"/>
  <c r="D3074" i="2"/>
  <c r="C3074" i="2"/>
  <c r="D3073" i="2"/>
  <c r="C3073" i="2"/>
  <c r="D3072" i="2"/>
  <c r="C3072" i="2"/>
  <c r="D3071" i="2"/>
  <c r="C3071" i="2"/>
  <c r="D3070" i="2"/>
  <c r="C3070" i="2"/>
  <c r="D3069" i="2"/>
  <c r="C3069" i="2"/>
  <c r="D3068" i="2"/>
  <c r="C3068" i="2"/>
  <c r="D3067" i="2"/>
  <c r="C3067" i="2"/>
  <c r="D3066" i="2"/>
  <c r="C3066" i="2"/>
  <c r="D3065" i="2"/>
  <c r="C3065" i="2"/>
  <c r="D3064" i="2"/>
  <c r="C3064" i="2"/>
  <c r="D3063" i="2"/>
  <c r="C3063" i="2"/>
  <c r="D3062" i="2"/>
  <c r="C3062" i="2"/>
  <c r="D3061" i="2"/>
  <c r="C3061" i="2"/>
  <c r="D3060" i="2"/>
  <c r="C3060" i="2"/>
  <c r="D3059" i="2"/>
  <c r="C3059" i="2"/>
  <c r="D3058" i="2"/>
  <c r="C3058" i="2"/>
  <c r="D3057" i="2"/>
  <c r="C3057" i="2"/>
  <c r="D3056" i="2"/>
  <c r="C3056" i="2"/>
  <c r="D3055" i="2"/>
  <c r="C3055" i="2"/>
  <c r="D3054" i="2"/>
  <c r="C3054" i="2"/>
  <c r="D3053" i="2"/>
  <c r="C3053" i="2"/>
  <c r="D3052" i="2"/>
  <c r="C3052" i="2"/>
  <c r="D3051" i="2"/>
  <c r="C3051" i="2"/>
  <c r="D3050" i="2"/>
  <c r="C3050" i="2"/>
  <c r="D3049" i="2"/>
  <c r="C3049" i="2"/>
  <c r="D3048" i="2"/>
  <c r="C3048" i="2"/>
  <c r="D3047" i="2"/>
  <c r="C3047" i="2"/>
  <c r="D3046" i="2"/>
  <c r="C3046" i="2"/>
  <c r="D3045" i="2"/>
  <c r="C3045" i="2"/>
  <c r="D3044" i="2"/>
  <c r="C3044" i="2"/>
  <c r="D3043" i="2"/>
  <c r="C3043" i="2"/>
  <c r="D3042" i="2"/>
  <c r="C3042" i="2"/>
  <c r="D3041" i="2"/>
  <c r="C3041" i="2"/>
  <c r="D3040" i="2"/>
  <c r="C3040" i="2"/>
  <c r="D3039" i="2"/>
  <c r="C3039" i="2"/>
  <c r="D3038" i="2"/>
  <c r="C3038" i="2"/>
  <c r="D3037" i="2"/>
  <c r="C3037" i="2"/>
  <c r="D3036" i="2"/>
  <c r="C3036" i="2"/>
  <c r="D3035" i="2"/>
  <c r="C3035" i="2"/>
  <c r="D3034" i="2"/>
  <c r="C3034" i="2"/>
  <c r="D3033" i="2"/>
  <c r="C3033" i="2"/>
  <c r="D3032" i="2"/>
  <c r="C3032" i="2"/>
  <c r="D3031" i="2"/>
  <c r="C3031" i="2"/>
  <c r="D3030" i="2"/>
  <c r="C3030" i="2"/>
  <c r="D3029" i="2"/>
  <c r="C3029" i="2"/>
  <c r="D3028" i="2"/>
  <c r="C3028" i="2"/>
  <c r="D3027" i="2"/>
  <c r="C3027" i="2"/>
  <c r="D3026" i="2"/>
  <c r="C3026" i="2"/>
  <c r="D3025" i="2"/>
  <c r="C3025" i="2"/>
  <c r="D3024" i="2"/>
  <c r="C3024" i="2"/>
  <c r="D3023" i="2"/>
  <c r="C3023" i="2"/>
  <c r="D3022" i="2"/>
  <c r="C3022" i="2"/>
  <c r="D3021" i="2"/>
  <c r="C3021" i="2"/>
  <c r="D3020" i="2"/>
  <c r="C3020" i="2"/>
  <c r="D3019" i="2"/>
  <c r="C3019" i="2"/>
  <c r="D3018" i="2"/>
  <c r="C3018" i="2"/>
  <c r="D3017" i="2"/>
  <c r="C3017" i="2"/>
  <c r="D3016" i="2"/>
  <c r="C3016" i="2"/>
  <c r="D3015" i="2"/>
  <c r="C3015" i="2"/>
  <c r="D3014" i="2"/>
  <c r="C3014" i="2"/>
  <c r="D3013" i="2"/>
  <c r="C3013" i="2"/>
  <c r="D3012" i="2"/>
  <c r="C3012" i="2"/>
  <c r="D3011" i="2"/>
  <c r="C3011" i="2"/>
  <c r="D3010" i="2"/>
  <c r="C3010" i="2"/>
  <c r="D3009" i="2"/>
  <c r="C3009" i="2"/>
  <c r="D3008" i="2"/>
  <c r="C3008" i="2"/>
  <c r="D3007" i="2"/>
  <c r="C3007" i="2"/>
  <c r="D3006" i="2"/>
  <c r="C3006" i="2"/>
  <c r="D3005" i="2"/>
  <c r="C3005" i="2"/>
  <c r="D3004" i="2"/>
  <c r="C3004" i="2"/>
  <c r="D3003" i="2"/>
  <c r="C3003" i="2"/>
  <c r="D3002" i="2"/>
  <c r="C3002" i="2"/>
  <c r="D3001" i="2"/>
  <c r="C3001" i="2"/>
  <c r="D3000" i="2"/>
  <c r="C3000" i="2"/>
  <c r="D2999" i="2"/>
  <c r="C2999" i="2"/>
  <c r="D2998" i="2"/>
  <c r="C2998" i="2"/>
  <c r="D2997" i="2"/>
  <c r="C2997" i="2"/>
  <c r="D2996" i="2"/>
  <c r="C2996" i="2"/>
  <c r="D2995" i="2"/>
  <c r="C2995" i="2"/>
  <c r="D2994" i="2"/>
  <c r="C2994" i="2"/>
  <c r="D2993" i="2"/>
  <c r="C2993" i="2"/>
  <c r="D2992" i="2"/>
  <c r="C2992" i="2"/>
  <c r="D2991" i="2"/>
  <c r="C2991" i="2"/>
  <c r="D2990" i="2"/>
  <c r="C2990" i="2"/>
  <c r="D2989" i="2"/>
  <c r="C2989" i="2"/>
  <c r="D2988" i="2"/>
  <c r="C2988" i="2"/>
  <c r="D2987" i="2"/>
  <c r="C2987" i="2"/>
  <c r="D2986" i="2"/>
  <c r="C2986" i="2"/>
  <c r="D2985" i="2"/>
  <c r="C2985" i="2"/>
  <c r="D2984" i="2"/>
  <c r="C2984" i="2"/>
  <c r="D2983" i="2"/>
  <c r="C2983" i="2"/>
  <c r="D2982" i="2"/>
  <c r="C2982" i="2"/>
  <c r="D2981" i="2"/>
  <c r="C2981" i="2"/>
  <c r="D2980" i="2"/>
  <c r="C2980" i="2"/>
  <c r="D2979" i="2"/>
  <c r="C2979" i="2"/>
  <c r="D2978" i="2"/>
  <c r="C2978" i="2"/>
  <c r="D2977" i="2"/>
  <c r="C2977" i="2"/>
  <c r="D2976" i="2"/>
  <c r="C2976" i="2"/>
  <c r="D2975" i="2"/>
  <c r="C2975" i="2"/>
  <c r="D2974" i="2"/>
  <c r="C2974" i="2"/>
  <c r="D2973" i="2"/>
  <c r="C2973" i="2"/>
  <c r="D2972" i="2"/>
  <c r="C2972" i="2"/>
  <c r="D2971" i="2"/>
  <c r="C2971" i="2"/>
  <c r="D2970" i="2"/>
  <c r="C2970" i="2"/>
  <c r="D2969" i="2"/>
  <c r="C2969" i="2"/>
  <c r="D2968" i="2"/>
  <c r="C2968" i="2"/>
  <c r="D2967" i="2"/>
  <c r="C2967" i="2"/>
  <c r="D2966" i="2"/>
  <c r="C2966" i="2"/>
  <c r="D2965" i="2"/>
  <c r="C2965" i="2"/>
  <c r="D2964" i="2"/>
  <c r="C2964" i="2"/>
  <c r="D2963" i="2"/>
  <c r="C2963" i="2"/>
  <c r="D2962" i="2"/>
  <c r="C2962" i="2"/>
  <c r="D2961" i="2"/>
  <c r="C2961" i="2"/>
  <c r="D2960" i="2"/>
  <c r="C2960" i="2"/>
  <c r="D2959" i="2"/>
  <c r="C2959" i="2"/>
  <c r="D2958" i="2"/>
  <c r="C2958" i="2"/>
  <c r="D2957" i="2"/>
  <c r="C2957" i="2"/>
  <c r="D2956" i="2"/>
  <c r="C2956" i="2"/>
  <c r="D2955" i="2"/>
  <c r="C2955" i="2"/>
  <c r="D2954" i="2"/>
  <c r="C2954" i="2"/>
  <c r="D2953" i="2"/>
  <c r="C2953" i="2"/>
  <c r="D2952" i="2"/>
  <c r="C2952" i="2"/>
  <c r="D2951" i="2"/>
  <c r="C2951" i="2"/>
  <c r="D2950" i="2"/>
  <c r="C2950" i="2"/>
  <c r="D2949" i="2"/>
  <c r="C2949" i="2"/>
  <c r="D2948" i="2"/>
  <c r="C2948" i="2"/>
  <c r="D2947" i="2"/>
  <c r="C2947" i="2"/>
  <c r="D2946" i="2"/>
  <c r="C2946" i="2"/>
  <c r="D2945" i="2"/>
  <c r="C2945" i="2"/>
  <c r="D2944" i="2"/>
  <c r="C2944" i="2"/>
  <c r="D2943" i="2"/>
  <c r="C2943" i="2"/>
  <c r="D2942" i="2"/>
  <c r="C2942" i="2"/>
  <c r="D2941" i="2"/>
  <c r="C2941" i="2"/>
  <c r="D2940" i="2"/>
  <c r="C2940" i="2"/>
  <c r="D2939" i="2"/>
  <c r="C2939" i="2"/>
  <c r="D2938" i="2"/>
  <c r="C2938" i="2"/>
  <c r="D2937" i="2"/>
  <c r="C2937" i="2"/>
  <c r="D2936" i="2"/>
  <c r="C2936" i="2"/>
  <c r="D2935" i="2"/>
  <c r="C2935" i="2"/>
  <c r="D2934" i="2"/>
  <c r="C2934" i="2"/>
  <c r="D2933" i="2"/>
  <c r="C2933" i="2"/>
  <c r="D2932" i="2"/>
  <c r="C2932" i="2"/>
  <c r="D2931" i="2"/>
  <c r="C2931" i="2"/>
  <c r="D2930" i="2"/>
  <c r="C2930" i="2"/>
  <c r="D2929" i="2"/>
  <c r="C2929" i="2"/>
  <c r="D2928" i="2"/>
  <c r="C2928" i="2"/>
  <c r="D2927" i="2"/>
  <c r="C2927" i="2"/>
  <c r="D2926" i="2"/>
  <c r="C2926" i="2"/>
  <c r="D2925" i="2"/>
  <c r="C2925" i="2"/>
  <c r="D2924" i="2"/>
  <c r="C2924" i="2"/>
  <c r="D2923" i="2"/>
  <c r="C2923" i="2"/>
  <c r="D2922" i="2"/>
  <c r="C2922" i="2"/>
  <c r="D2921" i="2"/>
  <c r="C2921" i="2"/>
  <c r="D2920" i="2"/>
  <c r="C2920" i="2"/>
  <c r="D2919" i="2"/>
  <c r="C2919" i="2"/>
  <c r="D2918" i="2"/>
  <c r="C2918" i="2"/>
  <c r="D2917" i="2"/>
  <c r="C2917" i="2"/>
  <c r="D2916" i="2"/>
  <c r="C2916" i="2"/>
  <c r="D2915" i="2"/>
  <c r="C2915" i="2"/>
  <c r="D2914" i="2"/>
  <c r="C2914" i="2"/>
  <c r="D2913" i="2"/>
  <c r="C2913" i="2"/>
  <c r="D2912" i="2"/>
  <c r="C2912" i="2"/>
  <c r="D2911" i="2"/>
  <c r="C2911" i="2"/>
  <c r="D2910" i="2"/>
  <c r="C2910" i="2"/>
  <c r="D2909" i="2"/>
  <c r="C2909" i="2"/>
  <c r="D2908" i="2"/>
  <c r="C2908" i="2"/>
  <c r="D2907" i="2"/>
  <c r="C2907" i="2"/>
  <c r="D2906" i="2"/>
  <c r="C2906" i="2"/>
  <c r="D2905" i="2"/>
  <c r="C2905" i="2"/>
  <c r="D2904" i="2"/>
  <c r="C2904" i="2"/>
  <c r="D2903" i="2"/>
  <c r="C2903" i="2"/>
  <c r="D2902" i="2"/>
  <c r="C2902" i="2"/>
  <c r="D2901" i="2"/>
  <c r="C2901" i="2"/>
  <c r="D2900" i="2"/>
  <c r="C2900" i="2"/>
  <c r="D2899" i="2"/>
  <c r="C2899" i="2"/>
  <c r="D2898" i="2"/>
  <c r="C2898" i="2"/>
  <c r="D2897" i="2"/>
  <c r="C2897" i="2"/>
  <c r="D2896" i="2"/>
  <c r="C2896" i="2"/>
  <c r="D2895" i="2"/>
  <c r="C2895" i="2"/>
  <c r="D2894" i="2"/>
  <c r="C2894" i="2"/>
  <c r="D2893" i="2"/>
  <c r="C2893" i="2"/>
  <c r="D2892" i="2"/>
  <c r="C2892" i="2"/>
  <c r="D2891" i="2"/>
  <c r="C2891" i="2"/>
  <c r="D2890" i="2"/>
  <c r="C2890" i="2"/>
  <c r="D2889" i="2"/>
  <c r="C2889" i="2"/>
  <c r="D2888" i="2"/>
  <c r="C2888" i="2"/>
  <c r="D2887" i="2"/>
  <c r="C2887" i="2"/>
  <c r="D2886" i="2"/>
  <c r="C2886" i="2"/>
  <c r="D2885" i="2"/>
  <c r="C2885" i="2"/>
  <c r="D2884" i="2"/>
  <c r="C2884" i="2"/>
  <c r="D2883" i="2"/>
  <c r="C2883" i="2"/>
  <c r="D2882" i="2"/>
  <c r="C2882" i="2"/>
  <c r="D2881" i="2"/>
  <c r="C2881" i="2"/>
  <c r="D2880" i="2"/>
  <c r="C2880" i="2"/>
  <c r="D2879" i="2"/>
  <c r="C2879" i="2"/>
  <c r="D2878" i="2"/>
  <c r="C2878" i="2"/>
  <c r="D2877" i="2"/>
  <c r="C2877" i="2"/>
  <c r="D2876" i="2"/>
  <c r="C2876" i="2"/>
  <c r="D2875" i="2"/>
  <c r="C2875" i="2"/>
  <c r="D2874" i="2"/>
  <c r="C2874" i="2"/>
  <c r="D2873" i="2"/>
  <c r="C2873" i="2"/>
  <c r="D2872" i="2"/>
  <c r="C2872" i="2"/>
  <c r="D2871" i="2"/>
  <c r="C2871" i="2"/>
  <c r="D2870" i="2"/>
  <c r="C2870" i="2"/>
  <c r="D2869" i="2"/>
  <c r="C2869" i="2"/>
  <c r="D2868" i="2"/>
  <c r="C2868" i="2"/>
  <c r="D2867" i="2"/>
  <c r="C2867" i="2"/>
  <c r="D2866" i="2"/>
  <c r="C2866" i="2"/>
  <c r="D2865" i="2"/>
  <c r="C2865" i="2"/>
  <c r="D2864" i="2"/>
  <c r="C2864" i="2"/>
  <c r="D2863" i="2"/>
  <c r="C2863" i="2"/>
  <c r="D2862" i="2"/>
  <c r="C2862" i="2"/>
  <c r="D2861" i="2"/>
  <c r="C2861" i="2"/>
  <c r="D2860" i="2"/>
  <c r="C2860" i="2"/>
  <c r="D2859" i="2"/>
  <c r="C2859" i="2"/>
  <c r="D2858" i="2"/>
  <c r="C2858" i="2"/>
  <c r="D2857" i="2"/>
  <c r="C2857" i="2"/>
  <c r="D2856" i="2"/>
  <c r="C2856" i="2"/>
  <c r="D2855" i="2"/>
  <c r="C2855" i="2"/>
  <c r="D2854" i="2"/>
  <c r="C2854" i="2"/>
  <c r="D2853" i="2"/>
  <c r="C2853" i="2"/>
  <c r="D2852" i="2"/>
  <c r="C2852" i="2"/>
  <c r="D2851" i="2"/>
  <c r="C2851" i="2"/>
  <c r="D2850" i="2"/>
  <c r="C2850" i="2"/>
  <c r="D2849" i="2"/>
  <c r="C2849" i="2"/>
  <c r="D2848" i="2"/>
  <c r="C2848" i="2"/>
  <c r="D2847" i="2"/>
  <c r="C2847" i="2"/>
  <c r="D2846" i="2"/>
  <c r="C2846" i="2"/>
  <c r="D2845" i="2"/>
  <c r="C2845" i="2"/>
  <c r="D2844" i="2"/>
  <c r="C2844" i="2"/>
  <c r="D2843" i="2"/>
  <c r="C2843" i="2"/>
  <c r="D2842" i="2"/>
  <c r="C2842" i="2"/>
  <c r="D2841" i="2"/>
  <c r="C2841" i="2"/>
  <c r="D2840" i="2"/>
  <c r="C2840" i="2"/>
  <c r="D2839" i="2"/>
  <c r="C2839" i="2"/>
  <c r="D2838" i="2"/>
  <c r="C2838" i="2"/>
  <c r="D2837" i="2"/>
  <c r="C2837" i="2"/>
  <c r="D2836" i="2"/>
  <c r="C2836" i="2"/>
  <c r="D2835" i="2"/>
  <c r="C2835" i="2"/>
  <c r="D2834" i="2"/>
  <c r="C2834" i="2"/>
  <c r="D2833" i="2"/>
  <c r="C2833" i="2"/>
  <c r="D2832" i="2"/>
  <c r="C2832" i="2"/>
  <c r="D2831" i="2"/>
  <c r="C2831" i="2"/>
  <c r="D2830" i="2"/>
  <c r="C2830" i="2"/>
  <c r="D2829" i="2"/>
  <c r="C2829" i="2"/>
  <c r="D2828" i="2"/>
  <c r="C2828" i="2"/>
  <c r="D2827" i="2"/>
  <c r="C2827" i="2"/>
  <c r="D2826" i="2"/>
  <c r="C2826" i="2"/>
  <c r="D2825" i="2"/>
  <c r="C2825" i="2"/>
  <c r="D2824" i="2"/>
  <c r="C2824" i="2"/>
  <c r="D2814" i="2"/>
  <c r="C2814" i="2"/>
  <c r="D2804" i="2"/>
  <c r="C2804" i="2"/>
  <c r="D2794" i="2"/>
  <c r="C2794" i="2"/>
  <c r="D2784" i="2"/>
  <c r="C2784" i="2"/>
  <c r="D2774" i="2"/>
  <c r="C2774" i="2"/>
  <c r="D2764" i="2"/>
  <c r="C2764" i="2"/>
  <c r="D2763" i="2"/>
  <c r="C2763" i="2"/>
  <c r="D2762" i="2"/>
  <c r="C2762" i="2"/>
  <c r="D2761" i="2"/>
  <c r="C2761" i="2"/>
  <c r="D2760" i="2"/>
  <c r="C2760" i="2"/>
  <c r="D2759" i="2"/>
  <c r="C2759" i="2"/>
  <c r="D2758" i="2"/>
  <c r="C2758" i="2"/>
  <c r="D2757" i="2"/>
  <c r="C2757" i="2"/>
  <c r="D2756" i="2"/>
  <c r="C2756" i="2"/>
  <c r="D2755" i="2"/>
  <c r="C2755" i="2"/>
  <c r="D2754" i="2"/>
  <c r="C2754" i="2"/>
  <c r="D2753" i="2"/>
  <c r="C2753" i="2"/>
  <c r="D2752" i="2"/>
  <c r="C2752" i="2"/>
  <c r="D2751" i="2"/>
  <c r="C2751" i="2"/>
  <c r="D2750" i="2"/>
  <c r="C2750" i="2"/>
  <c r="D2749" i="2"/>
  <c r="C2749" i="2"/>
  <c r="D2748" i="2"/>
  <c r="C2748" i="2"/>
  <c r="D2747" i="2"/>
  <c r="C2747" i="2"/>
  <c r="D2746" i="2"/>
  <c r="C2746" i="2"/>
  <c r="D2745" i="2"/>
  <c r="C2745" i="2"/>
  <c r="D2744" i="2"/>
  <c r="C2744" i="2"/>
  <c r="D2743" i="2"/>
  <c r="C2743" i="2"/>
  <c r="D2742" i="2"/>
  <c r="C2742" i="2"/>
  <c r="D2741" i="2"/>
  <c r="C2741" i="2"/>
  <c r="D2740" i="2"/>
  <c r="C2740" i="2"/>
  <c r="D2739" i="2"/>
  <c r="C2739" i="2"/>
  <c r="D2738" i="2"/>
  <c r="C2738" i="2"/>
  <c r="D2737" i="2"/>
  <c r="C2737" i="2"/>
  <c r="D2736" i="2"/>
  <c r="C2736" i="2"/>
  <c r="D2735" i="2"/>
  <c r="C2735" i="2"/>
  <c r="D2734" i="2"/>
  <c r="C2734" i="2"/>
  <c r="D2733" i="2"/>
  <c r="C2733" i="2"/>
  <c r="D2732" i="2"/>
  <c r="C2732" i="2"/>
  <c r="D2731" i="2"/>
  <c r="C2731" i="2"/>
  <c r="D2730" i="2"/>
  <c r="C2730" i="2"/>
  <c r="D2729" i="2"/>
  <c r="C2729" i="2"/>
  <c r="D2728" i="2"/>
  <c r="C2728" i="2"/>
  <c r="D2727" i="2"/>
  <c r="C2727" i="2"/>
  <c r="D2726" i="2"/>
  <c r="C2726" i="2"/>
  <c r="D2725" i="2"/>
  <c r="C2725" i="2"/>
  <c r="D2724" i="2"/>
  <c r="C2724" i="2"/>
  <c r="D2723" i="2"/>
  <c r="C2723" i="2"/>
  <c r="D2722" i="2"/>
  <c r="C2722" i="2"/>
  <c r="D2721" i="2"/>
  <c r="C2721" i="2"/>
  <c r="D2720" i="2"/>
  <c r="C2720" i="2"/>
  <c r="D2719" i="2"/>
  <c r="C2719" i="2"/>
  <c r="D2718" i="2"/>
  <c r="C2718" i="2"/>
  <c r="D2717" i="2"/>
  <c r="C2717" i="2"/>
  <c r="D2716" i="2"/>
  <c r="C2716" i="2"/>
  <c r="D2715" i="2"/>
  <c r="C2715" i="2"/>
  <c r="D2714" i="2"/>
  <c r="C2714" i="2"/>
  <c r="D2713" i="2"/>
  <c r="C2713" i="2"/>
  <c r="D2712" i="2"/>
  <c r="C2712" i="2"/>
  <c r="D2711" i="2"/>
  <c r="C2711" i="2"/>
  <c r="D2710" i="2"/>
  <c r="C2710" i="2"/>
  <c r="D2709" i="2"/>
  <c r="C2709" i="2"/>
  <c r="D2708" i="2"/>
  <c r="C2708" i="2"/>
  <c r="D2707" i="2"/>
  <c r="C2707" i="2"/>
  <c r="D2706" i="2"/>
  <c r="C2706" i="2"/>
  <c r="D2705" i="2"/>
  <c r="C2705" i="2"/>
  <c r="D2704" i="2"/>
  <c r="C2704" i="2"/>
  <c r="D2703" i="2"/>
  <c r="C2703" i="2"/>
  <c r="D2702" i="2"/>
  <c r="C2702" i="2"/>
  <c r="D2701" i="2"/>
  <c r="C2701" i="2"/>
  <c r="D2700" i="2"/>
  <c r="C2700" i="2"/>
  <c r="D2699" i="2"/>
  <c r="C2699" i="2"/>
  <c r="D2698" i="2"/>
  <c r="C2698" i="2"/>
  <c r="D2697" i="2"/>
  <c r="C2697" i="2"/>
  <c r="D2696" i="2"/>
  <c r="C2696" i="2"/>
  <c r="D2695" i="2"/>
  <c r="C2695" i="2"/>
  <c r="D2694" i="2"/>
  <c r="C2694" i="2"/>
  <c r="D2693" i="2"/>
  <c r="C2693" i="2"/>
  <c r="D2692" i="2"/>
  <c r="C2692" i="2"/>
  <c r="D2691" i="2"/>
  <c r="C2691" i="2"/>
  <c r="D2690" i="2"/>
  <c r="C2690" i="2"/>
  <c r="D2689" i="2"/>
  <c r="C2689" i="2"/>
  <c r="D2688" i="2"/>
  <c r="C2688" i="2"/>
  <c r="D2687" i="2"/>
  <c r="C2687" i="2"/>
  <c r="D2686" i="2"/>
  <c r="C2686" i="2"/>
  <c r="D2685" i="2"/>
  <c r="C2685" i="2"/>
  <c r="D2684" i="2"/>
  <c r="C2684" i="2"/>
  <c r="D2683" i="2"/>
  <c r="C2683" i="2"/>
  <c r="D2682" i="2"/>
  <c r="C2682" i="2"/>
  <c r="D2681" i="2"/>
  <c r="C2681" i="2"/>
  <c r="D2680" i="2"/>
  <c r="C2680" i="2"/>
  <c r="D2679" i="2"/>
  <c r="C2679" i="2"/>
  <c r="D2678" i="2"/>
  <c r="C2678" i="2"/>
  <c r="D2677" i="2"/>
  <c r="C2677" i="2"/>
  <c r="D2676" i="2"/>
  <c r="C2676" i="2"/>
  <c r="D2675" i="2"/>
  <c r="C2675" i="2"/>
  <c r="D2674" i="2"/>
  <c r="C2674" i="2"/>
  <c r="D2673" i="2"/>
  <c r="C2673" i="2"/>
  <c r="D2672" i="2"/>
  <c r="C2672" i="2"/>
  <c r="D2671" i="2"/>
  <c r="C2671" i="2"/>
  <c r="D2670" i="2"/>
  <c r="C2670" i="2"/>
  <c r="D2669" i="2"/>
  <c r="C2669" i="2"/>
  <c r="D2668" i="2"/>
  <c r="C2668" i="2"/>
  <c r="D2667" i="2"/>
  <c r="C2667" i="2"/>
  <c r="D2666" i="2"/>
  <c r="C2666" i="2"/>
  <c r="D2665" i="2"/>
  <c r="C2665" i="2"/>
  <c r="D2664" i="2"/>
  <c r="C2664" i="2"/>
  <c r="D2663" i="2"/>
  <c r="C2663" i="2"/>
  <c r="D2662" i="2"/>
  <c r="C2662" i="2"/>
  <c r="D2661" i="2"/>
  <c r="C2661" i="2"/>
  <c r="D2660" i="2"/>
  <c r="C2660" i="2"/>
  <c r="D2659" i="2"/>
  <c r="C2659" i="2"/>
  <c r="D2658" i="2"/>
  <c r="C2658" i="2"/>
  <c r="D2657" i="2"/>
  <c r="C2657" i="2"/>
  <c r="D2656" i="2"/>
  <c r="C2656" i="2"/>
  <c r="D2655" i="2"/>
  <c r="C2655" i="2"/>
  <c r="D2654" i="2"/>
  <c r="C2654" i="2"/>
  <c r="D2653" i="2"/>
  <c r="C2653" i="2"/>
  <c r="D2652" i="2"/>
  <c r="C2652" i="2"/>
  <c r="D2651" i="2"/>
  <c r="C2651" i="2"/>
  <c r="D2650" i="2"/>
  <c r="C2650" i="2"/>
  <c r="D2649" i="2"/>
  <c r="C2649" i="2"/>
  <c r="D2648" i="2"/>
  <c r="C2648" i="2"/>
  <c r="D2647" i="2"/>
  <c r="C2647" i="2"/>
  <c r="D2646" i="2"/>
  <c r="C2646" i="2"/>
  <c r="D2645" i="2"/>
  <c r="C2645" i="2"/>
  <c r="D2644" i="2"/>
  <c r="C2644" i="2"/>
  <c r="D2643" i="2"/>
  <c r="C2643" i="2"/>
  <c r="D2642" i="2"/>
  <c r="C2642" i="2"/>
  <c r="D2641" i="2"/>
  <c r="C2641" i="2"/>
  <c r="D2640" i="2"/>
  <c r="C2640" i="2"/>
  <c r="D2639" i="2"/>
  <c r="C2639" i="2"/>
  <c r="D2638" i="2"/>
  <c r="C2638" i="2"/>
  <c r="D2637" i="2"/>
  <c r="C2637" i="2"/>
  <c r="D2636" i="2"/>
  <c r="C2636" i="2"/>
  <c r="D2635" i="2"/>
  <c r="C2635" i="2"/>
  <c r="D2634" i="2"/>
  <c r="C2634" i="2"/>
  <c r="D2633" i="2"/>
  <c r="C2633" i="2"/>
  <c r="D2632" i="2"/>
  <c r="C2632" i="2"/>
  <c r="D2631" i="2"/>
  <c r="C2631" i="2"/>
  <c r="D2630" i="2"/>
  <c r="C2630" i="2"/>
  <c r="D2629" i="2"/>
  <c r="C2629" i="2"/>
  <c r="D2628" i="2"/>
  <c r="C2628" i="2"/>
  <c r="D2627" i="2"/>
  <c r="C2627" i="2"/>
  <c r="D2626" i="2"/>
  <c r="C2626" i="2"/>
  <c r="D2625" i="2"/>
  <c r="C2625" i="2"/>
  <c r="D2624" i="2"/>
  <c r="C2624" i="2"/>
  <c r="D2623" i="2"/>
  <c r="C2623" i="2"/>
  <c r="D2622" i="2"/>
  <c r="C2622" i="2"/>
  <c r="D2621" i="2"/>
  <c r="C2621" i="2"/>
  <c r="D2620" i="2"/>
  <c r="C2620" i="2"/>
  <c r="D2619" i="2"/>
  <c r="C2619" i="2"/>
  <c r="D2618" i="2"/>
  <c r="C2618" i="2"/>
  <c r="D2617" i="2"/>
  <c r="C2617" i="2"/>
  <c r="D2616" i="2"/>
  <c r="C2616" i="2"/>
  <c r="D2615" i="2"/>
  <c r="C2615" i="2"/>
  <c r="D2614" i="2"/>
  <c r="C2614" i="2"/>
  <c r="D2613" i="2"/>
  <c r="C2613" i="2"/>
  <c r="D2612" i="2"/>
  <c r="C2612" i="2"/>
  <c r="D2611" i="2"/>
  <c r="C2611" i="2"/>
  <c r="D2610" i="2"/>
  <c r="C2610" i="2"/>
  <c r="D2609" i="2"/>
  <c r="C2609" i="2"/>
  <c r="D2608" i="2"/>
  <c r="C2608" i="2"/>
  <c r="D2607" i="2"/>
  <c r="C2607" i="2"/>
  <c r="D2606" i="2"/>
  <c r="C2606" i="2"/>
  <c r="D2605" i="2"/>
  <c r="C2605" i="2"/>
  <c r="D2604" i="2"/>
  <c r="C2604" i="2"/>
  <c r="D2603" i="2"/>
  <c r="C2603" i="2"/>
  <c r="D2602" i="2"/>
  <c r="C2602" i="2"/>
  <c r="D2601" i="2"/>
  <c r="C2601" i="2"/>
  <c r="D2600" i="2"/>
  <c r="C2600" i="2"/>
  <c r="D2599" i="2"/>
  <c r="C2599" i="2"/>
  <c r="D2598" i="2"/>
  <c r="C2598" i="2"/>
  <c r="D2597" i="2"/>
  <c r="C2597" i="2"/>
  <c r="D2596" i="2"/>
  <c r="C2596" i="2"/>
  <c r="D2595" i="2"/>
  <c r="C2595" i="2"/>
  <c r="D2594" i="2"/>
  <c r="C2594" i="2"/>
  <c r="D2593" i="2"/>
  <c r="C2593" i="2"/>
  <c r="D2592" i="2"/>
  <c r="C2592" i="2"/>
  <c r="D2591" i="2"/>
  <c r="C2591" i="2"/>
  <c r="D2590" i="2"/>
  <c r="C2590" i="2"/>
  <c r="D2589" i="2"/>
  <c r="C2589" i="2"/>
  <c r="D2588" i="2"/>
  <c r="C2588" i="2"/>
  <c r="D2587" i="2"/>
  <c r="C2587" i="2"/>
  <c r="D2586" i="2"/>
  <c r="C2586" i="2"/>
  <c r="D2585" i="2"/>
  <c r="C2585" i="2"/>
  <c r="D2584" i="2"/>
  <c r="C2584" i="2"/>
  <c r="D2583" i="2"/>
  <c r="C2583" i="2"/>
  <c r="D2582" i="2"/>
  <c r="C2582" i="2"/>
  <c r="D2581" i="2"/>
  <c r="C2581" i="2"/>
  <c r="D2580" i="2"/>
  <c r="C2580" i="2"/>
  <c r="D2579" i="2"/>
  <c r="C2579" i="2"/>
  <c r="D2578" i="2"/>
  <c r="C2578" i="2"/>
  <c r="D2577" i="2"/>
  <c r="C2577" i="2"/>
  <c r="D2576" i="2"/>
  <c r="C2576" i="2"/>
  <c r="D2575" i="2"/>
  <c r="C2575" i="2"/>
  <c r="D2574" i="2"/>
  <c r="C2574" i="2"/>
  <c r="D2573" i="2"/>
  <c r="C2573" i="2"/>
  <c r="D2572" i="2"/>
  <c r="C2572" i="2"/>
  <c r="D2571" i="2"/>
  <c r="C2571" i="2"/>
  <c r="D2570" i="2"/>
  <c r="C2570" i="2"/>
  <c r="D2569" i="2"/>
  <c r="C2569" i="2"/>
  <c r="D2568" i="2"/>
  <c r="C2568" i="2"/>
  <c r="D2567" i="2"/>
  <c r="C2567" i="2"/>
  <c r="D2566" i="2"/>
  <c r="C2566" i="2"/>
  <c r="D2565" i="2"/>
  <c r="C2565" i="2"/>
  <c r="D2564" i="2"/>
  <c r="C2564" i="2"/>
  <c r="D2563" i="2"/>
  <c r="C2563" i="2"/>
  <c r="D2562" i="2"/>
  <c r="C2562" i="2"/>
  <c r="D2561" i="2"/>
  <c r="C2561" i="2"/>
  <c r="D2560" i="2"/>
  <c r="C2560" i="2"/>
  <c r="D2559" i="2"/>
  <c r="C2559" i="2"/>
  <c r="D2558" i="2"/>
  <c r="C2558" i="2"/>
  <c r="D2557" i="2"/>
  <c r="C2557" i="2"/>
  <c r="D2556" i="2"/>
  <c r="C2556" i="2"/>
  <c r="D2555" i="2"/>
  <c r="C2555" i="2"/>
  <c r="D2554" i="2"/>
  <c r="C2554" i="2"/>
  <c r="D2553" i="2"/>
  <c r="C2553" i="2"/>
  <c r="D2552" i="2"/>
  <c r="C2552" i="2"/>
  <c r="D2551" i="2"/>
  <c r="C2551" i="2"/>
  <c r="D2550" i="2"/>
  <c r="C2550" i="2"/>
  <c r="D2549" i="2"/>
  <c r="C2549" i="2"/>
  <c r="D2548" i="2"/>
  <c r="C2548" i="2"/>
  <c r="D2547" i="2"/>
  <c r="C2547" i="2"/>
  <c r="D2546" i="2"/>
  <c r="C2546" i="2"/>
  <c r="D2545" i="2"/>
  <c r="C2545" i="2"/>
  <c r="D2544" i="2"/>
  <c r="C2544" i="2"/>
  <c r="D2543" i="2"/>
  <c r="C2543" i="2"/>
  <c r="D2542" i="2"/>
  <c r="C2542" i="2"/>
  <c r="D2541" i="2"/>
  <c r="C2541" i="2"/>
  <c r="D2540" i="2"/>
  <c r="C2540" i="2"/>
  <c r="D2539" i="2"/>
  <c r="C2539" i="2"/>
  <c r="D2538" i="2"/>
  <c r="C2538" i="2"/>
  <c r="D2537" i="2"/>
  <c r="C2537" i="2"/>
  <c r="D2536" i="2"/>
  <c r="C2536" i="2"/>
  <c r="D2535" i="2"/>
  <c r="C2535" i="2"/>
  <c r="D2534" i="2"/>
  <c r="C2534" i="2"/>
  <c r="D2533" i="2"/>
  <c r="C2533" i="2"/>
  <c r="D2532" i="2"/>
  <c r="C2532" i="2"/>
  <c r="D2531" i="2"/>
  <c r="C2531" i="2"/>
  <c r="D2530" i="2"/>
  <c r="C2530" i="2"/>
  <c r="D2529" i="2"/>
  <c r="C2529" i="2"/>
  <c r="D2528" i="2"/>
  <c r="C2528" i="2"/>
  <c r="D2527" i="2"/>
  <c r="C2527" i="2"/>
  <c r="D2526" i="2"/>
  <c r="C2526" i="2"/>
  <c r="D2525" i="2"/>
  <c r="C2525" i="2"/>
  <c r="D2524" i="2"/>
  <c r="C2524" i="2"/>
  <c r="D2523" i="2"/>
  <c r="C2523" i="2"/>
  <c r="D2522" i="2"/>
  <c r="C2522" i="2"/>
  <c r="D2521" i="2"/>
  <c r="C2521" i="2"/>
  <c r="D2520" i="2"/>
  <c r="C2520" i="2"/>
  <c r="D2519" i="2"/>
  <c r="C2519" i="2"/>
  <c r="D2518" i="2"/>
  <c r="C2518" i="2"/>
  <c r="D2517" i="2"/>
  <c r="C2517" i="2"/>
  <c r="D2516" i="2"/>
  <c r="C2516" i="2"/>
  <c r="D2515" i="2"/>
  <c r="C2515" i="2"/>
  <c r="D2514" i="2"/>
  <c r="C2514" i="2"/>
  <c r="D2513" i="2"/>
  <c r="C2513" i="2"/>
  <c r="D2512" i="2"/>
  <c r="C2512" i="2"/>
  <c r="D2511" i="2"/>
  <c r="C2511" i="2"/>
  <c r="D2510" i="2"/>
  <c r="C2510" i="2"/>
  <c r="D2509" i="2"/>
  <c r="C2509" i="2"/>
  <c r="D2508" i="2"/>
  <c r="C2508" i="2"/>
  <c r="D2507" i="2"/>
  <c r="C2507" i="2"/>
  <c r="D2506" i="2"/>
  <c r="C2506" i="2"/>
  <c r="D2505" i="2"/>
  <c r="C2505" i="2"/>
  <c r="D2504" i="2"/>
  <c r="C2504" i="2"/>
  <c r="D2503" i="2"/>
  <c r="C2503" i="2"/>
  <c r="D2502" i="2"/>
  <c r="C2502" i="2"/>
  <c r="D2501" i="2"/>
  <c r="C2501" i="2"/>
  <c r="D2500" i="2"/>
  <c r="C2500" i="2"/>
  <c r="D2499" i="2"/>
  <c r="C2499" i="2"/>
  <c r="D2498" i="2"/>
  <c r="C2498" i="2"/>
  <c r="D2497" i="2"/>
  <c r="C2497" i="2"/>
  <c r="D2496" i="2"/>
  <c r="C2496" i="2"/>
  <c r="D2495" i="2"/>
  <c r="C2495" i="2"/>
  <c r="D2494" i="2"/>
  <c r="C2494" i="2"/>
  <c r="D2493" i="2"/>
  <c r="C2493" i="2"/>
  <c r="D2492" i="2"/>
  <c r="C2492" i="2"/>
  <c r="D2491" i="2"/>
  <c r="C2491" i="2"/>
  <c r="D2490" i="2"/>
  <c r="C2490" i="2"/>
  <c r="D2489" i="2"/>
  <c r="C2489" i="2"/>
  <c r="D2488" i="2"/>
  <c r="C2488" i="2"/>
  <c r="D2487" i="2"/>
  <c r="C2487" i="2"/>
  <c r="D2486" i="2"/>
  <c r="C2486" i="2"/>
  <c r="D2485" i="2"/>
  <c r="C2485" i="2"/>
  <c r="D2484" i="2"/>
  <c r="C2484" i="2"/>
  <c r="D2483" i="2"/>
  <c r="C2483" i="2"/>
  <c r="D2482" i="2"/>
  <c r="C2482" i="2"/>
  <c r="D2481" i="2"/>
  <c r="C2481" i="2"/>
  <c r="D2480" i="2"/>
  <c r="C2480" i="2"/>
  <c r="D2479" i="2"/>
  <c r="C2479" i="2"/>
  <c r="D2478" i="2"/>
  <c r="C2478" i="2"/>
  <c r="D2477" i="2"/>
  <c r="C2477" i="2"/>
  <c r="D2476" i="2"/>
  <c r="C2476" i="2"/>
  <c r="D2475" i="2"/>
  <c r="C2475" i="2"/>
  <c r="D2474" i="2"/>
  <c r="C2474" i="2"/>
  <c r="D2473" i="2"/>
  <c r="C2473" i="2"/>
  <c r="D2472" i="2"/>
  <c r="C2472" i="2"/>
  <c r="D2471" i="2"/>
  <c r="C2471" i="2"/>
  <c r="D2470" i="2"/>
  <c r="C2470" i="2"/>
  <c r="D2469" i="2"/>
  <c r="C2469" i="2"/>
  <c r="D2468" i="2"/>
  <c r="C2468" i="2"/>
  <c r="D2467" i="2"/>
  <c r="C2467" i="2"/>
  <c r="D2466" i="2"/>
  <c r="C2466" i="2"/>
  <c r="D2465" i="2"/>
  <c r="C2465" i="2"/>
  <c r="D2464" i="2"/>
  <c r="C2464" i="2"/>
  <c r="D2463" i="2"/>
  <c r="C2463" i="2"/>
  <c r="D2462" i="2"/>
  <c r="C2462" i="2"/>
  <c r="D2461" i="2"/>
  <c r="C2461" i="2"/>
  <c r="D2460" i="2"/>
  <c r="C2460" i="2"/>
  <c r="D2459" i="2"/>
  <c r="C2459" i="2"/>
  <c r="D2458" i="2"/>
  <c r="C2458" i="2"/>
  <c r="D2457" i="2"/>
  <c r="C2457" i="2"/>
  <c r="D2456" i="2"/>
  <c r="C2456" i="2"/>
  <c r="D2455" i="2"/>
  <c r="C2455" i="2"/>
  <c r="D2454" i="2"/>
  <c r="C2454" i="2"/>
  <c r="D2453" i="2"/>
  <c r="C2453" i="2"/>
  <c r="D2452" i="2"/>
  <c r="C2452" i="2"/>
  <c r="D2451" i="2"/>
  <c r="C2451" i="2"/>
  <c r="D2450" i="2"/>
  <c r="C2450" i="2"/>
  <c r="D2449" i="2"/>
  <c r="C2449" i="2"/>
  <c r="D2448" i="2"/>
  <c r="C2448" i="2"/>
  <c r="D2447" i="2"/>
  <c r="C2447" i="2"/>
  <c r="D2446" i="2"/>
  <c r="C2446" i="2"/>
  <c r="D2445" i="2"/>
  <c r="C2445" i="2"/>
  <c r="D2444" i="2"/>
  <c r="C2444" i="2"/>
  <c r="D2443" i="2"/>
  <c r="C2443" i="2"/>
  <c r="D2442" i="2"/>
  <c r="C2442" i="2"/>
  <c r="D2441" i="2"/>
  <c r="C2441" i="2"/>
  <c r="D2440" i="2"/>
  <c r="C2440" i="2"/>
  <c r="D2439" i="2"/>
  <c r="C2439" i="2"/>
  <c r="D2438" i="2"/>
  <c r="C2438" i="2"/>
  <c r="D2437" i="2"/>
  <c r="C2437" i="2"/>
  <c r="D2436" i="2"/>
  <c r="C2436" i="2"/>
  <c r="D2435" i="2"/>
  <c r="C2435" i="2"/>
  <c r="D2434" i="2"/>
  <c r="C2434" i="2"/>
  <c r="D2433" i="2"/>
  <c r="C2433" i="2"/>
  <c r="D2432" i="2"/>
  <c r="C2432" i="2"/>
  <c r="D2431" i="2"/>
  <c r="C2431" i="2"/>
  <c r="D2430" i="2"/>
  <c r="C2430" i="2"/>
  <c r="D2429" i="2"/>
  <c r="C2429" i="2"/>
  <c r="D2428" i="2"/>
  <c r="C2428" i="2"/>
  <c r="D2427" i="2"/>
  <c r="C2427" i="2"/>
  <c r="D2426" i="2"/>
  <c r="C2426" i="2"/>
  <c r="D2425" i="2"/>
  <c r="C2425" i="2"/>
  <c r="D2424" i="2"/>
  <c r="C2424" i="2"/>
  <c r="D2423" i="2"/>
  <c r="C2423" i="2"/>
  <c r="D2422" i="2"/>
  <c r="C2422" i="2"/>
  <c r="D2421" i="2"/>
  <c r="C2421" i="2"/>
  <c r="D2420" i="2"/>
  <c r="C2420" i="2"/>
  <c r="D2419" i="2"/>
  <c r="C2419" i="2"/>
  <c r="D2418" i="2"/>
  <c r="C2418" i="2"/>
  <c r="D2417" i="2"/>
  <c r="C2417" i="2"/>
  <c r="D2416" i="2"/>
  <c r="C2416" i="2"/>
  <c r="D2415" i="2"/>
  <c r="C2415" i="2"/>
  <c r="D2414" i="2"/>
  <c r="C2414" i="2"/>
  <c r="D2413" i="2"/>
  <c r="C2413" i="2"/>
  <c r="D2412" i="2"/>
  <c r="C2412" i="2"/>
  <c r="D2411" i="2"/>
  <c r="C2411" i="2"/>
  <c r="D2410" i="2"/>
  <c r="C2410" i="2"/>
  <c r="D2409" i="2"/>
  <c r="C2409" i="2"/>
  <c r="D2408" i="2"/>
  <c r="C2408" i="2"/>
  <c r="D2407" i="2"/>
  <c r="C2407" i="2"/>
  <c r="D2406" i="2"/>
  <c r="C2406" i="2"/>
  <c r="D2405" i="2"/>
  <c r="C2405" i="2"/>
  <c r="D2404" i="2"/>
  <c r="C2404" i="2"/>
  <c r="D2403" i="2"/>
  <c r="C2403" i="2"/>
  <c r="D2402" i="2"/>
  <c r="C2402" i="2"/>
  <c r="D2401" i="2"/>
  <c r="C2401" i="2"/>
  <c r="D2400" i="2"/>
  <c r="C2400" i="2"/>
  <c r="D2399" i="2"/>
  <c r="C2399" i="2"/>
  <c r="D2398" i="2"/>
  <c r="C2398" i="2"/>
  <c r="D2397" i="2"/>
  <c r="C2397" i="2"/>
  <c r="D2396" i="2"/>
  <c r="C2396" i="2"/>
  <c r="D2395" i="2"/>
  <c r="C2395" i="2"/>
  <c r="D2394" i="2"/>
  <c r="C2394" i="2"/>
  <c r="D2393" i="2"/>
  <c r="C2393" i="2"/>
  <c r="D2392" i="2"/>
  <c r="C2392" i="2"/>
  <c r="D2391" i="2"/>
  <c r="C2391" i="2"/>
  <c r="D2390" i="2"/>
  <c r="C2390" i="2"/>
  <c r="D2389" i="2"/>
  <c r="C2389" i="2"/>
  <c r="D2388" i="2"/>
  <c r="C2388" i="2"/>
  <c r="D2387" i="2"/>
  <c r="C2387" i="2"/>
  <c r="D2386" i="2"/>
  <c r="C2386" i="2"/>
  <c r="D2385" i="2"/>
  <c r="C2385" i="2"/>
  <c r="D2384" i="2"/>
  <c r="C2384" i="2"/>
  <c r="D2383" i="2"/>
  <c r="C2383" i="2"/>
  <c r="D2382" i="2"/>
  <c r="C2382" i="2"/>
  <c r="D2381" i="2"/>
  <c r="C2381" i="2"/>
  <c r="D2380" i="2"/>
  <c r="C2380" i="2"/>
  <c r="D2379" i="2"/>
  <c r="C2379" i="2"/>
  <c r="D2378" i="2"/>
  <c r="C2378" i="2"/>
  <c r="D2377" i="2"/>
  <c r="C2377" i="2"/>
  <c r="D2376" i="2"/>
  <c r="C2376" i="2"/>
  <c r="D2375" i="2"/>
  <c r="C2375" i="2"/>
  <c r="D2374" i="2"/>
  <c r="C2374" i="2"/>
  <c r="D2373" i="2"/>
  <c r="C2373" i="2"/>
  <c r="D2372" i="2"/>
  <c r="C2372" i="2"/>
  <c r="D2371" i="2"/>
  <c r="C2371" i="2"/>
  <c r="D2370" i="2"/>
  <c r="C2370" i="2"/>
  <c r="D2369" i="2"/>
  <c r="C2369" i="2"/>
  <c r="D2368" i="2"/>
  <c r="C2368" i="2"/>
  <c r="D2367" i="2"/>
  <c r="C2367" i="2"/>
  <c r="D2366" i="2"/>
  <c r="C2366" i="2"/>
  <c r="D2365" i="2"/>
  <c r="C2365" i="2"/>
  <c r="D2364" i="2"/>
  <c r="C2364" i="2"/>
  <c r="D2363" i="2"/>
  <c r="C2363" i="2"/>
  <c r="D2362" i="2"/>
  <c r="C2362" i="2"/>
  <c r="D2361" i="2"/>
  <c r="C2361" i="2"/>
  <c r="D2360" i="2"/>
  <c r="C2360" i="2"/>
  <c r="D2359" i="2"/>
  <c r="C2359" i="2"/>
  <c r="D2358" i="2"/>
  <c r="C2358" i="2"/>
  <c r="D2357" i="2"/>
  <c r="C2357" i="2"/>
  <c r="D2356" i="2"/>
  <c r="C2356" i="2"/>
  <c r="D2355" i="2"/>
  <c r="C2355" i="2"/>
  <c r="D2354" i="2"/>
  <c r="C2354" i="2"/>
  <c r="D2353" i="2"/>
  <c r="C2353" i="2"/>
  <c r="D2352" i="2"/>
  <c r="C2352" i="2"/>
  <c r="D2351" i="2"/>
  <c r="C2351" i="2"/>
  <c r="D2350" i="2"/>
  <c r="C2350" i="2"/>
  <c r="D2349" i="2"/>
  <c r="C2349" i="2"/>
  <c r="D2348" i="2"/>
  <c r="C2348" i="2"/>
  <c r="D2347" i="2"/>
  <c r="C2347" i="2"/>
  <c r="D2346" i="2"/>
  <c r="C2346" i="2"/>
  <c r="D2345" i="2"/>
  <c r="C2345" i="2"/>
  <c r="D2344" i="2"/>
  <c r="C2344" i="2"/>
  <c r="D2343" i="2"/>
  <c r="C2343" i="2"/>
  <c r="D2342" i="2"/>
  <c r="C2342" i="2"/>
  <c r="D2341" i="2"/>
  <c r="C2341" i="2"/>
  <c r="D2340" i="2"/>
  <c r="C2340" i="2"/>
  <c r="D2339" i="2"/>
  <c r="C2339" i="2"/>
  <c r="D2338" i="2"/>
  <c r="C2338" i="2"/>
  <c r="D2337" i="2"/>
  <c r="C2337" i="2"/>
  <c r="D2336" i="2"/>
  <c r="C2336" i="2"/>
  <c r="D2335" i="2"/>
  <c r="C2335" i="2"/>
  <c r="D2334" i="2"/>
  <c r="C2334" i="2"/>
  <c r="D2333" i="2"/>
  <c r="C2333" i="2"/>
  <c r="D2332" i="2"/>
  <c r="C2332" i="2"/>
  <c r="D2331" i="2"/>
  <c r="C2331" i="2"/>
  <c r="D2330" i="2"/>
  <c r="C2330" i="2"/>
  <c r="D2329" i="2"/>
  <c r="C2329" i="2"/>
  <c r="D2328" i="2"/>
  <c r="C2328" i="2"/>
  <c r="D2327" i="2"/>
  <c r="C2327" i="2"/>
  <c r="D2326" i="2"/>
  <c r="C2326" i="2"/>
  <c r="D2325" i="2"/>
  <c r="C2325" i="2"/>
  <c r="D2324" i="2"/>
  <c r="C2324" i="2"/>
  <c r="D2323" i="2"/>
  <c r="C2323" i="2"/>
  <c r="D2322" i="2"/>
  <c r="C2322" i="2"/>
  <c r="D2321" i="2"/>
  <c r="C2321" i="2"/>
  <c r="D2320" i="2"/>
  <c r="C2320" i="2"/>
  <c r="D2319" i="2"/>
  <c r="C2319" i="2"/>
  <c r="D2318" i="2"/>
  <c r="C2318" i="2"/>
  <c r="D2317" i="2"/>
  <c r="C2317" i="2"/>
  <c r="D2316" i="2"/>
  <c r="C2316" i="2"/>
  <c r="D2315" i="2"/>
  <c r="C2315" i="2"/>
  <c r="D2314" i="2"/>
  <c r="C2314" i="2"/>
  <c r="D2313" i="2"/>
  <c r="C2313" i="2"/>
  <c r="D2312" i="2"/>
  <c r="C2312" i="2"/>
  <c r="D2311" i="2"/>
  <c r="C2311" i="2"/>
  <c r="D2310" i="2"/>
  <c r="C2310" i="2"/>
  <c r="D2309" i="2"/>
  <c r="C2309" i="2"/>
  <c r="D2308" i="2"/>
  <c r="C2308" i="2"/>
  <c r="D2307" i="2"/>
  <c r="C2307" i="2"/>
  <c r="D2306" i="2"/>
  <c r="C2306" i="2"/>
  <c r="D2305" i="2"/>
  <c r="C2305" i="2"/>
  <c r="D2304" i="2"/>
  <c r="C2304" i="2"/>
  <c r="D2303" i="2"/>
  <c r="C2303" i="2"/>
  <c r="D2302" i="2"/>
  <c r="C2302" i="2"/>
  <c r="D2301" i="2"/>
  <c r="C2301" i="2"/>
  <c r="D2300" i="2"/>
  <c r="C2300" i="2"/>
  <c r="D2299" i="2"/>
  <c r="C2299" i="2"/>
  <c r="D2298" i="2"/>
  <c r="C2298" i="2"/>
  <c r="D2297" i="2"/>
  <c r="C2297" i="2"/>
  <c r="D2296" i="2"/>
  <c r="C2296" i="2"/>
  <c r="D2295" i="2"/>
  <c r="C2295" i="2"/>
  <c r="D2294" i="2"/>
  <c r="C2294" i="2"/>
  <c r="D2293" i="2"/>
  <c r="C2293" i="2"/>
  <c r="D2292" i="2"/>
  <c r="C2292" i="2"/>
  <c r="D2291" i="2"/>
  <c r="C2291" i="2"/>
  <c r="D2290" i="2"/>
  <c r="C2290" i="2"/>
  <c r="D2289" i="2"/>
  <c r="C2289" i="2"/>
  <c r="D2288" i="2"/>
  <c r="C2288" i="2"/>
  <c r="D2287" i="2"/>
  <c r="C2287" i="2"/>
  <c r="D2286" i="2"/>
  <c r="C2286" i="2"/>
  <c r="D2285" i="2"/>
  <c r="C2285" i="2"/>
  <c r="D2284" i="2"/>
  <c r="C2284" i="2"/>
  <c r="D2283" i="2"/>
  <c r="C2283" i="2"/>
  <c r="D2282" i="2"/>
  <c r="C2282" i="2"/>
  <c r="D2281" i="2"/>
  <c r="C2281" i="2"/>
  <c r="D2280" i="2"/>
  <c r="C2280" i="2"/>
  <c r="D2279" i="2"/>
  <c r="C2279" i="2"/>
  <c r="D2278" i="2"/>
  <c r="C2278" i="2"/>
  <c r="D2277" i="2"/>
  <c r="C2277" i="2"/>
  <c r="D2276" i="2"/>
  <c r="C2276" i="2"/>
  <c r="D2275" i="2"/>
  <c r="C2275" i="2"/>
  <c r="D2274" i="2"/>
  <c r="C2274" i="2"/>
  <c r="D2273" i="2"/>
  <c r="C2273" i="2"/>
  <c r="D2272" i="2"/>
  <c r="C2272" i="2"/>
  <c r="D2271" i="2"/>
  <c r="C2271" i="2"/>
  <c r="D2270" i="2"/>
  <c r="C2270" i="2"/>
  <c r="D2269" i="2"/>
  <c r="C2269" i="2"/>
  <c r="D2268" i="2"/>
  <c r="C2268" i="2"/>
  <c r="D2267" i="2"/>
  <c r="C2267" i="2"/>
  <c r="D2266" i="2"/>
  <c r="C2266" i="2"/>
  <c r="D2265" i="2"/>
  <c r="C2265" i="2"/>
  <c r="D2264" i="2"/>
  <c r="C2264" i="2"/>
  <c r="D2263" i="2"/>
  <c r="C2263" i="2"/>
  <c r="D2262" i="2"/>
  <c r="C2262" i="2"/>
  <c r="D2261" i="2"/>
  <c r="C2261" i="2"/>
  <c r="D2260" i="2"/>
  <c r="C2260" i="2"/>
  <c r="D2259" i="2"/>
  <c r="C2259" i="2"/>
  <c r="D2258" i="2"/>
  <c r="C2258" i="2"/>
  <c r="D2257" i="2"/>
  <c r="C2257" i="2"/>
  <c r="D2256" i="2"/>
  <c r="C2256" i="2"/>
  <c r="D2255" i="2"/>
  <c r="C2255" i="2"/>
  <c r="D2254" i="2"/>
  <c r="C2254" i="2"/>
  <c r="D2253" i="2"/>
  <c r="C2253" i="2"/>
  <c r="D2252" i="2"/>
  <c r="C2252" i="2"/>
  <c r="D2251" i="2"/>
  <c r="C2251" i="2"/>
  <c r="D2250" i="2"/>
  <c r="C2250" i="2"/>
  <c r="D2249" i="2"/>
  <c r="C2249" i="2"/>
  <c r="D2248" i="2"/>
  <c r="C2248" i="2"/>
  <c r="D2247" i="2"/>
  <c r="C2247" i="2"/>
  <c r="D2246" i="2"/>
  <c r="C2246" i="2"/>
  <c r="D2245" i="2"/>
  <c r="C2245" i="2"/>
  <c r="D2244" i="2"/>
  <c r="C2244" i="2"/>
  <c r="D2243" i="2"/>
  <c r="C2243" i="2"/>
  <c r="D2242" i="2"/>
  <c r="C2242" i="2"/>
  <c r="D2241" i="2"/>
  <c r="C2241" i="2"/>
  <c r="D2240" i="2"/>
  <c r="C2240" i="2"/>
  <c r="D2239" i="2"/>
  <c r="C2239" i="2"/>
  <c r="D2238" i="2"/>
  <c r="C2238" i="2"/>
  <c r="D2237" i="2"/>
  <c r="C2237" i="2"/>
  <c r="D2236" i="2"/>
  <c r="C2236" i="2"/>
  <c r="D2235" i="2"/>
  <c r="C2235" i="2"/>
  <c r="D2234" i="2"/>
  <c r="C2234" i="2"/>
  <c r="D2233" i="2"/>
  <c r="C2233" i="2"/>
  <c r="D2232" i="2"/>
  <c r="C2232" i="2"/>
  <c r="D2231" i="2"/>
  <c r="C2231" i="2"/>
  <c r="D2230" i="2"/>
  <c r="C2230" i="2"/>
  <c r="D2229" i="2"/>
  <c r="C2229" i="2"/>
  <c r="D2228" i="2"/>
  <c r="C2228" i="2"/>
  <c r="D2227" i="2"/>
  <c r="C2227" i="2"/>
  <c r="D2226" i="2"/>
  <c r="C2226" i="2"/>
  <c r="D2225" i="2"/>
  <c r="C2225" i="2"/>
  <c r="D2224" i="2"/>
  <c r="C2224" i="2"/>
  <c r="D2223" i="2"/>
  <c r="C2223" i="2"/>
  <c r="D2222" i="2"/>
  <c r="C2222" i="2"/>
  <c r="D2221" i="2"/>
  <c r="C2221" i="2"/>
  <c r="D2220" i="2"/>
  <c r="C2220" i="2"/>
  <c r="D2219" i="2"/>
  <c r="C2219" i="2"/>
  <c r="D2218" i="2"/>
  <c r="C2218" i="2"/>
  <c r="D2217" i="2"/>
  <c r="C2217" i="2"/>
  <c r="D2216" i="2"/>
  <c r="C2216" i="2"/>
  <c r="D2215" i="2"/>
  <c r="C2215" i="2"/>
  <c r="D2214" i="2"/>
  <c r="C2214" i="2"/>
  <c r="D2213" i="2"/>
  <c r="C2213" i="2"/>
  <c r="D2212" i="2"/>
  <c r="C2212" i="2"/>
  <c r="D2211" i="2"/>
  <c r="C2211" i="2"/>
  <c r="D2210" i="2"/>
  <c r="C2210" i="2"/>
  <c r="D2209" i="2"/>
  <c r="C2209" i="2"/>
  <c r="D2208" i="2"/>
  <c r="C2208" i="2"/>
  <c r="D2207" i="2"/>
  <c r="C2207" i="2"/>
  <c r="D2206" i="2"/>
  <c r="C2206" i="2"/>
  <c r="D2205" i="2"/>
  <c r="C2205" i="2"/>
  <c r="D2204" i="2"/>
  <c r="C2204" i="2"/>
  <c r="D2203" i="2"/>
  <c r="C2203" i="2"/>
  <c r="D2202" i="2"/>
  <c r="C2202" i="2"/>
  <c r="D2201" i="2"/>
  <c r="C2201" i="2"/>
  <c r="D2200" i="2"/>
  <c r="C2200" i="2"/>
  <c r="D2199" i="2"/>
  <c r="C2199" i="2"/>
  <c r="D2198" i="2"/>
  <c r="C2198" i="2"/>
  <c r="D2197" i="2"/>
  <c r="C2197" i="2"/>
  <c r="D2196" i="2"/>
  <c r="C2196" i="2"/>
  <c r="D2195" i="2"/>
  <c r="C2195" i="2"/>
  <c r="D2194" i="2"/>
  <c r="C2194" i="2"/>
  <c r="D2193" i="2"/>
  <c r="C2193" i="2"/>
  <c r="D2192" i="2"/>
  <c r="C2192" i="2"/>
  <c r="D2191" i="2"/>
  <c r="C2191" i="2"/>
  <c r="D2190" i="2"/>
  <c r="C2190" i="2"/>
  <c r="D2189" i="2"/>
  <c r="C2189" i="2"/>
  <c r="D2188" i="2"/>
  <c r="C2188" i="2"/>
  <c r="D2187" i="2"/>
  <c r="C2187" i="2"/>
  <c r="D2186" i="2"/>
  <c r="C2186" i="2"/>
  <c r="D2185" i="2"/>
  <c r="C2185" i="2"/>
  <c r="D2184" i="2"/>
  <c r="C2184" i="2"/>
  <c r="D2183" i="2"/>
  <c r="C2183" i="2"/>
  <c r="D2182" i="2"/>
  <c r="C2182" i="2"/>
  <c r="D2181" i="2"/>
  <c r="C2181" i="2"/>
  <c r="D2180" i="2"/>
  <c r="C2180" i="2"/>
  <c r="D2179" i="2"/>
  <c r="C2179" i="2"/>
  <c r="D2178" i="2"/>
  <c r="C2178" i="2"/>
  <c r="D2177" i="2"/>
  <c r="C2177" i="2"/>
  <c r="D2176" i="2"/>
  <c r="C2176" i="2"/>
  <c r="D2175" i="2"/>
  <c r="C2175" i="2"/>
  <c r="D2174" i="2"/>
  <c r="C2174" i="2"/>
  <c r="D2173" i="2"/>
  <c r="C2173" i="2"/>
  <c r="D2172" i="2"/>
  <c r="C2172" i="2"/>
  <c r="D2171" i="2"/>
  <c r="C2171" i="2"/>
  <c r="D2170" i="2"/>
  <c r="C2170" i="2"/>
  <c r="D2169" i="2"/>
  <c r="C2169" i="2"/>
  <c r="D2168" i="2"/>
  <c r="C2168" i="2"/>
  <c r="D2167" i="2"/>
  <c r="C2167" i="2"/>
  <c r="D2166" i="2"/>
  <c r="C2166" i="2"/>
  <c r="D2165" i="2"/>
  <c r="C2165" i="2"/>
  <c r="D2164" i="2"/>
  <c r="C2164" i="2"/>
  <c r="D2163" i="2"/>
  <c r="C2163" i="2"/>
  <c r="D2162" i="2"/>
  <c r="C2162" i="2"/>
  <c r="D2161" i="2"/>
  <c r="C2161" i="2"/>
  <c r="D2160" i="2"/>
  <c r="C2160" i="2"/>
  <c r="D2159" i="2"/>
  <c r="C2159" i="2"/>
  <c r="D2158" i="2"/>
  <c r="C2158" i="2"/>
  <c r="D2157" i="2"/>
  <c r="C2157" i="2"/>
  <c r="D2156" i="2"/>
  <c r="C2156" i="2"/>
  <c r="D2155" i="2"/>
  <c r="C2155" i="2"/>
  <c r="D2154" i="2"/>
  <c r="C2154" i="2"/>
  <c r="D2153" i="2"/>
  <c r="C2153" i="2"/>
  <c r="D2152" i="2"/>
  <c r="C2152" i="2"/>
  <c r="D2151" i="2"/>
  <c r="C2151" i="2"/>
  <c r="D2150" i="2"/>
  <c r="C2150" i="2"/>
  <c r="D2149" i="2"/>
  <c r="C2149" i="2"/>
  <c r="D2148" i="2"/>
  <c r="C2148" i="2"/>
  <c r="D2147" i="2"/>
  <c r="C2147" i="2"/>
  <c r="D2146" i="2"/>
  <c r="C2146" i="2"/>
  <c r="D2145" i="2"/>
  <c r="C2145" i="2"/>
  <c r="D2144" i="2"/>
  <c r="C2144" i="2"/>
  <c r="D2143" i="2"/>
  <c r="C2143" i="2"/>
  <c r="D2142" i="2"/>
  <c r="C2142" i="2"/>
  <c r="D2141" i="2"/>
  <c r="C2141" i="2"/>
  <c r="D2140" i="2"/>
  <c r="C2140" i="2"/>
  <c r="D2139" i="2"/>
  <c r="C2139" i="2"/>
  <c r="D2138" i="2"/>
  <c r="C2138" i="2"/>
  <c r="D2137" i="2"/>
  <c r="C2137" i="2"/>
  <c r="D2136" i="2"/>
  <c r="C2136" i="2"/>
  <c r="D2135" i="2"/>
  <c r="C2135" i="2"/>
  <c r="D2134" i="2"/>
  <c r="C2134" i="2"/>
  <c r="D2133" i="2"/>
  <c r="C2133" i="2"/>
  <c r="D2132" i="2"/>
  <c r="C2132" i="2"/>
  <c r="D2131" i="2"/>
  <c r="C2131" i="2"/>
  <c r="D2130" i="2"/>
  <c r="C2130" i="2"/>
  <c r="D2129" i="2"/>
  <c r="C2129" i="2"/>
  <c r="D2128" i="2"/>
  <c r="C2128" i="2"/>
  <c r="D2127" i="2"/>
  <c r="C2127" i="2"/>
  <c r="D2126" i="2"/>
  <c r="C2126" i="2"/>
  <c r="D2125" i="2"/>
  <c r="C2125" i="2"/>
  <c r="D2124" i="2"/>
  <c r="C2124" i="2"/>
  <c r="D2123" i="2"/>
  <c r="C2123" i="2"/>
  <c r="D2122" i="2"/>
  <c r="C2122" i="2"/>
  <c r="D2121" i="2"/>
  <c r="C2121" i="2"/>
  <c r="D2120" i="2"/>
  <c r="C2120" i="2"/>
  <c r="D2119" i="2"/>
  <c r="C2119" i="2"/>
  <c r="D2118" i="2"/>
  <c r="C2118" i="2"/>
  <c r="D2117" i="2"/>
  <c r="C2117" i="2"/>
  <c r="D2116" i="2"/>
  <c r="C2116" i="2"/>
  <c r="D2115" i="2"/>
  <c r="C2115" i="2"/>
  <c r="D2114" i="2"/>
  <c r="C2114" i="2"/>
  <c r="D2113" i="2"/>
  <c r="C2113" i="2"/>
  <c r="D2112" i="2"/>
  <c r="C2112" i="2"/>
  <c r="D2111" i="2"/>
  <c r="C2111" i="2"/>
  <c r="D2110" i="2"/>
  <c r="C2110" i="2"/>
  <c r="D2109" i="2"/>
  <c r="C2109" i="2"/>
  <c r="D2108" i="2"/>
  <c r="C2108" i="2"/>
  <c r="D2107" i="2"/>
  <c r="C2107" i="2"/>
  <c r="D2106" i="2"/>
  <c r="C2106" i="2"/>
  <c r="D2105" i="2"/>
  <c r="C2105" i="2"/>
  <c r="D2104" i="2"/>
  <c r="C2104" i="2"/>
  <c r="D2103" i="2"/>
  <c r="C2103" i="2"/>
  <c r="D2102" i="2"/>
  <c r="C2102" i="2"/>
  <c r="D2101" i="2"/>
  <c r="C2101" i="2"/>
  <c r="D2100" i="2"/>
  <c r="C2100" i="2"/>
  <c r="D2099" i="2"/>
  <c r="C2099" i="2"/>
  <c r="D2098" i="2"/>
  <c r="C2098" i="2"/>
  <c r="D2097" i="2"/>
  <c r="C2097" i="2"/>
  <c r="D2096" i="2"/>
  <c r="C2096" i="2"/>
  <c r="D2095" i="2"/>
  <c r="C2095" i="2"/>
  <c r="D2094" i="2"/>
  <c r="C2094" i="2"/>
  <c r="D2093" i="2"/>
  <c r="C2093" i="2"/>
  <c r="D2092" i="2"/>
  <c r="C2092" i="2"/>
  <c r="D2091" i="2"/>
  <c r="C2091" i="2"/>
  <c r="D2090" i="2"/>
  <c r="C2090" i="2"/>
  <c r="D2089" i="2"/>
  <c r="C2089" i="2"/>
  <c r="D2088" i="2"/>
  <c r="C2088" i="2"/>
  <c r="D2087" i="2"/>
  <c r="C2087" i="2"/>
  <c r="D2086" i="2"/>
  <c r="C2086" i="2"/>
  <c r="D2085" i="2"/>
  <c r="C2085" i="2"/>
  <c r="D2084" i="2"/>
  <c r="C2084" i="2"/>
  <c r="D2083" i="2"/>
  <c r="C2083" i="2"/>
  <c r="D2082" i="2"/>
  <c r="C2082" i="2"/>
  <c r="D2081" i="2"/>
  <c r="C2081" i="2"/>
  <c r="D2080" i="2"/>
  <c r="C2080" i="2"/>
  <c r="D2079" i="2"/>
  <c r="C2079" i="2"/>
  <c r="D2078" i="2"/>
  <c r="C2078" i="2"/>
  <c r="D2077" i="2"/>
  <c r="C2077" i="2"/>
  <c r="D2076" i="2"/>
  <c r="C2076" i="2"/>
  <c r="D2075" i="2"/>
  <c r="C2075" i="2"/>
  <c r="D2074" i="2"/>
  <c r="C2074" i="2"/>
  <c r="D2073" i="2"/>
  <c r="C2073" i="2"/>
  <c r="D2072" i="2"/>
  <c r="C2072" i="2"/>
  <c r="D2071" i="2"/>
  <c r="C2071" i="2"/>
  <c r="D2070" i="2"/>
  <c r="C2070" i="2"/>
  <c r="D2069" i="2"/>
  <c r="C2069" i="2"/>
  <c r="D2068" i="2"/>
  <c r="C2068" i="2"/>
  <c r="D2067" i="2"/>
  <c r="C2067" i="2"/>
  <c r="D2066" i="2"/>
  <c r="C2066" i="2"/>
  <c r="D2065" i="2"/>
  <c r="C2065" i="2"/>
  <c r="D2064" i="2"/>
  <c r="C2064" i="2"/>
  <c r="D2063" i="2"/>
  <c r="C2063" i="2"/>
  <c r="D2062" i="2"/>
  <c r="C2062" i="2"/>
  <c r="D2061" i="2"/>
  <c r="C2061" i="2"/>
  <c r="D2060" i="2"/>
  <c r="C2060" i="2"/>
  <c r="D2059" i="2"/>
  <c r="C2059" i="2"/>
  <c r="D2058" i="2"/>
  <c r="C2058" i="2"/>
  <c r="D2057" i="2"/>
  <c r="C2057" i="2"/>
  <c r="D2056" i="2"/>
  <c r="C2056" i="2"/>
  <c r="D2055" i="2"/>
  <c r="C2055" i="2"/>
  <c r="D2054" i="2"/>
  <c r="C2054" i="2"/>
  <c r="D2053" i="2"/>
  <c r="C2053" i="2"/>
  <c r="D2052" i="2"/>
  <c r="C2052" i="2"/>
  <c r="D2051" i="2"/>
  <c r="C2051" i="2"/>
  <c r="D2050" i="2"/>
  <c r="C2050" i="2"/>
  <c r="D2049" i="2"/>
  <c r="C2049" i="2"/>
  <c r="D2048" i="2"/>
  <c r="C2048" i="2"/>
  <c r="D2047" i="2"/>
  <c r="C2047" i="2"/>
  <c r="D2046" i="2"/>
  <c r="C2046" i="2"/>
  <c r="D2045" i="2"/>
  <c r="C2045" i="2"/>
  <c r="D2044" i="2"/>
  <c r="C2044" i="2"/>
  <c r="D2043" i="2"/>
  <c r="C2043" i="2"/>
  <c r="D2042" i="2"/>
  <c r="C2042" i="2"/>
  <c r="D2041" i="2"/>
  <c r="C2041" i="2"/>
  <c r="D2040" i="2"/>
  <c r="C2040" i="2"/>
  <c r="D2039" i="2"/>
  <c r="C2039" i="2"/>
  <c r="D2038" i="2"/>
  <c r="C2038" i="2"/>
  <c r="D2037" i="2"/>
  <c r="C2037" i="2"/>
  <c r="D2036" i="2"/>
  <c r="C2036" i="2"/>
  <c r="D2035" i="2"/>
  <c r="C2035" i="2"/>
  <c r="D2034" i="2"/>
  <c r="C2034" i="2"/>
  <c r="D2033" i="2"/>
  <c r="C2033" i="2"/>
  <c r="D2032" i="2"/>
  <c r="C2032" i="2"/>
  <c r="D2031" i="2"/>
  <c r="C2031" i="2"/>
  <c r="D2030" i="2"/>
  <c r="C2030" i="2"/>
  <c r="D2029" i="2"/>
  <c r="C2029" i="2"/>
  <c r="D2028" i="2"/>
  <c r="C2028" i="2"/>
  <c r="D2027" i="2"/>
  <c r="C2027" i="2"/>
  <c r="D2026" i="2"/>
  <c r="C2026" i="2"/>
  <c r="D2025" i="2"/>
  <c r="C2025" i="2"/>
  <c r="D2024" i="2"/>
  <c r="C2024" i="2"/>
  <c r="D2023" i="2"/>
  <c r="C2023" i="2"/>
  <c r="D2022" i="2"/>
  <c r="C2022" i="2"/>
  <c r="D2021" i="2"/>
  <c r="C2021" i="2"/>
  <c r="D2020" i="2"/>
  <c r="C2020" i="2"/>
  <c r="D2019" i="2"/>
  <c r="C2019" i="2"/>
  <c r="D2018" i="2"/>
  <c r="C2018" i="2"/>
  <c r="D2017" i="2"/>
  <c r="C2017" i="2"/>
  <c r="D2016" i="2"/>
  <c r="C2016" i="2"/>
  <c r="D2015" i="2"/>
  <c r="C2015" i="2"/>
  <c r="D2014" i="2"/>
  <c r="C2014" i="2"/>
  <c r="D2013" i="2"/>
  <c r="C2013" i="2"/>
  <c r="D2012" i="2"/>
  <c r="C2012" i="2"/>
  <c r="D2011" i="2"/>
  <c r="C2011" i="2"/>
  <c r="D2010" i="2"/>
  <c r="C2010" i="2"/>
  <c r="D2009" i="2"/>
  <c r="C2009" i="2"/>
  <c r="D2008" i="2"/>
  <c r="C2008" i="2"/>
  <c r="D2007" i="2"/>
  <c r="C2007" i="2"/>
  <c r="D2006" i="2"/>
  <c r="C2006" i="2"/>
  <c r="D2005" i="2"/>
  <c r="C2005" i="2"/>
  <c r="D2004" i="2"/>
  <c r="C2004" i="2"/>
  <c r="D2003" i="2"/>
  <c r="C2003" i="2"/>
  <c r="D2002" i="2"/>
  <c r="C2002" i="2"/>
  <c r="D2001" i="2"/>
  <c r="C2001" i="2"/>
  <c r="D2000" i="2"/>
  <c r="C2000" i="2"/>
  <c r="D1999" i="2"/>
  <c r="C1999" i="2"/>
  <c r="D1998" i="2"/>
  <c r="C1998" i="2"/>
  <c r="D1997" i="2"/>
  <c r="C1997" i="2"/>
  <c r="D1996" i="2"/>
  <c r="C1996" i="2"/>
  <c r="D1995" i="2"/>
  <c r="C1995" i="2"/>
  <c r="D1994" i="2"/>
  <c r="C1994" i="2"/>
  <c r="D1993" i="2"/>
  <c r="C1993" i="2"/>
  <c r="D1992" i="2"/>
  <c r="C1992" i="2"/>
  <c r="D1991" i="2"/>
  <c r="C1991" i="2"/>
  <c r="D1990" i="2"/>
  <c r="C1990" i="2"/>
  <c r="D1989" i="2"/>
  <c r="C1989" i="2"/>
  <c r="D1988" i="2"/>
  <c r="C1988" i="2"/>
  <c r="D1987" i="2"/>
  <c r="C1987" i="2"/>
  <c r="D1986" i="2"/>
  <c r="C1986" i="2"/>
  <c r="D1985" i="2"/>
  <c r="C1985" i="2"/>
  <c r="D1984" i="2"/>
  <c r="C1984" i="2"/>
  <c r="D1983" i="2"/>
  <c r="C1983" i="2"/>
  <c r="D1982" i="2"/>
  <c r="C1982" i="2"/>
  <c r="D1981" i="2"/>
  <c r="C1981" i="2"/>
  <c r="D1980" i="2"/>
  <c r="C1980" i="2"/>
  <c r="D1979" i="2"/>
  <c r="C1979" i="2"/>
  <c r="D1978" i="2"/>
  <c r="C1978" i="2"/>
  <c r="D1977" i="2"/>
  <c r="C1977" i="2"/>
  <c r="D1976" i="2"/>
  <c r="C1976" i="2"/>
  <c r="D1975" i="2"/>
  <c r="C1975" i="2"/>
  <c r="D1974" i="2"/>
  <c r="C1974" i="2"/>
  <c r="D1973" i="2"/>
  <c r="C1973" i="2"/>
  <c r="D1972" i="2"/>
  <c r="C1972" i="2"/>
  <c r="D1971" i="2"/>
  <c r="C1971" i="2"/>
  <c r="D1970" i="2"/>
  <c r="C1970" i="2"/>
  <c r="D1969" i="2"/>
  <c r="C1969" i="2"/>
  <c r="D1968" i="2"/>
  <c r="C1968" i="2"/>
  <c r="D1967" i="2"/>
  <c r="C1967" i="2"/>
  <c r="D1966" i="2"/>
  <c r="C1966" i="2"/>
  <c r="D1965" i="2"/>
  <c r="C1965" i="2"/>
  <c r="D1964" i="2"/>
  <c r="C1964" i="2"/>
  <c r="D1963" i="2"/>
  <c r="C1963" i="2"/>
  <c r="D1962" i="2"/>
  <c r="C1962" i="2"/>
  <c r="D1961" i="2"/>
  <c r="C1961" i="2"/>
  <c r="D1960" i="2"/>
  <c r="C1960" i="2"/>
  <c r="D1959" i="2"/>
  <c r="C1959" i="2"/>
  <c r="D1958" i="2"/>
  <c r="C1958" i="2"/>
  <c r="D1957" i="2"/>
  <c r="C1957" i="2"/>
  <c r="D1956" i="2"/>
  <c r="C1956" i="2"/>
  <c r="D1955" i="2"/>
  <c r="C1955" i="2"/>
  <c r="D1954" i="2"/>
  <c r="C1954" i="2"/>
  <c r="D1953" i="2"/>
  <c r="C1953" i="2"/>
  <c r="D1952" i="2"/>
  <c r="C1952" i="2"/>
  <c r="D1951" i="2"/>
  <c r="C1951" i="2"/>
  <c r="D1950" i="2"/>
  <c r="C1950" i="2"/>
  <c r="D1949" i="2"/>
  <c r="C1949" i="2"/>
  <c r="D1948" i="2"/>
  <c r="C1948" i="2"/>
  <c r="D1947" i="2"/>
  <c r="C1947" i="2"/>
  <c r="D1946" i="2"/>
  <c r="C1946" i="2"/>
  <c r="D1945" i="2"/>
  <c r="C1945" i="2"/>
  <c r="D1944" i="2"/>
  <c r="C1944" i="2"/>
  <c r="D1943" i="2"/>
  <c r="C1943" i="2"/>
  <c r="D1942" i="2"/>
  <c r="C1942" i="2"/>
  <c r="D1941" i="2"/>
  <c r="C1941" i="2"/>
  <c r="D1940" i="2"/>
  <c r="C1940" i="2"/>
  <c r="D1939" i="2"/>
  <c r="C1939" i="2"/>
  <c r="D1938" i="2"/>
  <c r="C1938" i="2"/>
  <c r="D1937" i="2"/>
  <c r="C1937" i="2"/>
  <c r="D1936" i="2"/>
  <c r="C1936" i="2"/>
  <c r="D1935" i="2"/>
  <c r="C1935" i="2"/>
  <c r="D1934" i="2"/>
  <c r="C1934" i="2"/>
  <c r="D1933" i="2"/>
  <c r="C1933" i="2"/>
  <c r="D1932" i="2"/>
  <c r="C1932" i="2"/>
  <c r="D1931" i="2"/>
  <c r="C1931" i="2"/>
  <c r="D1930" i="2"/>
  <c r="C1930" i="2"/>
  <c r="D1929" i="2"/>
  <c r="C1929" i="2"/>
  <c r="D1928" i="2"/>
  <c r="C1928" i="2"/>
  <c r="D1927" i="2"/>
  <c r="C1927" i="2"/>
  <c r="D1926" i="2"/>
  <c r="C1926" i="2"/>
  <c r="D1925" i="2"/>
  <c r="C1925" i="2"/>
  <c r="D1924" i="2"/>
  <c r="C1924" i="2"/>
  <c r="D1923" i="2"/>
  <c r="C1923" i="2"/>
  <c r="D1922" i="2"/>
  <c r="C1922" i="2"/>
  <c r="D1921" i="2"/>
  <c r="C1921" i="2"/>
  <c r="D1920" i="2"/>
  <c r="C1920" i="2"/>
  <c r="D1919" i="2"/>
  <c r="C1919" i="2"/>
  <c r="D1918" i="2"/>
  <c r="C1918" i="2"/>
  <c r="D1917" i="2"/>
  <c r="C1917" i="2"/>
  <c r="D1916" i="2"/>
  <c r="C1916" i="2"/>
  <c r="D1915" i="2"/>
  <c r="C1915" i="2"/>
  <c r="D1914" i="2"/>
  <c r="C1914" i="2"/>
  <c r="D1913" i="2"/>
  <c r="C1913" i="2"/>
  <c r="D1912" i="2"/>
  <c r="C1912" i="2"/>
  <c r="D1911" i="2"/>
  <c r="C1911" i="2"/>
  <c r="D1910" i="2"/>
  <c r="C1910" i="2"/>
  <c r="D1909" i="2"/>
  <c r="C1909" i="2"/>
  <c r="D1908" i="2"/>
  <c r="C1908" i="2"/>
  <c r="D1907" i="2"/>
  <c r="C1907" i="2"/>
  <c r="D1906" i="2"/>
  <c r="C1906" i="2"/>
  <c r="D1905" i="2"/>
  <c r="C1905" i="2"/>
  <c r="D1904" i="2"/>
  <c r="C1904" i="2"/>
  <c r="D1903" i="2"/>
  <c r="C1903" i="2"/>
  <c r="D1902" i="2"/>
  <c r="C1902" i="2"/>
  <c r="D1901" i="2"/>
  <c r="C1901" i="2"/>
  <c r="D1900" i="2"/>
  <c r="C1900" i="2"/>
  <c r="D1899" i="2"/>
  <c r="C1899" i="2"/>
  <c r="D1898" i="2"/>
  <c r="C1898" i="2"/>
  <c r="D1897" i="2"/>
  <c r="C1897" i="2"/>
  <c r="D1896" i="2"/>
  <c r="C1896" i="2"/>
  <c r="D1895" i="2"/>
  <c r="C1895" i="2"/>
  <c r="D1894" i="2"/>
  <c r="C1894" i="2"/>
  <c r="D1893" i="2"/>
  <c r="C1893" i="2"/>
  <c r="D1892" i="2"/>
  <c r="C1892" i="2"/>
  <c r="D1891" i="2"/>
  <c r="C1891" i="2"/>
  <c r="D1890" i="2"/>
  <c r="C1890" i="2"/>
  <c r="D1889" i="2"/>
  <c r="C1889" i="2"/>
  <c r="D1888" i="2"/>
  <c r="C1888" i="2"/>
  <c r="D1887" i="2"/>
  <c r="C1887" i="2"/>
  <c r="D1886" i="2"/>
  <c r="C1886" i="2"/>
  <c r="D1885" i="2"/>
  <c r="C1885" i="2"/>
  <c r="D1884" i="2"/>
  <c r="C1884" i="2"/>
  <c r="D1883" i="2"/>
  <c r="C1883" i="2"/>
  <c r="D1882" i="2"/>
  <c r="C1882" i="2"/>
  <c r="D1881" i="2"/>
  <c r="C1881" i="2"/>
  <c r="D1880" i="2"/>
  <c r="C1880" i="2"/>
  <c r="D1879" i="2"/>
  <c r="C1879" i="2"/>
  <c r="D1878" i="2"/>
  <c r="C1878" i="2"/>
  <c r="D1877" i="2"/>
  <c r="C1877" i="2"/>
  <c r="D1876" i="2"/>
  <c r="C1876" i="2"/>
  <c r="D1875" i="2"/>
  <c r="C1875" i="2"/>
  <c r="D1874" i="2"/>
  <c r="C1874" i="2"/>
  <c r="D1873" i="2"/>
  <c r="C1873" i="2"/>
  <c r="D1872" i="2"/>
  <c r="C1872" i="2"/>
  <c r="D1871" i="2"/>
  <c r="C1871" i="2"/>
  <c r="D1870" i="2"/>
  <c r="C1870" i="2"/>
  <c r="D1869" i="2"/>
  <c r="C1869" i="2"/>
  <c r="D1868" i="2"/>
  <c r="C1868" i="2"/>
  <c r="D1867" i="2"/>
  <c r="C1867" i="2"/>
  <c r="D1866" i="2"/>
  <c r="C1866" i="2"/>
  <c r="D1865" i="2"/>
  <c r="C1865" i="2"/>
  <c r="D1864" i="2"/>
  <c r="C1864" i="2"/>
  <c r="D1863" i="2"/>
  <c r="C1863" i="2"/>
  <c r="D1862" i="2"/>
  <c r="C1862" i="2"/>
  <c r="D1861" i="2"/>
  <c r="C1861" i="2"/>
  <c r="D1860" i="2"/>
  <c r="C1860" i="2"/>
  <c r="D1859" i="2"/>
  <c r="C1859" i="2"/>
  <c r="D1858" i="2"/>
  <c r="C1858" i="2"/>
  <c r="D1857" i="2"/>
  <c r="C1857" i="2"/>
  <c r="D1856" i="2"/>
  <c r="C1856" i="2"/>
  <c r="D1855" i="2"/>
  <c r="C1855" i="2"/>
  <c r="D1854" i="2"/>
  <c r="C1854" i="2"/>
  <c r="D1853" i="2"/>
  <c r="C1853" i="2"/>
  <c r="D1852" i="2"/>
  <c r="C1852" i="2"/>
  <c r="D1851" i="2"/>
  <c r="C1851" i="2"/>
  <c r="D1850" i="2"/>
  <c r="C1850" i="2"/>
  <c r="D1849" i="2"/>
  <c r="C1849" i="2"/>
  <c r="D1848" i="2"/>
  <c r="C1848" i="2"/>
  <c r="D1847" i="2"/>
  <c r="C1847" i="2"/>
  <c r="D1846" i="2"/>
  <c r="C1846" i="2"/>
  <c r="D1845" i="2"/>
  <c r="C1845" i="2"/>
  <c r="D1844" i="2"/>
  <c r="C1844" i="2"/>
  <c r="D1843" i="2"/>
  <c r="C1843" i="2"/>
  <c r="D1842" i="2"/>
  <c r="C1842" i="2"/>
  <c r="D1841" i="2"/>
  <c r="C1841" i="2"/>
  <c r="D1840" i="2"/>
  <c r="C1840" i="2"/>
  <c r="D1839" i="2"/>
  <c r="C1839" i="2"/>
  <c r="D1838" i="2"/>
  <c r="C1838" i="2"/>
  <c r="D1837" i="2"/>
  <c r="C1837" i="2"/>
  <c r="D1836" i="2"/>
  <c r="C1836" i="2"/>
  <c r="D1835" i="2"/>
  <c r="C1835" i="2"/>
  <c r="D1834" i="2"/>
  <c r="C1834" i="2"/>
  <c r="D1833" i="2"/>
  <c r="C1833" i="2"/>
  <c r="D1832" i="2"/>
  <c r="C1832" i="2"/>
  <c r="D1831" i="2"/>
  <c r="C1831" i="2"/>
  <c r="D1830" i="2"/>
  <c r="C1830" i="2"/>
  <c r="D1829" i="2"/>
  <c r="C1829" i="2"/>
  <c r="D1828" i="2"/>
  <c r="C1828" i="2"/>
  <c r="D1827" i="2"/>
  <c r="C1827" i="2"/>
  <c r="D1826" i="2"/>
  <c r="C1826" i="2"/>
  <c r="D1825" i="2"/>
  <c r="C1825" i="2"/>
  <c r="D1824" i="2"/>
  <c r="C1824" i="2"/>
  <c r="D1823" i="2"/>
  <c r="C1823" i="2"/>
  <c r="D1822" i="2"/>
  <c r="C1822" i="2"/>
  <c r="D1821" i="2"/>
  <c r="C1821" i="2"/>
  <c r="D1820" i="2"/>
  <c r="C1820" i="2"/>
  <c r="D1819" i="2"/>
  <c r="C1819" i="2"/>
  <c r="D1818" i="2"/>
  <c r="C1818" i="2"/>
  <c r="D1817" i="2"/>
  <c r="C1817" i="2"/>
  <c r="D1816" i="2"/>
  <c r="C1816" i="2"/>
  <c r="D1815" i="2"/>
  <c r="C1815" i="2"/>
  <c r="D1814" i="2"/>
  <c r="C1814" i="2"/>
  <c r="D1813" i="2"/>
  <c r="C1813" i="2"/>
  <c r="D1812" i="2"/>
  <c r="C1812" i="2"/>
  <c r="D1811" i="2"/>
  <c r="C1811" i="2"/>
  <c r="D1810" i="2"/>
  <c r="C1810" i="2"/>
  <c r="D1809" i="2"/>
  <c r="C1809" i="2"/>
  <c r="D1808" i="2"/>
  <c r="C1808" i="2"/>
  <c r="D1807" i="2"/>
  <c r="C1807" i="2"/>
  <c r="D1806" i="2"/>
  <c r="C1806" i="2"/>
  <c r="D1805" i="2"/>
  <c r="C1805" i="2"/>
  <c r="D1804" i="2"/>
  <c r="C1804" i="2"/>
  <c r="D1803" i="2"/>
  <c r="C1803" i="2"/>
  <c r="D1802" i="2"/>
  <c r="C1802" i="2"/>
  <c r="D1801" i="2"/>
  <c r="C1801" i="2"/>
  <c r="D1800" i="2"/>
  <c r="C1800" i="2"/>
  <c r="D1799" i="2"/>
  <c r="C1799" i="2"/>
  <c r="D1798" i="2"/>
  <c r="C1798" i="2"/>
  <c r="D1797" i="2"/>
  <c r="C1797" i="2"/>
  <c r="D1796" i="2"/>
  <c r="C1796" i="2"/>
  <c r="D1795" i="2"/>
  <c r="C1795" i="2"/>
  <c r="D1794" i="2"/>
  <c r="C1794" i="2"/>
  <c r="D1793" i="2"/>
  <c r="C1793" i="2"/>
  <c r="D1792" i="2"/>
  <c r="C1792" i="2"/>
  <c r="D1791" i="2"/>
  <c r="C1791" i="2"/>
  <c r="D1790" i="2"/>
  <c r="C1790" i="2"/>
  <c r="D1789" i="2"/>
  <c r="C1789" i="2"/>
  <c r="D1788" i="2"/>
  <c r="C1788" i="2"/>
  <c r="D1787" i="2"/>
  <c r="C1787" i="2"/>
  <c r="D1786" i="2"/>
  <c r="C1786" i="2"/>
  <c r="D1785" i="2"/>
  <c r="C1785" i="2"/>
  <c r="D1784" i="2"/>
  <c r="C1784" i="2"/>
  <c r="D1783" i="2"/>
  <c r="C1783" i="2"/>
  <c r="D1782" i="2"/>
  <c r="C1782" i="2"/>
  <c r="D1781" i="2"/>
  <c r="C1781" i="2"/>
  <c r="D1780" i="2"/>
  <c r="C1780" i="2"/>
  <c r="D1779" i="2"/>
  <c r="C1779" i="2"/>
  <c r="D1778" i="2"/>
  <c r="C1778" i="2"/>
  <c r="D1777" i="2"/>
  <c r="C1777" i="2"/>
  <c r="D1776" i="2"/>
  <c r="C1776" i="2"/>
  <c r="D1775" i="2"/>
  <c r="C1775" i="2"/>
  <c r="D1774" i="2"/>
  <c r="C1774" i="2"/>
  <c r="D1773" i="2"/>
  <c r="C1773" i="2"/>
  <c r="D1772" i="2"/>
  <c r="C1772" i="2"/>
  <c r="D1771" i="2"/>
  <c r="C1771" i="2"/>
  <c r="D1770" i="2"/>
  <c r="C1770" i="2"/>
  <c r="D1769" i="2"/>
  <c r="C1769" i="2"/>
  <c r="D1768" i="2"/>
  <c r="C1768" i="2"/>
  <c r="D1767" i="2"/>
  <c r="C1767" i="2"/>
  <c r="D1766" i="2"/>
  <c r="C1766" i="2"/>
  <c r="D1765" i="2"/>
  <c r="C1765" i="2"/>
  <c r="D1764" i="2"/>
  <c r="C1764" i="2"/>
  <c r="D1763" i="2"/>
  <c r="C1763" i="2"/>
  <c r="D1762" i="2"/>
  <c r="C1762" i="2"/>
  <c r="D1761" i="2"/>
  <c r="C1761" i="2"/>
  <c r="D1760" i="2"/>
  <c r="C1760" i="2"/>
  <c r="D1759" i="2"/>
  <c r="C1759" i="2"/>
  <c r="D1758" i="2"/>
  <c r="C1758" i="2"/>
  <c r="D1757" i="2"/>
  <c r="C1757" i="2"/>
  <c r="D1756" i="2"/>
  <c r="C1756" i="2"/>
  <c r="D1755" i="2"/>
  <c r="C1755" i="2"/>
  <c r="D1754" i="2"/>
  <c r="C1754" i="2"/>
  <c r="D1753" i="2"/>
  <c r="C1753" i="2"/>
  <c r="D1752" i="2"/>
  <c r="C1752" i="2"/>
  <c r="D1751" i="2"/>
  <c r="C1751" i="2"/>
  <c r="D1750" i="2"/>
  <c r="C1750" i="2"/>
  <c r="D1749" i="2"/>
  <c r="C1749" i="2"/>
  <c r="D1748" i="2"/>
  <c r="C1748" i="2"/>
  <c r="D1747" i="2"/>
  <c r="C1747" i="2"/>
  <c r="D1746" i="2"/>
  <c r="C1746" i="2"/>
  <c r="D1745" i="2"/>
  <c r="C1745" i="2"/>
  <c r="D1744" i="2"/>
  <c r="C1744" i="2"/>
  <c r="D1743" i="2"/>
  <c r="C1743" i="2"/>
  <c r="D1742" i="2"/>
  <c r="C1742" i="2"/>
  <c r="D1741" i="2"/>
  <c r="C1741" i="2"/>
  <c r="D1740" i="2"/>
  <c r="C1740" i="2"/>
  <c r="D1739" i="2"/>
  <c r="C1739" i="2"/>
  <c r="D1738" i="2"/>
  <c r="C1738" i="2"/>
  <c r="D1737" i="2"/>
  <c r="C1737" i="2"/>
  <c r="D1736" i="2"/>
  <c r="C1736" i="2"/>
  <c r="D1735" i="2"/>
  <c r="C1735" i="2"/>
  <c r="D1734" i="2"/>
  <c r="C1734" i="2"/>
  <c r="D1733" i="2"/>
  <c r="C1733" i="2"/>
  <c r="D1732" i="2"/>
  <c r="C1732" i="2"/>
  <c r="D1731" i="2"/>
  <c r="C1731" i="2"/>
  <c r="D1730" i="2"/>
  <c r="C1730" i="2"/>
  <c r="D1729" i="2"/>
  <c r="C1729" i="2"/>
  <c r="D1728" i="2"/>
  <c r="C1728" i="2"/>
  <c r="D1727" i="2"/>
  <c r="C1727" i="2"/>
  <c r="D1726" i="2"/>
  <c r="C1726" i="2"/>
  <c r="D1725" i="2"/>
  <c r="C1725" i="2"/>
  <c r="D1724" i="2"/>
  <c r="C1724" i="2"/>
  <c r="D1723" i="2"/>
  <c r="C1723" i="2"/>
  <c r="D1722" i="2"/>
  <c r="C1722" i="2"/>
  <c r="D1721" i="2"/>
  <c r="C1721" i="2"/>
  <c r="D1720" i="2"/>
  <c r="C1720" i="2"/>
  <c r="D1719" i="2"/>
  <c r="C1719" i="2"/>
  <c r="D1718" i="2"/>
  <c r="C1718" i="2"/>
  <c r="D1717" i="2"/>
  <c r="C1717" i="2"/>
  <c r="D1716" i="2"/>
  <c r="C1716" i="2"/>
  <c r="D1715" i="2"/>
  <c r="C1715" i="2"/>
  <c r="D1714" i="2"/>
  <c r="C1714" i="2"/>
  <c r="D1713" i="2"/>
  <c r="C1713" i="2"/>
  <c r="D1712" i="2"/>
  <c r="C1712" i="2"/>
  <c r="D1711" i="2"/>
  <c r="C1711" i="2"/>
  <c r="D1710" i="2"/>
  <c r="C1710" i="2"/>
  <c r="D1709" i="2"/>
  <c r="C1709" i="2"/>
  <c r="D1708" i="2"/>
  <c r="C1708" i="2"/>
  <c r="D1707" i="2"/>
  <c r="C1707" i="2"/>
  <c r="D1706" i="2"/>
  <c r="C1706" i="2"/>
  <c r="D1705" i="2"/>
  <c r="C1705" i="2"/>
  <c r="D1704" i="2"/>
  <c r="C1704" i="2"/>
  <c r="D1703" i="2"/>
  <c r="C1703" i="2"/>
  <c r="D1702" i="2"/>
  <c r="C1702" i="2"/>
  <c r="D1701" i="2"/>
  <c r="C1701" i="2"/>
  <c r="D1700" i="2"/>
  <c r="C1700" i="2"/>
  <c r="D1699" i="2"/>
  <c r="C1699" i="2"/>
  <c r="D1698" i="2"/>
  <c r="C1698" i="2"/>
  <c r="D1697" i="2"/>
  <c r="C1697" i="2"/>
  <c r="D1696" i="2"/>
  <c r="C1696" i="2"/>
  <c r="D1695" i="2"/>
  <c r="C1695" i="2"/>
  <c r="D1694" i="2"/>
  <c r="C1694" i="2"/>
  <c r="D1693" i="2"/>
  <c r="C1693" i="2"/>
  <c r="D1692" i="2"/>
  <c r="C1692" i="2"/>
  <c r="D1691" i="2"/>
  <c r="C1691" i="2"/>
  <c r="D1690" i="2"/>
  <c r="C1690" i="2"/>
  <c r="D1689" i="2"/>
  <c r="C1689" i="2"/>
  <c r="D1688" i="2"/>
  <c r="C1688" i="2"/>
  <c r="D1687" i="2"/>
  <c r="C1687" i="2"/>
  <c r="D1686" i="2"/>
  <c r="C1686" i="2"/>
  <c r="D1685" i="2"/>
  <c r="C1685" i="2"/>
  <c r="D1684" i="2"/>
  <c r="C1684" i="2"/>
  <c r="D1683" i="2"/>
  <c r="C1683" i="2"/>
  <c r="D1682" i="2"/>
  <c r="C1682" i="2"/>
  <c r="D1681" i="2"/>
  <c r="C1681" i="2"/>
  <c r="D1680" i="2"/>
  <c r="C1680" i="2"/>
  <c r="D1679" i="2"/>
  <c r="C1679" i="2"/>
  <c r="D1678" i="2"/>
  <c r="C1678" i="2"/>
  <c r="D1677" i="2"/>
  <c r="C1677" i="2"/>
  <c r="D1676" i="2"/>
  <c r="C1676" i="2"/>
  <c r="D1675" i="2"/>
  <c r="C1675" i="2"/>
  <c r="D1674" i="2"/>
  <c r="C1674" i="2"/>
  <c r="D1673" i="2"/>
  <c r="C1673" i="2"/>
  <c r="D1672" i="2"/>
  <c r="C1672" i="2"/>
  <c r="D1671" i="2"/>
  <c r="C1671" i="2"/>
  <c r="D1670" i="2"/>
  <c r="C1670" i="2"/>
  <c r="D1669" i="2"/>
  <c r="C1669" i="2"/>
  <c r="D1668" i="2"/>
  <c r="C1668" i="2"/>
  <c r="D1667" i="2"/>
  <c r="C1667" i="2"/>
  <c r="D1666" i="2"/>
  <c r="C1666" i="2"/>
  <c r="D1665" i="2"/>
  <c r="C1665" i="2"/>
  <c r="D1664" i="2"/>
  <c r="C1664" i="2"/>
  <c r="D1663" i="2"/>
  <c r="C1663" i="2"/>
  <c r="D1662" i="2"/>
  <c r="C1662" i="2"/>
  <c r="D1661" i="2"/>
  <c r="C1661" i="2"/>
  <c r="D1660" i="2"/>
  <c r="C1660" i="2"/>
  <c r="D1659" i="2"/>
  <c r="C1659" i="2"/>
  <c r="D1658" i="2"/>
  <c r="C1658" i="2"/>
  <c r="D1657" i="2"/>
  <c r="C1657" i="2"/>
  <c r="D1656" i="2"/>
  <c r="C1656" i="2"/>
  <c r="D1646" i="2"/>
  <c r="C1646" i="2"/>
  <c r="D1645" i="2"/>
  <c r="C1645" i="2"/>
  <c r="D1644" i="2"/>
  <c r="C1644" i="2"/>
  <c r="D1643" i="2"/>
  <c r="C1643" i="2"/>
  <c r="D1642" i="2"/>
  <c r="C1642" i="2"/>
  <c r="D1641" i="2"/>
  <c r="C1641" i="2"/>
  <c r="D1640" i="2"/>
  <c r="C1640" i="2"/>
  <c r="D1639" i="2"/>
  <c r="C1639" i="2"/>
  <c r="D1638" i="2"/>
  <c r="C1638" i="2"/>
  <c r="D1637" i="2"/>
  <c r="C1637" i="2"/>
  <c r="D1636" i="2"/>
  <c r="C1636" i="2"/>
  <c r="D1635" i="2"/>
  <c r="C1635" i="2"/>
  <c r="D1634" i="2"/>
  <c r="C1634" i="2"/>
  <c r="D1633" i="2"/>
  <c r="C1633" i="2"/>
  <c r="D1632" i="2"/>
  <c r="C1632" i="2"/>
  <c r="D1631" i="2"/>
  <c r="C1631" i="2"/>
  <c r="D1630" i="2"/>
  <c r="C1630" i="2"/>
  <c r="D1629" i="2"/>
  <c r="C1629" i="2"/>
  <c r="D1628" i="2"/>
  <c r="C1628" i="2"/>
  <c r="D1627" i="2"/>
  <c r="C1627" i="2"/>
  <c r="D1626" i="2"/>
  <c r="C1626" i="2"/>
  <c r="D1625" i="2"/>
  <c r="C1625" i="2"/>
  <c r="D1624" i="2"/>
  <c r="C1624" i="2"/>
  <c r="D1623" i="2"/>
  <c r="C1623" i="2"/>
  <c r="D1622" i="2"/>
  <c r="C1622" i="2"/>
  <c r="D1621" i="2"/>
  <c r="C1621" i="2"/>
  <c r="D1620" i="2"/>
  <c r="C1620" i="2"/>
  <c r="D1619" i="2"/>
  <c r="C1619" i="2"/>
  <c r="D1618" i="2"/>
  <c r="C1618" i="2"/>
  <c r="D1617" i="2"/>
  <c r="C1617" i="2"/>
  <c r="D1616" i="2"/>
  <c r="C1616" i="2"/>
  <c r="D1615" i="2"/>
  <c r="C1615" i="2"/>
  <c r="D1614" i="2"/>
  <c r="C1614" i="2"/>
  <c r="D1613" i="2"/>
  <c r="C1613" i="2"/>
  <c r="D1612" i="2"/>
  <c r="C1612" i="2"/>
  <c r="D1611" i="2"/>
  <c r="C1611" i="2"/>
  <c r="D1610" i="2"/>
  <c r="C1610" i="2"/>
  <c r="D1609" i="2"/>
  <c r="C1609" i="2"/>
  <c r="D1608" i="2"/>
  <c r="C1608" i="2"/>
  <c r="D1607" i="2"/>
  <c r="C1607" i="2"/>
  <c r="D1606" i="2"/>
  <c r="C1606" i="2"/>
  <c r="D1605" i="2"/>
  <c r="C1605" i="2"/>
  <c r="D1604" i="2"/>
  <c r="C1604" i="2"/>
  <c r="D1603" i="2"/>
  <c r="C1603" i="2"/>
  <c r="D1602" i="2"/>
  <c r="C1602" i="2"/>
  <c r="D1601" i="2"/>
  <c r="C1601" i="2"/>
  <c r="D1600" i="2"/>
  <c r="C1600" i="2"/>
  <c r="D1599" i="2"/>
  <c r="C1599" i="2"/>
  <c r="D1598" i="2"/>
  <c r="C1598" i="2"/>
  <c r="D1597" i="2"/>
  <c r="C1597" i="2"/>
  <c r="D1596" i="2"/>
  <c r="C1596" i="2"/>
  <c r="D1595" i="2"/>
  <c r="C1595" i="2"/>
  <c r="D1594" i="2"/>
  <c r="C1594" i="2"/>
  <c r="D1593" i="2"/>
  <c r="C1593" i="2"/>
  <c r="D1592" i="2"/>
  <c r="C1592" i="2"/>
  <c r="D1591" i="2"/>
  <c r="C1591" i="2"/>
  <c r="D1590" i="2"/>
  <c r="C1590" i="2"/>
  <c r="D1589" i="2"/>
  <c r="C1589" i="2"/>
  <c r="D1588" i="2"/>
  <c r="C1588" i="2"/>
  <c r="D1587" i="2"/>
  <c r="C1587" i="2"/>
  <c r="D1586" i="2"/>
  <c r="C1586" i="2"/>
  <c r="D1585" i="2"/>
  <c r="C1585" i="2"/>
  <c r="D1584" i="2"/>
  <c r="C1584" i="2"/>
  <c r="D1583" i="2"/>
  <c r="C1583" i="2"/>
  <c r="D1582" i="2"/>
  <c r="C1582" i="2"/>
  <c r="D1581" i="2"/>
  <c r="C1581" i="2"/>
  <c r="D1580" i="2"/>
  <c r="C1580" i="2"/>
  <c r="D1579" i="2"/>
  <c r="C1579" i="2"/>
  <c r="D1578" i="2"/>
  <c r="C1578" i="2"/>
  <c r="D1577" i="2"/>
  <c r="C1577" i="2"/>
  <c r="D1576" i="2"/>
  <c r="C1576" i="2"/>
  <c r="D1575" i="2"/>
  <c r="C1575" i="2"/>
  <c r="D1574" i="2"/>
  <c r="C1574" i="2"/>
  <c r="D1573" i="2"/>
  <c r="C1573" i="2"/>
  <c r="D1572" i="2"/>
  <c r="C1572" i="2"/>
  <c r="D1571" i="2"/>
  <c r="C1571" i="2"/>
  <c r="D1570" i="2"/>
  <c r="C1570" i="2"/>
  <c r="D1569" i="2"/>
  <c r="C1569" i="2"/>
  <c r="D1568" i="2"/>
  <c r="C1568" i="2"/>
  <c r="D1567" i="2"/>
  <c r="C1567" i="2"/>
  <c r="D1566" i="2"/>
  <c r="C1566" i="2"/>
  <c r="D1565" i="2"/>
  <c r="C1565" i="2"/>
  <c r="D1564" i="2"/>
  <c r="C1564" i="2"/>
  <c r="D1563" i="2"/>
  <c r="C1563" i="2"/>
  <c r="D1562" i="2"/>
  <c r="C1562" i="2"/>
  <c r="D1561" i="2"/>
  <c r="C1561" i="2"/>
  <c r="D1560" i="2"/>
  <c r="C1560" i="2"/>
  <c r="D1559" i="2"/>
  <c r="C1559" i="2"/>
  <c r="D1558" i="2"/>
  <c r="C1558" i="2"/>
  <c r="D1557" i="2"/>
  <c r="C1557" i="2"/>
  <c r="D1556" i="2"/>
  <c r="C1556" i="2"/>
  <c r="D1555" i="2"/>
  <c r="C1555" i="2"/>
  <c r="D1554" i="2"/>
  <c r="C1554" i="2"/>
  <c r="D1553" i="2"/>
  <c r="C1553" i="2"/>
  <c r="D1552" i="2"/>
  <c r="C1552" i="2"/>
  <c r="D1551" i="2"/>
  <c r="C1551" i="2"/>
  <c r="D1550" i="2"/>
  <c r="C1550" i="2"/>
  <c r="D1549" i="2"/>
  <c r="C1549" i="2"/>
  <c r="D1548" i="2"/>
  <c r="C1548" i="2"/>
  <c r="D1547" i="2"/>
  <c r="C1547" i="2"/>
  <c r="D1546" i="2"/>
  <c r="C1546" i="2"/>
  <c r="D1545" i="2"/>
  <c r="C1545" i="2"/>
  <c r="D1544" i="2"/>
  <c r="C1544" i="2"/>
  <c r="D1543" i="2"/>
  <c r="C1543" i="2"/>
  <c r="D1542" i="2"/>
  <c r="C1542" i="2"/>
  <c r="D1541" i="2"/>
  <c r="C1541" i="2"/>
  <c r="D1540" i="2"/>
  <c r="C1540" i="2"/>
  <c r="D1539" i="2"/>
  <c r="C1539" i="2"/>
  <c r="D1538" i="2"/>
  <c r="C1538" i="2"/>
  <c r="D1537" i="2"/>
  <c r="C1537" i="2"/>
  <c r="D1536" i="2"/>
  <c r="C1536" i="2"/>
  <c r="D1535" i="2"/>
  <c r="C1535" i="2"/>
  <c r="D1534" i="2"/>
  <c r="C1534" i="2"/>
  <c r="D1533" i="2"/>
  <c r="C1533" i="2"/>
  <c r="D1532" i="2"/>
  <c r="C1532" i="2"/>
  <c r="D1531" i="2"/>
  <c r="C1531" i="2"/>
  <c r="D1530" i="2"/>
  <c r="C1530" i="2"/>
  <c r="D1529" i="2"/>
  <c r="C1529" i="2"/>
  <c r="D1528" i="2"/>
  <c r="C1528" i="2"/>
  <c r="D1527" i="2"/>
  <c r="C1527" i="2"/>
  <c r="D1526" i="2"/>
  <c r="C1526" i="2"/>
  <c r="D1525" i="2"/>
  <c r="C1525" i="2"/>
  <c r="D1524" i="2"/>
  <c r="C1524" i="2"/>
  <c r="D1523" i="2"/>
  <c r="C1523" i="2"/>
  <c r="D1522" i="2"/>
  <c r="C1522" i="2"/>
  <c r="D1521" i="2"/>
  <c r="C1521" i="2"/>
  <c r="D1520" i="2"/>
  <c r="C1520" i="2"/>
  <c r="D1519" i="2"/>
  <c r="C1519" i="2"/>
  <c r="D1518" i="2"/>
  <c r="C1518" i="2"/>
  <c r="D1517" i="2"/>
  <c r="C1517" i="2"/>
  <c r="D1516" i="2"/>
  <c r="C1516" i="2"/>
  <c r="D1515" i="2"/>
  <c r="C1515" i="2"/>
  <c r="D1514" i="2"/>
  <c r="C1514" i="2"/>
  <c r="D1513" i="2"/>
  <c r="C1513" i="2"/>
  <c r="D1512" i="2"/>
  <c r="C1512" i="2"/>
  <c r="D1511" i="2"/>
  <c r="C1511" i="2"/>
  <c r="D1510" i="2"/>
  <c r="C1510" i="2"/>
  <c r="D1509" i="2"/>
  <c r="C1509" i="2"/>
  <c r="D1508" i="2"/>
  <c r="C1508" i="2"/>
  <c r="D1507" i="2"/>
  <c r="C1507" i="2"/>
  <c r="D1506" i="2"/>
  <c r="C1506" i="2"/>
  <c r="D1505" i="2"/>
  <c r="C1505" i="2"/>
  <c r="D1504" i="2"/>
  <c r="C1504" i="2"/>
  <c r="D1503" i="2"/>
  <c r="C1503" i="2"/>
  <c r="D1502" i="2"/>
  <c r="C1502" i="2"/>
  <c r="D1501" i="2"/>
  <c r="C1501" i="2"/>
  <c r="D1500" i="2"/>
  <c r="C1500" i="2"/>
  <c r="D1499" i="2"/>
  <c r="C1499" i="2"/>
  <c r="D1498" i="2"/>
  <c r="C1498" i="2"/>
  <c r="D1497" i="2"/>
  <c r="C1497" i="2"/>
  <c r="D1496" i="2"/>
  <c r="C1496" i="2"/>
  <c r="D1495" i="2"/>
  <c r="C1495" i="2"/>
  <c r="D1494" i="2"/>
  <c r="C1494" i="2"/>
  <c r="D1493" i="2"/>
  <c r="C1493" i="2"/>
  <c r="D1492" i="2"/>
  <c r="C1492" i="2"/>
  <c r="D1491" i="2"/>
  <c r="C1491" i="2"/>
  <c r="D1490" i="2"/>
  <c r="C1490" i="2"/>
  <c r="D1489" i="2"/>
  <c r="C1489" i="2"/>
  <c r="D1488" i="2"/>
  <c r="C1488" i="2"/>
  <c r="D1487" i="2"/>
  <c r="C1487" i="2"/>
  <c r="D1486" i="2"/>
  <c r="C1486" i="2"/>
  <c r="D1485" i="2"/>
  <c r="C1485" i="2"/>
  <c r="D1484" i="2"/>
  <c r="C1484" i="2"/>
  <c r="D1483" i="2"/>
  <c r="C1483" i="2"/>
  <c r="D1482" i="2"/>
  <c r="C1482" i="2"/>
  <c r="D1481" i="2"/>
  <c r="C1481" i="2"/>
  <c r="D1480" i="2"/>
  <c r="C1480" i="2"/>
  <c r="D1479" i="2"/>
  <c r="C1479" i="2"/>
  <c r="D1478" i="2"/>
  <c r="C1478" i="2"/>
  <c r="D1477" i="2"/>
  <c r="C1477" i="2"/>
  <c r="D1476" i="2"/>
  <c r="C1476" i="2"/>
  <c r="D1475" i="2"/>
  <c r="C1475" i="2"/>
  <c r="D1474" i="2"/>
  <c r="C1474" i="2"/>
  <c r="D1473" i="2"/>
  <c r="C1473" i="2"/>
  <c r="D1472" i="2"/>
  <c r="C1472" i="2"/>
  <c r="D1471" i="2"/>
  <c r="C1471" i="2"/>
  <c r="D1470" i="2"/>
  <c r="C1470" i="2"/>
  <c r="D1469" i="2"/>
  <c r="C1469" i="2"/>
  <c r="D1468" i="2"/>
  <c r="C1468" i="2"/>
  <c r="D1467" i="2"/>
  <c r="C1467" i="2"/>
  <c r="D1466" i="2"/>
  <c r="C1466" i="2"/>
  <c r="D1465" i="2"/>
  <c r="C1465" i="2"/>
  <c r="D1464" i="2"/>
  <c r="C1464" i="2"/>
  <c r="D1463" i="2"/>
  <c r="C1463" i="2"/>
  <c r="D1462" i="2"/>
  <c r="C1462" i="2"/>
  <c r="D1461" i="2"/>
  <c r="C1461" i="2"/>
  <c r="D1460" i="2"/>
  <c r="C1460" i="2"/>
  <c r="D1459" i="2"/>
  <c r="C1459" i="2"/>
  <c r="D1458" i="2"/>
  <c r="C1458" i="2"/>
  <c r="D1457" i="2"/>
  <c r="C1457" i="2"/>
  <c r="D1456" i="2"/>
  <c r="C1456" i="2"/>
  <c r="D1455" i="2"/>
  <c r="C1455" i="2"/>
  <c r="D1454" i="2"/>
  <c r="C1454" i="2"/>
  <c r="D1453" i="2"/>
  <c r="C1453" i="2"/>
  <c r="D1452" i="2"/>
  <c r="C1452" i="2"/>
  <c r="D1451" i="2"/>
  <c r="C1451" i="2"/>
  <c r="D1450" i="2"/>
  <c r="C1450" i="2"/>
  <c r="D1449" i="2"/>
  <c r="C1449" i="2"/>
  <c r="D1448" i="2"/>
  <c r="C1448" i="2"/>
  <c r="D1447" i="2"/>
  <c r="C1447" i="2"/>
  <c r="D1446" i="2"/>
  <c r="C1446" i="2"/>
  <c r="D1445" i="2"/>
  <c r="C1445" i="2"/>
  <c r="D1444" i="2"/>
  <c r="C1444" i="2"/>
  <c r="D1443" i="2"/>
  <c r="C1443" i="2"/>
  <c r="D1442" i="2"/>
  <c r="C1442" i="2"/>
  <c r="D1441" i="2"/>
  <c r="C1441" i="2"/>
  <c r="D1440" i="2"/>
  <c r="C1440" i="2"/>
  <c r="D1439" i="2"/>
  <c r="C1439" i="2"/>
  <c r="D1438" i="2"/>
  <c r="C1438" i="2"/>
  <c r="D1437" i="2"/>
  <c r="C1437" i="2"/>
  <c r="D1436" i="2"/>
  <c r="C1436" i="2"/>
  <c r="D1435" i="2"/>
  <c r="C1435" i="2"/>
  <c r="D1434" i="2"/>
  <c r="C1434" i="2"/>
  <c r="D1433" i="2"/>
  <c r="C1433" i="2"/>
  <c r="D1432" i="2"/>
  <c r="C1432" i="2"/>
  <c r="D1431" i="2"/>
  <c r="C1431" i="2"/>
  <c r="D1430" i="2"/>
  <c r="C1430" i="2"/>
  <c r="D1429" i="2"/>
  <c r="C1429" i="2"/>
  <c r="D1428" i="2"/>
  <c r="C1428" i="2"/>
  <c r="D1427" i="2"/>
  <c r="C1427" i="2"/>
  <c r="D1426" i="2"/>
  <c r="C1426" i="2"/>
  <c r="D1425" i="2"/>
  <c r="C1425" i="2"/>
  <c r="D1424" i="2"/>
  <c r="C1424" i="2"/>
  <c r="D1423" i="2"/>
  <c r="C1423" i="2"/>
  <c r="D1422" i="2"/>
  <c r="C1422" i="2"/>
  <c r="D1421" i="2"/>
  <c r="C1421" i="2"/>
  <c r="D1420" i="2"/>
  <c r="C1420" i="2"/>
  <c r="D1419" i="2"/>
  <c r="C1419" i="2"/>
  <c r="D1418" i="2"/>
  <c r="C1418" i="2"/>
  <c r="D1417" i="2"/>
  <c r="C1417" i="2"/>
  <c r="D1416" i="2"/>
  <c r="C1416" i="2"/>
  <c r="D1415" i="2"/>
  <c r="C1415" i="2"/>
  <c r="D1414" i="2"/>
  <c r="C1414" i="2"/>
  <c r="D1413" i="2"/>
  <c r="C1413" i="2"/>
  <c r="D1412" i="2"/>
  <c r="C1412" i="2"/>
  <c r="D1411" i="2"/>
  <c r="C1411" i="2"/>
  <c r="D1410" i="2"/>
  <c r="C1410" i="2"/>
  <c r="D1409" i="2"/>
  <c r="C1409" i="2"/>
  <c r="D1408" i="2"/>
  <c r="C1408" i="2"/>
  <c r="D1407" i="2"/>
  <c r="C1407" i="2"/>
  <c r="D1406" i="2"/>
  <c r="C1406" i="2"/>
  <c r="D1405" i="2"/>
  <c r="C1405" i="2"/>
  <c r="D1404" i="2"/>
  <c r="C1404" i="2"/>
  <c r="D1403" i="2"/>
  <c r="C1403" i="2"/>
  <c r="D1402" i="2"/>
  <c r="C1402" i="2"/>
  <c r="D1401" i="2"/>
  <c r="C1401" i="2"/>
  <c r="D1400" i="2"/>
  <c r="C1400" i="2"/>
  <c r="D1399" i="2"/>
  <c r="C1399" i="2"/>
  <c r="D1398" i="2"/>
  <c r="C1398" i="2"/>
  <c r="D1397" i="2"/>
  <c r="C1397" i="2"/>
  <c r="D1396" i="2"/>
  <c r="C1396" i="2"/>
  <c r="D1395" i="2"/>
  <c r="C1395" i="2"/>
  <c r="D1394" i="2"/>
  <c r="C1394" i="2"/>
  <c r="D1393" i="2"/>
  <c r="C1393" i="2"/>
  <c r="D1392" i="2"/>
  <c r="C1392" i="2"/>
  <c r="D1391" i="2"/>
  <c r="C1391" i="2"/>
  <c r="D1390" i="2"/>
  <c r="C1390" i="2"/>
  <c r="D1389" i="2"/>
  <c r="C1389" i="2"/>
  <c r="D1388" i="2"/>
  <c r="C1388" i="2"/>
  <c r="D1387" i="2"/>
  <c r="C1387" i="2"/>
  <c r="D1386" i="2"/>
  <c r="C1386" i="2"/>
  <c r="D1385" i="2"/>
  <c r="C1385" i="2"/>
  <c r="D1384" i="2"/>
  <c r="C1384" i="2"/>
  <c r="D1383" i="2"/>
  <c r="C1383" i="2"/>
  <c r="D1382" i="2"/>
  <c r="C1382" i="2"/>
  <c r="D1381" i="2"/>
  <c r="C1381" i="2"/>
  <c r="D1380" i="2"/>
  <c r="C1380" i="2"/>
  <c r="D1379" i="2"/>
  <c r="C1379" i="2"/>
  <c r="D1378" i="2"/>
  <c r="C1378" i="2"/>
  <c r="D1377" i="2"/>
  <c r="C1377" i="2"/>
  <c r="D1376" i="2"/>
  <c r="C1376" i="2"/>
  <c r="D1375" i="2"/>
  <c r="C1375" i="2"/>
  <c r="D1374" i="2"/>
  <c r="C1374" i="2"/>
  <c r="D1373" i="2"/>
  <c r="C1373" i="2"/>
  <c r="D1372" i="2"/>
  <c r="C1372" i="2"/>
  <c r="D1371" i="2"/>
  <c r="C1371" i="2"/>
  <c r="D1370" i="2"/>
  <c r="C1370" i="2"/>
  <c r="D1369" i="2"/>
  <c r="C1369" i="2"/>
  <c r="D1368" i="2"/>
  <c r="C1368" i="2"/>
  <c r="D1367" i="2"/>
  <c r="C1367" i="2"/>
  <c r="D1366" i="2"/>
  <c r="C1366" i="2"/>
  <c r="D1365" i="2"/>
  <c r="C1365" i="2"/>
  <c r="D1364" i="2"/>
  <c r="C1364" i="2"/>
  <c r="D1363" i="2"/>
  <c r="C1363" i="2"/>
  <c r="D1362" i="2"/>
  <c r="C1362" i="2"/>
  <c r="D1361" i="2"/>
  <c r="C1361" i="2"/>
  <c r="D1360" i="2"/>
  <c r="C1360" i="2"/>
  <c r="D1359" i="2"/>
  <c r="C1359" i="2"/>
  <c r="D1358" i="2"/>
  <c r="C1358" i="2"/>
  <c r="D1357" i="2"/>
  <c r="C1357" i="2"/>
  <c r="D1356" i="2"/>
  <c r="C1356" i="2"/>
  <c r="D1355" i="2"/>
  <c r="C1355" i="2"/>
  <c r="D1354" i="2"/>
  <c r="C1354" i="2"/>
  <c r="D1353" i="2"/>
  <c r="C1353" i="2"/>
  <c r="D1352" i="2"/>
  <c r="C1352" i="2"/>
  <c r="D1351" i="2"/>
  <c r="C1351" i="2"/>
  <c r="D1350" i="2"/>
  <c r="C1350" i="2"/>
  <c r="D1349" i="2"/>
  <c r="C1349" i="2"/>
  <c r="D1348" i="2"/>
  <c r="C1348" i="2"/>
  <c r="D1347" i="2"/>
  <c r="C1347" i="2"/>
  <c r="D1346" i="2"/>
  <c r="C1346" i="2"/>
  <c r="D1345" i="2"/>
  <c r="C1345" i="2"/>
  <c r="D1344" i="2"/>
  <c r="C1344" i="2"/>
  <c r="D1343" i="2"/>
  <c r="C1343" i="2"/>
  <c r="D1342" i="2"/>
  <c r="C1342" i="2"/>
  <c r="D1341" i="2"/>
  <c r="C1341" i="2"/>
  <c r="D1340" i="2"/>
  <c r="C1340" i="2"/>
  <c r="D1339" i="2"/>
  <c r="C1339" i="2"/>
  <c r="D1338" i="2"/>
  <c r="C1338" i="2"/>
  <c r="D1337" i="2"/>
  <c r="C1337" i="2"/>
  <c r="D1336" i="2"/>
  <c r="C1336" i="2"/>
  <c r="D1335" i="2"/>
  <c r="C1335" i="2"/>
  <c r="D1334" i="2"/>
  <c r="C1334" i="2"/>
  <c r="D1333" i="2"/>
  <c r="C1333" i="2"/>
  <c r="D1332" i="2"/>
  <c r="C1332" i="2"/>
  <c r="D1331" i="2"/>
  <c r="C1331" i="2"/>
  <c r="D1330" i="2"/>
  <c r="C1330" i="2"/>
  <c r="D1329" i="2"/>
  <c r="C1329" i="2"/>
  <c r="D1328" i="2"/>
  <c r="C1328" i="2"/>
  <c r="D1327" i="2"/>
  <c r="C1327" i="2"/>
  <c r="D1326" i="2"/>
  <c r="C1326" i="2"/>
  <c r="D1325" i="2"/>
  <c r="C1325" i="2"/>
  <c r="D1324" i="2"/>
  <c r="C1324" i="2"/>
  <c r="D1323" i="2"/>
  <c r="C1323" i="2"/>
  <c r="D1322" i="2"/>
  <c r="C1322" i="2"/>
  <c r="D1321" i="2"/>
  <c r="C1321" i="2"/>
  <c r="D1320" i="2"/>
  <c r="C1320" i="2"/>
  <c r="D1319" i="2"/>
  <c r="C1319" i="2"/>
  <c r="D1318" i="2"/>
  <c r="C1318" i="2"/>
  <c r="D1317" i="2"/>
  <c r="C1317" i="2"/>
  <c r="D1316" i="2"/>
  <c r="C1316" i="2"/>
  <c r="D1315" i="2"/>
  <c r="C1315" i="2"/>
  <c r="D1314" i="2"/>
  <c r="C1314" i="2"/>
  <c r="D1313" i="2"/>
  <c r="C1313" i="2"/>
  <c r="D1312" i="2"/>
  <c r="C1312" i="2"/>
  <c r="D1311" i="2"/>
  <c r="C1311" i="2"/>
  <c r="D1310" i="2"/>
  <c r="C1310" i="2"/>
  <c r="D1309" i="2"/>
  <c r="C1309" i="2"/>
  <c r="D1308" i="2"/>
  <c r="C1308" i="2"/>
  <c r="D1307" i="2"/>
  <c r="C1307" i="2"/>
  <c r="D1306" i="2"/>
  <c r="C1306" i="2"/>
  <c r="D1305" i="2"/>
  <c r="C1305" i="2"/>
  <c r="D1304" i="2"/>
  <c r="C1304" i="2"/>
  <c r="D1303" i="2"/>
  <c r="C1303" i="2"/>
  <c r="D1302" i="2"/>
  <c r="C1302" i="2"/>
  <c r="D1301" i="2"/>
  <c r="C1301" i="2"/>
  <c r="D1300" i="2"/>
  <c r="C1300" i="2"/>
  <c r="D1299" i="2"/>
  <c r="C1299" i="2"/>
  <c r="D1298" i="2"/>
  <c r="C1298" i="2"/>
  <c r="D1297" i="2"/>
  <c r="C1297" i="2"/>
  <c r="D1296" i="2"/>
  <c r="C1296" i="2"/>
  <c r="D1295" i="2"/>
  <c r="C1295" i="2"/>
  <c r="D1294" i="2"/>
  <c r="C1294" i="2"/>
  <c r="D1293" i="2"/>
  <c r="C1293" i="2"/>
  <c r="D1292" i="2"/>
  <c r="C1292" i="2"/>
  <c r="D1291" i="2"/>
  <c r="C1291" i="2"/>
  <c r="D1290" i="2"/>
  <c r="C1290" i="2"/>
  <c r="D1289" i="2"/>
  <c r="C1289" i="2"/>
  <c r="D1288" i="2"/>
  <c r="C1288" i="2"/>
  <c r="D1287" i="2"/>
  <c r="C1287" i="2"/>
  <c r="D1286" i="2"/>
  <c r="C1286" i="2"/>
  <c r="D1285" i="2"/>
  <c r="C1285" i="2"/>
  <c r="D1284" i="2"/>
  <c r="C1284" i="2"/>
  <c r="D1283" i="2"/>
  <c r="C1283" i="2"/>
  <c r="D1282" i="2"/>
  <c r="C1282" i="2"/>
  <c r="D1281" i="2"/>
  <c r="C1281" i="2"/>
  <c r="D1280" i="2"/>
  <c r="C1280" i="2"/>
  <c r="D1279" i="2"/>
  <c r="C1279" i="2"/>
  <c r="D1278" i="2"/>
  <c r="C1278" i="2"/>
  <c r="D1277" i="2"/>
  <c r="C1277" i="2"/>
  <c r="D1276" i="2"/>
  <c r="C1276" i="2"/>
  <c r="D1275" i="2"/>
  <c r="C1275" i="2"/>
  <c r="D1274" i="2"/>
  <c r="C1274" i="2"/>
  <c r="D1273" i="2"/>
  <c r="C1273" i="2"/>
  <c r="D1272" i="2"/>
  <c r="C1272" i="2"/>
  <c r="D1271" i="2"/>
  <c r="C1271" i="2"/>
  <c r="D1270" i="2"/>
  <c r="C1270" i="2"/>
  <c r="D1269" i="2"/>
  <c r="C1269" i="2"/>
  <c r="D1268" i="2"/>
  <c r="C1268" i="2"/>
  <c r="D1267" i="2"/>
  <c r="C1267" i="2"/>
  <c r="D1266" i="2"/>
  <c r="C1266" i="2"/>
  <c r="D1265" i="2"/>
  <c r="C1265" i="2"/>
  <c r="D1264" i="2"/>
  <c r="C1264" i="2"/>
  <c r="D1263" i="2"/>
  <c r="C1263" i="2"/>
  <c r="D1262" i="2"/>
  <c r="C1262" i="2"/>
  <c r="D1261" i="2"/>
  <c r="C1261" i="2"/>
  <c r="D1260" i="2"/>
  <c r="C1260" i="2"/>
  <c r="D1259" i="2"/>
  <c r="C1259" i="2"/>
  <c r="D1258" i="2"/>
  <c r="C1258" i="2"/>
  <c r="D1257" i="2"/>
  <c r="C1257" i="2"/>
  <c r="D1256" i="2"/>
  <c r="C1256" i="2"/>
  <c r="D1255" i="2"/>
  <c r="C1255" i="2"/>
  <c r="D1254" i="2"/>
  <c r="C1254" i="2"/>
  <c r="D1253" i="2"/>
  <c r="C1253" i="2"/>
  <c r="D1252" i="2"/>
  <c r="C1252" i="2"/>
  <c r="D1251" i="2"/>
  <c r="C1251" i="2"/>
  <c r="D1250" i="2"/>
  <c r="C1250" i="2"/>
  <c r="D1249" i="2"/>
  <c r="C1249" i="2"/>
  <c r="D1248" i="2"/>
  <c r="C1248" i="2"/>
  <c r="D1247" i="2"/>
  <c r="C1247" i="2"/>
  <c r="D1246" i="2"/>
  <c r="C1246" i="2"/>
  <c r="D1245" i="2"/>
  <c r="C1245" i="2"/>
  <c r="D1244" i="2"/>
  <c r="C1244" i="2"/>
  <c r="D1243" i="2"/>
  <c r="C1243" i="2"/>
  <c r="D1242" i="2"/>
  <c r="C1242" i="2"/>
  <c r="D1241" i="2"/>
  <c r="C1241" i="2"/>
  <c r="D1240" i="2"/>
  <c r="C1240" i="2"/>
  <c r="D1239" i="2"/>
  <c r="C1239" i="2"/>
  <c r="D1238" i="2"/>
  <c r="C1238" i="2"/>
  <c r="D1237" i="2"/>
  <c r="C1237" i="2"/>
  <c r="D1236" i="2"/>
  <c r="C1236" i="2"/>
  <c r="D1235" i="2"/>
  <c r="C1235" i="2"/>
  <c r="D1234" i="2"/>
  <c r="C1234" i="2"/>
  <c r="D1233" i="2"/>
  <c r="C1233" i="2"/>
  <c r="D1232" i="2"/>
  <c r="C1232" i="2"/>
  <c r="D1231" i="2"/>
  <c r="C1231" i="2"/>
  <c r="D1230" i="2"/>
  <c r="C1230" i="2"/>
  <c r="D1229" i="2"/>
  <c r="C1229" i="2"/>
  <c r="D1228" i="2"/>
  <c r="C1228" i="2"/>
  <c r="D1227" i="2"/>
  <c r="C1227" i="2"/>
  <c r="D1226" i="2"/>
  <c r="C1226" i="2"/>
  <c r="D1225" i="2"/>
  <c r="C1225" i="2"/>
  <c r="D1224" i="2"/>
  <c r="C1224" i="2"/>
  <c r="D1223" i="2"/>
  <c r="C1223" i="2"/>
  <c r="D1222" i="2"/>
  <c r="C1222" i="2"/>
  <c r="D1221" i="2"/>
  <c r="C1221" i="2"/>
  <c r="D1220" i="2"/>
  <c r="C1220" i="2"/>
  <c r="D1219" i="2"/>
  <c r="C1219" i="2"/>
  <c r="D1218" i="2"/>
  <c r="C1218" i="2"/>
  <c r="D1217" i="2"/>
  <c r="C1217" i="2"/>
  <c r="D1216" i="2"/>
  <c r="C1216" i="2"/>
  <c r="D1215" i="2"/>
  <c r="C1215" i="2"/>
  <c r="D1214" i="2"/>
  <c r="C1214" i="2"/>
  <c r="D1213" i="2"/>
  <c r="C1213" i="2"/>
  <c r="D1212" i="2"/>
  <c r="C1212" i="2"/>
  <c r="D1211" i="2"/>
  <c r="C1211" i="2"/>
  <c r="D1210" i="2"/>
  <c r="C1210" i="2"/>
  <c r="D1209" i="2"/>
  <c r="C1209" i="2"/>
  <c r="D1208" i="2"/>
  <c r="C1208" i="2"/>
  <c r="D1207" i="2"/>
  <c r="C1207" i="2"/>
  <c r="D1206" i="2"/>
  <c r="C1206" i="2"/>
  <c r="D1205" i="2"/>
  <c r="C1205" i="2"/>
  <c r="D1204" i="2"/>
  <c r="C1204" i="2"/>
  <c r="D1203" i="2"/>
  <c r="C1203" i="2"/>
  <c r="D1202" i="2"/>
  <c r="C1202" i="2"/>
  <c r="D1201" i="2"/>
  <c r="C1201" i="2"/>
  <c r="D1200" i="2"/>
  <c r="C1200" i="2"/>
  <c r="D1199" i="2"/>
  <c r="C1199" i="2"/>
  <c r="D1198" i="2"/>
  <c r="C1198" i="2"/>
  <c r="D1197" i="2"/>
  <c r="C1197" i="2"/>
  <c r="D1196" i="2"/>
  <c r="C1196" i="2"/>
  <c r="D1195" i="2"/>
  <c r="C1195" i="2"/>
  <c r="D1194" i="2"/>
  <c r="C1194" i="2"/>
  <c r="D1193" i="2"/>
  <c r="C1193" i="2"/>
  <c r="D1192" i="2"/>
  <c r="C1192" i="2"/>
  <c r="D1191" i="2"/>
  <c r="C1191" i="2"/>
  <c r="D1190" i="2"/>
  <c r="C1190" i="2"/>
  <c r="D1189" i="2"/>
  <c r="C1189" i="2"/>
  <c r="D1188" i="2"/>
  <c r="C1188" i="2"/>
  <c r="D1187" i="2"/>
  <c r="C1187" i="2"/>
  <c r="D1186" i="2"/>
  <c r="C1186" i="2"/>
  <c r="D1185" i="2"/>
  <c r="C1185" i="2"/>
  <c r="D1184" i="2"/>
  <c r="C1184" i="2"/>
  <c r="D1183" i="2"/>
  <c r="C1183" i="2"/>
  <c r="D1182" i="2"/>
  <c r="C1182" i="2"/>
  <c r="D1181" i="2"/>
  <c r="C1181" i="2"/>
  <c r="D1180" i="2"/>
  <c r="C1180" i="2"/>
  <c r="D1179" i="2"/>
  <c r="C1179" i="2"/>
  <c r="D1178" i="2"/>
  <c r="C1178" i="2"/>
  <c r="D1177" i="2"/>
  <c r="C1177" i="2"/>
  <c r="D1176" i="2"/>
  <c r="C1176" i="2"/>
  <c r="D1175" i="2"/>
  <c r="C1175" i="2"/>
  <c r="D1174" i="2"/>
  <c r="C1174" i="2"/>
  <c r="D1173" i="2"/>
  <c r="C1173" i="2"/>
  <c r="D1172" i="2"/>
  <c r="C1172" i="2"/>
  <c r="D1171" i="2"/>
  <c r="C1171" i="2"/>
  <c r="D1170" i="2"/>
  <c r="C1170" i="2"/>
  <c r="D1169" i="2"/>
  <c r="C1169" i="2"/>
  <c r="D1168" i="2"/>
  <c r="C1168" i="2"/>
  <c r="D1167" i="2"/>
  <c r="C1167" i="2"/>
  <c r="D1166" i="2"/>
  <c r="C1166" i="2"/>
  <c r="D1165" i="2"/>
  <c r="C1165" i="2"/>
  <c r="D1164" i="2"/>
  <c r="C1164" i="2"/>
  <c r="D1163" i="2"/>
  <c r="C1163" i="2"/>
  <c r="D1162" i="2"/>
  <c r="C1162" i="2"/>
  <c r="D1161" i="2"/>
  <c r="C1161" i="2"/>
  <c r="D1160" i="2"/>
  <c r="C1160" i="2"/>
  <c r="D1159" i="2"/>
  <c r="C1159" i="2"/>
  <c r="D1158" i="2"/>
  <c r="C1158" i="2"/>
  <c r="D1157" i="2"/>
  <c r="C1157" i="2"/>
  <c r="D1156" i="2"/>
  <c r="C1156" i="2"/>
  <c r="D1155" i="2"/>
  <c r="C1155" i="2"/>
  <c r="D1154" i="2"/>
  <c r="C1154" i="2"/>
  <c r="D1153" i="2"/>
  <c r="C1153" i="2"/>
  <c r="D1152" i="2"/>
  <c r="C1152" i="2"/>
  <c r="D1151" i="2"/>
  <c r="C1151" i="2"/>
  <c r="D1150" i="2"/>
  <c r="C1150" i="2"/>
  <c r="D1149" i="2"/>
  <c r="C1149" i="2"/>
  <c r="D1148" i="2"/>
  <c r="C1148" i="2"/>
  <c r="D1147" i="2"/>
  <c r="C1147" i="2"/>
  <c r="D1146" i="2"/>
  <c r="C1146" i="2"/>
  <c r="D1145" i="2"/>
  <c r="C1145" i="2"/>
  <c r="D1144" i="2"/>
  <c r="C1144" i="2"/>
  <c r="D1143" i="2"/>
  <c r="C1143" i="2"/>
  <c r="D1142" i="2"/>
  <c r="C1142" i="2"/>
  <c r="D1141" i="2"/>
  <c r="C1141" i="2"/>
  <c r="D1140" i="2"/>
  <c r="C1140" i="2"/>
  <c r="D1139" i="2"/>
  <c r="C1139" i="2"/>
  <c r="D1138" i="2"/>
  <c r="C1138" i="2"/>
  <c r="D1137" i="2"/>
  <c r="C1137" i="2"/>
  <c r="D1136" i="2"/>
  <c r="C1136" i="2"/>
  <c r="D1135" i="2"/>
  <c r="C1135" i="2"/>
  <c r="D1134" i="2"/>
  <c r="C1134" i="2"/>
  <c r="D1133" i="2"/>
  <c r="C1133" i="2"/>
  <c r="D1132" i="2"/>
  <c r="C1132" i="2"/>
  <c r="D1131" i="2"/>
  <c r="C1131" i="2"/>
  <c r="D1130" i="2"/>
  <c r="C1130" i="2"/>
  <c r="D1129" i="2"/>
  <c r="C1129" i="2"/>
  <c r="D1128" i="2"/>
  <c r="C1128" i="2"/>
  <c r="D1127" i="2"/>
  <c r="C1127" i="2"/>
  <c r="D1126" i="2"/>
  <c r="C1126" i="2"/>
  <c r="D1125" i="2"/>
  <c r="C1125" i="2"/>
  <c r="D1124" i="2"/>
  <c r="C1124" i="2"/>
  <c r="D1123" i="2"/>
  <c r="C1123" i="2"/>
  <c r="D1122" i="2"/>
  <c r="C1122" i="2"/>
  <c r="D1121" i="2"/>
  <c r="C1121" i="2"/>
  <c r="D1120" i="2"/>
  <c r="C1120" i="2"/>
  <c r="D1119" i="2"/>
  <c r="C1119" i="2"/>
  <c r="D1118" i="2"/>
  <c r="C1118" i="2"/>
  <c r="D1117" i="2"/>
  <c r="C1117" i="2"/>
  <c r="D1116" i="2"/>
  <c r="C1116" i="2"/>
  <c r="D1115" i="2"/>
  <c r="C1115" i="2"/>
  <c r="D1114" i="2"/>
  <c r="C1114" i="2"/>
  <c r="D1113" i="2"/>
  <c r="C1113" i="2"/>
  <c r="D1112" i="2"/>
  <c r="C1112" i="2"/>
  <c r="D1111" i="2"/>
  <c r="C1111" i="2"/>
  <c r="D1110" i="2"/>
  <c r="C1110" i="2"/>
  <c r="D1109" i="2"/>
  <c r="C1109" i="2"/>
  <c r="D1108" i="2"/>
  <c r="C1108" i="2"/>
  <c r="D1107" i="2"/>
  <c r="C1107" i="2"/>
  <c r="D1106" i="2"/>
  <c r="C1106" i="2"/>
  <c r="D1105" i="2"/>
  <c r="C1105" i="2"/>
  <c r="D1104" i="2"/>
  <c r="C1104" i="2"/>
  <c r="D1103" i="2"/>
  <c r="C1103" i="2"/>
  <c r="D1102" i="2"/>
  <c r="C1102" i="2"/>
  <c r="D1101" i="2"/>
  <c r="C1101" i="2"/>
  <c r="D1100" i="2"/>
  <c r="C1100" i="2"/>
  <c r="D1099" i="2"/>
  <c r="C1099" i="2"/>
  <c r="D1098" i="2"/>
  <c r="C1098" i="2"/>
  <c r="D1097" i="2"/>
  <c r="C1097" i="2"/>
  <c r="D1096" i="2"/>
  <c r="C1096" i="2"/>
  <c r="D1095" i="2"/>
  <c r="C1095" i="2"/>
  <c r="D1094" i="2"/>
  <c r="C1094" i="2"/>
  <c r="D1093" i="2"/>
  <c r="C1093" i="2"/>
  <c r="D1092" i="2"/>
  <c r="C1092" i="2"/>
  <c r="D1091" i="2"/>
  <c r="C1091" i="2"/>
  <c r="D1090" i="2"/>
  <c r="C1090" i="2"/>
  <c r="D1089" i="2"/>
  <c r="C1089" i="2"/>
  <c r="D1088" i="2"/>
  <c r="C1088" i="2"/>
  <c r="D1087" i="2"/>
  <c r="C1087" i="2"/>
  <c r="D1086" i="2"/>
  <c r="C1086" i="2"/>
  <c r="D1085" i="2"/>
  <c r="C1085" i="2"/>
  <c r="D1084" i="2"/>
  <c r="C1084" i="2"/>
  <c r="D1083" i="2"/>
  <c r="C1083" i="2"/>
  <c r="D1082" i="2"/>
  <c r="C1082" i="2"/>
  <c r="D1081" i="2"/>
  <c r="C1081" i="2"/>
  <c r="D1080" i="2"/>
  <c r="C1080" i="2"/>
  <c r="D1079" i="2"/>
  <c r="C1079" i="2"/>
  <c r="D1078" i="2"/>
  <c r="C1078" i="2"/>
  <c r="D1077" i="2"/>
  <c r="C1077" i="2"/>
  <c r="D1076" i="2"/>
  <c r="C1076" i="2"/>
  <c r="D1075" i="2"/>
  <c r="C1075" i="2"/>
  <c r="D1074" i="2"/>
  <c r="C1074" i="2"/>
  <c r="D1073" i="2"/>
  <c r="C1073" i="2"/>
  <c r="D1072" i="2"/>
  <c r="C1072" i="2"/>
  <c r="D1071" i="2"/>
  <c r="C1071" i="2"/>
  <c r="D1070" i="2"/>
  <c r="C1070" i="2"/>
  <c r="D1069" i="2"/>
  <c r="C1069" i="2"/>
  <c r="D1068" i="2"/>
  <c r="C1068" i="2"/>
  <c r="D1067" i="2"/>
  <c r="C1067" i="2"/>
  <c r="D1066" i="2"/>
  <c r="C1066" i="2"/>
  <c r="D1065" i="2"/>
  <c r="C1065" i="2"/>
  <c r="D1064" i="2"/>
  <c r="C1064" i="2"/>
  <c r="D1063" i="2"/>
  <c r="C1063" i="2"/>
  <c r="D1062" i="2"/>
  <c r="C1062" i="2"/>
  <c r="D1061" i="2"/>
  <c r="C1061" i="2"/>
  <c r="D1060" i="2"/>
  <c r="C1060" i="2"/>
  <c r="D1059" i="2"/>
  <c r="C1059" i="2"/>
  <c r="D1058" i="2"/>
  <c r="C1058" i="2"/>
  <c r="D1057" i="2"/>
  <c r="C1057" i="2"/>
  <c r="D1056" i="2"/>
  <c r="C1056" i="2"/>
  <c r="D1055" i="2"/>
  <c r="C1055" i="2"/>
  <c r="D1054" i="2"/>
  <c r="C1054" i="2"/>
  <c r="D1053" i="2"/>
  <c r="C1053" i="2"/>
  <c r="D1052" i="2"/>
  <c r="C1052" i="2"/>
  <c r="D1051" i="2"/>
  <c r="C1051" i="2"/>
  <c r="D1050" i="2"/>
  <c r="C1050" i="2"/>
  <c r="D1049" i="2"/>
  <c r="C1049" i="2"/>
  <c r="D1048" i="2"/>
  <c r="C1048" i="2"/>
  <c r="D1047" i="2"/>
  <c r="C1047" i="2"/>
  <c r="D1046" i="2"/>
  <c r="C1046" i="2"/>
  <c r="D1045" i="2"/>
  <c r="C1045" i="2"/>
  <c r="D1044" i="2"/>
  <c r="C1044" i="2"/>
  <c r="D1043" i="2"/>
  <c r="C1043" i="2"/>
  <c r="D1042" i="2"/>
  <c r="C1042" i="2"/>
  <c r="D1041" i="2"/>
  <c r="C1041" i="2"/>
  <c r="D1040" i="2"/>
  <c r="C1040" i="2"/>
  <c r="D1039" i="2"/>
  <c r="C1039" i="2"/>
  <c r="D1038" i="2"/>
  <c r="C1038" i="2"/>
  <c r="D1037" i="2"/>
  <c r="C1037" i="2"/>
  <c r="D1036" i="2"/>
  <c r="C1036" i="2"/>
  <c r="D1035" i="2"/>
  <c r="C1035" i="2"/>
  <c r="D1034" i="2"/>
  <c r="C1034" i="2"/>
  <c r="D1033" i="2"/>
  <c r="C1033" i="2"/>
  <c r="D1032" i="2"/>
  <c r="C1032" i="2"/>
  <c r="D1031" i="2"/>
  <c r="C1031" i="2"/>
  <c r="D1030" i="2"/>
  <c r="C1030" i="2"/>
  <c r="D1029" i="2"/>
  <c r="C1029" i="2"/>
  <c r="D1028" i="2"/>
  <c r="C1028" i="2"/>
  <c r="D1027" i="2"/>
  <c r="C1027" i="2"/>
  <c r="D1026" i="2"/>
  <c r="C1026" i="2"/>
  <c r="D1025" i="2"/>
  <c r="C1025" i="2"/>
  <c r="D1024" i="2"/>
  <c r="C1024" i="2"/>
  <c r="D1023" i="2"/>
  <c r="C1023" i="2"/>
  <c r="D1022" i="2"/>
  <c r="C1022" i="2"/>
  <c r="D1021" i="2"/>
  <c r="C1021" i="2"/>
  <c r="D1020" i="2"/>
  <c r="C1020" i="2"/>
  <c r="D1019" i="2"/>
  <c r="C1019" i="2"/>
  <c r="D1018" i="2"/>
  <c r="C1018" i="2"/>
  <c r="D1017" i="2"/>
  <c r="C1017" i="2"/>
  <c r="D1016" i="2"/>
  <c r="C1016" i="2"/>
  <c r="D1015" i="2"/>
  <c r="C1015" i="2"/>
  <c r="D1014" i="2"/>
  <c r="C1014" i="2"/>
  <c r="D1013" i="2"/>
  <c r="C1013" i="2"/>
  <c r="D1012" i="2"/>
  <c r="C1012" i="2"/>
  <c r="D1011" i="2"/>
  <c r="C1011" i="2"/>
  <c r="D1010" i="2"/>
  <c r="C1010" i="2"/>
  <c r="D1009" i="2"/>
  <c r="C1009" i="2"/>
  <c r="D1008" i="2"/>
  <c r="C1008" i="2"/>
  <c r="D1007" i="2"/>
  <c r="C1007" i="2"/>
  <c r="D1006" i="2"/>
  <c r="C1006" i="2"/>
  <c r="D1005" i="2"/>
  <c r="C1005" i="2"/>
  <c r="D1004" i="2"/>
  <c r="C1004" i="2"/>
  <c r="D1003" i="2"/>
  <c r="C1003" i="2"/>
  <c r="D1002" i="2"/>
  <c r="C1002" i="2"/>
  <c r="D1001" i="2"/>
  <c r="C1001" i="2"/>
  <c r="D1000" i="2"/>
  <c r="C1000" i="2"/>
  <c r="D999" i="2"/>
  <c r="C999" i="2"/>
  <c r="D998" i="2"/>
  <c r="C998" i="2"/>
  <c r="D997" i="2"/>
  <c r="C997" i="2"/>
  <c r="D996" i="2"/>
  <c r="C996" i="2"/>
  <c r="D995" i="2"/>
  <c r="C995" i="2"/>
  <c r="D994" i="2"/>
  <c r="C994" i="2"/>
  <c r="D993" i="2"/>
  <c r="C993" i="2"/>
  <c r="D992" i="2"/>
  <c r="C992" i="2"/>
  <c r="D991" i="2"/>
  <c r="C991" i="2"/>
  <c r="D990" i="2"/>
  <c r="C990" i="2"/>
  <c r="D989" i="2"/>
  <c r="C989" i="2"/>
  <c r="D988" i="2"/>
  <c r="C988" i="2"/>
  <c r="D987" i="2"/>
  <c r="C987" i="2"/>
  <c r="D986" i="2"/>
  <c r="C986" i="2"/>
  <c r="D985" i="2"/>
  <c r="C985" i="2"/>
  <c r="D984" i="2"/>
  <c r="C984" i="2"/>
  <c r="D983" i="2"/>
  <c r="C983" i="2"/>
  <c r="D982" i="2"/>
  <c r="C982" i="2"/>
  <c r="D981" i="2"/>
  <c r="C981" i="2"/>
  <c r="D980" i="2"/>
  <c r="C980" i="2"/>
  <c r="D979" i="2"/>
  <c r="C979" i="2"/>
  <c r="D978" i="2"/>
  <c r="C978" i="2"/>
  <c r="D977" i="2"/>
  <c r="C977" i="2"/>
  <c r="D976" i="2"/>
  <c r="C976" i="2"/>
  <c r="D975" i="2"/>
  <c r="C975" i="2"/>
  <c r="D974" i="2"/>
  <c r="C974" i="2"/>
  <c r="D973" i="2"/>
  <c r="C973" i="2"/>
  <c r="D972" i="2"/>
  <c r="C972" i="2"/>
  <c r="D971" i="2"/>
  <c r="C971" i="2"/>
  <c r="D970" i="2"/>
  <c r="C970" i="2"/>
  <c r="D969" i="2"/>
  <c r="C969" i="2"/>
  <c r="D968" i="2"/>
  <c r="C968" i="2"/>
  <c r="D967" i="2"/>
  <c r="C967" i="2"/>
  <c r="D966" i="2"/>
  <c r="C966" i="2"/>
  <c r="D965" i="2"/>
  <c r="C965" i="2"/>
  <c r="D964" i="2"/>
  <c r="C964" i="2"/>
  <c r="D963" i="2"/>
  <c r="C963" i="2"/>
  <c r="D962" i="2"/>
  <c r="C962" i="2"/>
  <c r="D961" i="2"/>
  <c r="C961" i="2"/>
  <c r="D960" i="2"/>
  <c r="C960" i="2"/>
  <c r="D959" i="2"/>
  <c r="C959" i="2"/>
  <c r="D958" i="2"/>
  <c r="C958" i="2"/>
  <c r="D957" i="2"/>
  <c r="C957" i="2"/>
  <c r="D956" i="2"/>
  <c r="C956" i="2"/>
  <c r="D955" i="2"/>
  <c r="C955" i="2"/>
  <c r="D954" i="2"/>
  <c r="C954" i="2"/>
  <c r="D953" i="2"/>
  <c r="C953" i="2"/>
  <c r="D952" i="2"/>
  <c r="C952" i="2"/>
  <c r="D951" i="2"/>
  <c r="C951" i="2"/>
  <c r="D950" i="2"/>
  <c r="C950" i="2"/>
  <c r="D949" i="2"/>
  <c r="C949" i="2"/>
  <c r="D948" i="2"/>
  <c r="C948" i="2"/>
  <c r="D947" i="2"/>
  <c r="C947" i="2"/>
  <c r="D946" i="2"/>
  <c r="C946" i="2"/>
  <c r="D945" i="2"/>
  <c r="C945" i="2"/>
  <c r="D944" i="2"/>
  <c r="C944" i="2"/>
  <c r="D943" i="2"/>
  <c r="C943" i="2"/>
  <c r="D942" i="2"/>
  <c r="C942" i="2"/>
  <c r="D941" i="2"/>
  <c r="C941" i="2"/>
  <c r="D940" i="2"/>
  <c r="C940" i="2"/>
  <c r="D939" i="2"/>
  <c r="C939" i="2"/>
  <c r="D938" i="2"/>
  <c r="C938" i="2"/>
  <c r="D937" i="2"/>
  <c r="C937" i="2"/>
  <c r="D936" i="2"/>
  <c r="C936" i="2"/>
  <c r="D935" i="2"/>
  <c r="C935" i="2"/>
  <c r="D934" i="2"/>
  <c r="C934" i="2"/>
  <c r="D933" i="2"/>
  <c r="C933" i="2"/>
  <c r="D932" i="2"/>
  <c r="C932" i="2"/>
  <c r="D931" i="2"/>
  <c r="C931" i="2"/>
  <c r="D930" i="2"/>
  <c r="C930" i="2"/>
  <c r="D929" i="2"/>
  <c r="C929" i="2"/>
  <c r="D928" i="2"/>
  <c r="C928" i="2"/>
  <c r="D927" i="2"/>
  <c r="C927" i="2"/>
  <c r="D926" i="2"/>
  <c r="C926" i="2"/>
  <c r="D925" i="2"/>
  <c r="C925" i="2"/>
  <c r="D924" i="2"/>
  <c r="C924" i="2"/>
  <c r="D923" i="2"/>
  <c r="C923" i="2"/>
  <c r="D922" i="2"/>
  <c r="C922" i="2"/>
  <c r="D921" i="2"/>
  <c r="C921" i="2"/>
  <c r="D920" i="2"/>
  <c r="C920" i="2"/>
  <c r="D919" i="2"/>
  <c r="C919" i="2"/>
  <c r="D918" i="2"/>
  <c r="C918" i="2"/>
  <c r="D917" i="2"/>
  <c r="C917" i="2"/>
  <c r="D916" i="2"/>
  <c r="C916" i="2"/>
  <c r="D915" i="2"/>
  <c r="C915" i="2"/>
  <c r="D914" i="2"/>
  <c r="C914" i="2"/>
  <c r="D913" i="2"/>
  <c r="C913" i="2"/>
  <c r="D912" i="2"/>
  <c r="C912" i="2"/>
  <c r="D911" i="2"/>
  <c r="C911" i="2"/>
  <c r="D910" i="2"/>
  <c r="C910" i="2"/>
  <c r="D909" i="2"/>
  <c r="C909" i="2"/>
  <c r="D908" i="2"/>
  <c r="C908" i="2"/>
  <c r="D907" i="2"/>
  <c r="C907" i="2"/>
  <c r="D906" i="2"/>
  <c r="C906" i="2"/>
  <c r="D905" i="2"/>
  <c r="C905" i="2"/>
  <c r="D904" i="2"/>
  <c r="C904" i="2"/>
  <c r="D903" i="2"/>
  <c r="C903" i="2"/>
  <c r="D902" i="2"/>
  <c r="C902" i="2"/>
  <c r="D901" i="2"/>
  <c r="C901" i="2"/>
  <c r="D900" i="2"/>
  <c r="C900" i="2"/>
  <c r="D899" i="2"/>
  <c r="C899" i="2"/>
  <c r="D898" i="2"/>
  <c r="C898" i="2"/>
  <c r="D897" i="2"/>
  <c r="C897" i="2"/>
  <c r="D896" i="2"/>
  <c r="C896" i="2"/>
  <c r="D895" i="2"/>
  <c r="C895" i="2"/>
  <c r="D894" i="2"/>
  <c r="C894" i="2"/>
  <c r="D893" i="2"/>
  <c r="C893" i="2"/>
  <c r="D892" i="2"/>
  <c r="C892" i="2"/>
  <c r="D891" i="2"/>
  <c r="C891" i="2"/>
  <c r="D890" i="2"/>
  <c r="C890" i="2"/>
  <c r="D889" i="2"/>
  <c r="C889" i="2"/>
  <c r="D888" i="2"/>
  <c r="C888" i="2"/>
  <c r="D887" i="2"/>
  <c r="C887" i="2"/>
  <c r="D886" i="2"/>
  <c r="C886" i="2"/>
  <c r="D885" i="2"/>
  <c r="C885" i="2"/>
  <c r="D884" i="2"/>
  <c r="C884" i="2"/>
  <c r="D883" i="2"/>
  <c r="C883" i="2"/>
  <c r="D882" i="2"/>
  <c r="C882" i="2"/>
  <c r="D881" i="2"/>
  <c r="C881" i="2"/>
  <c r="D880" i="2"/>
  <c r="C880" i="2"/>
  <c r="D879" i="2"/>
  <c r="C879" i="2"/>
  <c r="D878" i="2"/>
  <c r="C878" i="2"/>
  <c r="D877" i="2"/>
  <c r="C877" i="2"/>
  <c r="D876" i="2"/>
  <c r="C876" i="2"/>
  <c r="D875" i="2"/>
  <c r="C875" i="2"/>
  <c r="D874" i="2"/>
  <c r="C874" i="2"/>
  <c r="D873" i="2"/>
  <c r="C873" i="2"/>
  <c r="D872" i="2"/>
  <c r="C872" i="2"/>
  <c r="D871" i="2"/>
  <c r="C871" i="2"/>
  <c r="D870" i="2"/>
  <c r="C870" i="2"/>
  <c r="D869" i="2"/>
  <c r="C869" i="2"/>
  <c r="D868" i="2"/>
  <c r="C868" i="2"/>
  <c r="D867" i="2"/>
  <c r="C867" i="2"/>
  <c r="D866" i="2"/>
  <c r="C866" i="2"/>
  <c r="D865" i="2"/>
  <c r="C865" i="2"/>
  <c r="D864" i="2"/>
  <c r="C864" i="2"/>
  <c r="D863" i="2"/>
  <c r="C863" i="2"/>
  <c r="D862" i="2"/>
  <c r="C862" i="2"/>
  <c r="D861" i="2"/>
  <c r="C861" i="2"/>
  <c r="D860" i="2"/>
  <c r="C860" i="2"/>
  <c r="D859" i="2"/>
  <c r="C859" i="2"/>
  <c r="D858" i="2"/>
  <c r="C858" i="2"/>
  <c r="D857" i="2"/>
  <c r="C857" i="2"/>
  <c r="D856" i="2"/>
  <c r="C856" i="2"/>
  <c r="D855" i="2"/>
  <c r="C855" i="2"/>
  <c r="D854" i="2"/>
  <c r="C854" i="2"/>
  <c r="D853" i="2"/>
  <c r="C853" i="2"/>
  <c r="D852" i="2"/>
  <c r="C852" i="2"/>
  <c r="D851" i="2"/>
  <c r="C851" i="2"/>
  <c r="D850" i="2"/>
  <c r="C850" i="2"/>
  <c r="D849" i="2"/>
  <c r="C849" i="2"/>
  <c r="D848" i="2"/>
  <c r="C848" i="2"/>
  <c r="D847" i="2"/>
  <c r="C847" i="2"/>
  <c r="D846" i="2"/>
  <c r="C846" i="2"/>
  <c r="D845" i="2"/>
  <c r="C845" i="2"/>
  <c r="D844" i="2"/>
  <c r="C844" i="2"/>
  <c r="D843" i="2"/>
  <c r="C843" i="2"/>
  <c r="D842" i="2"/>
  <c r="C842" i="2"/>
  <c r="D841" i="2"/>
  <c r="C841" i="2"/>
  <c r="D840" i="2"/>
  <c r="C840" i="2"/>
  <c r="D839" i="2"/>
  <c r="C839" i="2"/>
  <c r="D838" i="2"/>
  <c r="C838" i="2"/>
  <c r="D837" i="2"/>
  <c r="C837" i="2"/>
  <c r="D836" i="2"/>
  <c r="C836" i="2"/>
  <c r="D835" i="2"/>
  <c r="C835" i="2"/>
  <c r="D834" i="2"/>
  <c r="C834" i="2"/>
  <c r="D833" i="2"/>
  <c r="C833" i="2"/>
  <c r="D832" i="2"/>
  <c r="C832" i="2"/>
  <c r="D831" i="2"/>
  <c r="C831" i="2"/>
  <c r="D830" i="2"/>
  <c r="C830" i="2"/>
  <c r="D829" i="2"/>
  <c r="C829" i="2"/>
  <c r="D828" i="2"/>
  <c r="C828" i="2"/>
  <c r="D827" i="2"/>
  <c r="C827" i="2"/>
  <c r="D826" i="2"/>
  <c r="C826" i="2"/>
  <c r="D825" i="2"/>
  <c r="C825" i="2"/>
  <c r="D824" i="2"/>
  <c r="C824" i="2"/>
  <c r="D823" i="2"/>
  <c r="C823" i="2"/>
  <c r="D822" i="2"/>
  <c r="C822" i="2"/>
  <c r="D821" i="2"/>
  <c r="C821" i="2"/>
  <c r="D820" i="2"/>
  <c r="C820" i="2"/>
  <c r="D819" i="2"/>
  <c r="C819" i="2"/>
  <c r="D818" i="2"/>
  <c r="C818" i="2"/>
  <c r="D817" i="2"/>
  <c r="C817" i="2"/>
  <c r="D816" i="2"/>
  <c r="C816" i="2"/>
  <c r="D815" i="2"/>
  <c r="C815" i="2"/>
  <c r="D814" i="2"/>
  <c r="C814" i="2"/>
  <c r="D813" i="2"/>
  <c r="C813" i="2"/>
  <c r="D812" i="2"/>
  <c r="C812" i="2"/>
  <c r="D811" i="2"/>
  <c r="C811" i="2"/>
  <c r="D810" i="2"/>
  <c r="C810" i="2"/>
  <c r="D809" i="2"/>
  <c r="C809" i="2"/>
  <c r="D808" i="2"/>
  <c r="C808" i="2"/>
  <c r="D807" i="2"/>
  <c r="C807" i="2"/>
  <c r="D806" i="2"/>
  <c r="C806" i="2"/>
  <c r="D805" i="2"/>
  <c r="C805" i="2"/>
  <c r="D804" i="2"/>
  <c r="C804" i="2"/>
  <c r="D803" i="2"/>
  <c r="C803" i="2"/>
  <c r="D802" i="2"/>
  <c r="C802" i="2"/>
  <c r="D801" i="2"/>
  <c r="C801" i="2"/>
  <c r="D800" i="2"/>
  <c r="C800" i="2"/>
  <c r="D799" i="2"/>
  <c r="C799" i="2"/>
  <c r="D798" i="2"/>
  <c r="C798" i="2"/>
  <c r="D797" i="2"/>
  <c r="C797" i="2"/>
  <c r="D796" i="2"/>
  <c r="C796" i="2"/>
  <c r="D795" i="2"/>
  <c r="C795" i="2"/>
  <c r="D794" i="2"/>
  <c r="C794" i="2"/>
  <c r="D793" i="2"/>
  <c r="C793" i="2"/>
  <c r="D792" i="2"/>
  <c r="C792" i="2"/>
  <c r="D791" i="2"/>
  <c r="C791" i="2"/>
  <c r="D790" i="2"/>
  <c r="C790" i="2"/>
  <c r="D789" i="2"/>
  <c r="C789" i="2"/>
  <c r="D788" i="2"/>
  <c r="C788" i="2"/>
  <c r="D787" i="2"/>
  <c r="C787" i="2"/>
  <c r="D786" i="2"/>
  <c r="C786" i="2"/>
  <c r="D785" i="2"/>
  <c r="C785" i="2"/>
  <c r="D784" i="2"/>
  <c r="C784" i="2"/>
  <c r="D783" i="2"/>
  <c r="C783" i="2"/>
  <c r="D782" i="2"/>
  <c r="C782" i="2"/>
  <c r="D781" i="2"/>
  <c r="C781" i="2"/>
  <c r="D780" i="2"/>
  <c r="C780" i="2"/>
  <c r="D779" i="2"/>
  <c r="C779" i="2"/>
  <c r="D778" i="2"/>
  <c r="C778" i="2"/>
  <c r="D777" i="2"/>
  <c r="C777" i="2"/>
  <c r="D776" i="2"/>
  <c r="C776" i="2"/>
  <c r="D775" i="2"/>
  <c r="C775" i="2"/>
  <c r="D774" i="2"/>
  <c r="C774" i="2"/>
  <c r="D773" i="2"/>
  <c r="C773" i="2"/>
  <c r="D772" i="2"/>
  <c r="C772" i="2"/>
  <c r="D771" i="2"/>
  <c r="C771" i="2"/>
  <c r="D770" i="2"/>
  <c r="C770" i="2"/>
  <c r="D769" i="2"/>
  <c r="C769" i="2"/>
  <c r="D768" i="2"/>
  <c r="C768" i="2"/>
  <c r="D767" i="2"/>
  <c r="C767" i="2"/>
  <c r="D766" i="2"/>
  <c r="C766" i="2"/>
  <c r="D765" i="2"/>
  <c r="C765" i="2"/>
  <c r="D764" i="2"/>
  <c r="C764" i="2"/>
  <c r="D763" i="2"/>
  <c r="C763" i="2"/>
  <c r="D762" i="2"/>
  <c r="C762" i="2"/>
  <c r="D761" i="2"/>
  <c r="C761" i="2"/>
  <c r="D760" i="2"/>
  <c r="C760" i="2"/>
  <c r="D759" i="2"/>
  <c r="C759" i="2"/>
  <c r="D758" i="2"/>
  <c r="C758" i="2"/>
  <c r="D757" i="2"/>
  <c r="C757" i="2"/>
  <c r="D756" i="2"/>
  <c r="C756" i="2"/>
  <c r="D755" i="2"/>
  <c r="C755" i="2"/>
  <c r="D754" i="2"/>
  <c r="C754" i="2"/>
  <c r="D753" i="2"/>
  <c r="C753" i="2"/>
  <c r="D752" i="2"/>
  <c r="C752" i="2"/>
  <c r="D751" i="2"/>
  <c r="C751" i="2"/>
  <c r="D750" i="2"/>
  <c r="C750" i="2"/>
  <c r="D749" i="2"/>
  <c r="C749" i="2"/>
  <c r="D748" i="2"/>
  <c r="C748" i="2"/>
  <c r="D747" i="2"/>
  <c r="C747" i="2"/>
  <c r="D746" i="2"/>
  <c r="C746" i="2"/>
  <c r="D745" i="2"/>
  <c r="C745" i="2"/>
  <c r="D744" i="2"/>
  <c r="C744" i="2"/>
  <c r="D743" i="2"/>
  <c r="C743" i="2"/>
  <c r="D742" i="2"/>
  <c r="C742" i="2"/>
  <c r="D741" i="2"/>
  <c r="C741" i="2"/>
  <c r="D740" i="2"/>
  <c r="C740" i="2"/>
  <c r="D739" i="2"/>
  <c r="C739" i="2"/>
  <c r="D738" i="2"/>
  <c r="C738" i="2"/>
  <c r="D737" i="2"/>
  <c r="C737" i="2"/>
  <c r="D736" i="2"/>
  <c r="C736" i="2"/>
  <c r="D735" i="2"/>
  <c r="C735" i="2"/>
  <c r="D734" i="2"/>
  <c r="C734" i="2"/>
  <c r="D733" i="2"/>
  <c r="C733" i="2"/>
  <c r="D732" i="2"/>
  <c r="C732" i="2"/>
  <c r="D731" i="2"/>
  <c r="C731" i="2"/>
  <c r="D730" i="2"/>
  <c r="C730" i="2"/>
  <c r="D729" i="2"/>
  <c r="C729" i="2"/>
  <c r="D728" i="2"/>
  <c r="C728" i="2"/>
  <c r="D727" i="2"/>
  <c r="C727" i="2"/>
  <c r="D726" i="2"/>
  <c r="C726" i="2"/>
  <c r="D725" i="2"/>
  <c r="C725" i="2"/>
  <c r="D724" i="2"/>
  <c r="C724" i="2"/>
  <c r="D723" i="2"/>
  <c r="C723" i="2"/>
  <c r="D722" i="2"/>
  <c r="C722" i="2"/>
  <c r="D721" i="2"/>
  <c r="C721" i="2"/>
  <c r="D720" i="2"/>
  <c r="C720" i="2"/>
  <c r="D719" i="2"/>
  <c r="C719" i="2"/>
  <c r="D718" i="2"/>
  <c r="C718" i="2"/>
  <c r="D717" i="2"/>
  <c r="C717" i="2"/>
  <c r="D716" i="2"/>
  <c r="C716" i="2"/>
  <c r="D715" i="2"/>
  <c r="C715" i="2"/>
  <c r="D714" i="2"/>
  <c r="C714" i="2"/>
  <c r="D713" i="2"/>
  <c r="C713" i="2"/>
  <c r="D712" i="2"/>
  <c r="C712" i="2"/>
  <c r="D711" i="2"/>
  <c r="C711" i="2"/>
  <c r="D710" i="2"/>
  <c r="C710" i="2"/>
  <c r="D709" i="2"/>
  <c r="C709" i="2"/>
  <c r="D708" i="2"/>
  <c r="C708" i="2"/>
  <c r="D707" i="2"/>
  <c r="C707" i="2"/>
  <c r="D706" i="2"/>
  <c r="C706" i="2"/>
  <c r="D705" i="2"/>
  <c r="C705" i="2"/>
  <c r="D704" i="2"/>
  <c r="C704" i="2"/>
  <c r="D703" i="2"/>
  <c r="C703" i="2"/>
  <c r="D702" i="2"/>
  <c r="C702" i="2"/>
  <c r="D701" i="2"/>
  <c r="C701" i="2"/>
  <c r="D700" i="2"/>
  <c r="C700" i="2"/>
  <c r="D699" i="2"/>
  <c r="C699" i="2"/>
  <c r="D698" i="2"/>
  <c r="C698" i="2"/>
  <c r="D697" i="2"/>
  <c r="C697" i="2"/>
  <c r="D696" i="2"/>
  <c r="C696" i="2"/>
  <c r="D695" i="2"/>
  <c r="C695" i="2"/>
  <c r="D694" i="2"/>
  <c r="C694" i="2"/>
  <c r="D693" i="2"/>
  <c r="C693" i="2"/>
  <c r="D692" i="2"/>
  <c r="C692" i="2"/>
  <c r="D691" i="2"/>
  <c r="C691" i="2"/>
  <c r="D690" i="2"/>
  <c r="C690" i="2"/>
  <c r="D689" i="2"/>
  <c r="C689" i="2"/>
  <c r="D688" i="2"/>
  <c r="C688" i="2"/>
  <c r="D687" i="2"/>
  <c r="C687" i="2"/>
  <c r="D686" i="2"/>
  <c r="C686" i="2"/>
  <c r="D685" i="2"/>
  <c r="C685" i="2"/>
  <c r="D684" i="2"/>
  <c r="C684" i="2"/>
  <c r="D683" i="2"/>
  <c r="C683" i="2"/>
  <c r="D682" i="2"/>
  <c r="C682" i="2"/>
  <c r="D681" i="2"/>
  <c r="C681" i="2"/>
  <c r="D680" i="2"/>
  <c r="C680" i="2"/>
  <c r="D679" i="2"/>
  <c r="C679" i="2"/>
  <c r="D678" i="2"/>
  <c r="C678" i="2"/>
  <c r="D677" i="2"/>
  <c r="C677" i="2"/>
  <c r="D676" i="2"/>
  <c r="C676" i="2"/>
  <c r="D675" i="2"/>
  <c r="C675" i="2"/>
  <c r="D674" i="2"/>
  <c r="C674" i="2"/>
  <c r="D673" i="2"/>
  <c r="C673" i="2"/>
  <c r="D672" i="2"/>
  <c r="C672" i="2"/>
  <c r="D671" i="2"/>
  <c r="C671" i="2"/>
  <c r="D670" i="2"/>
  <c r="C670" i="2"/>
  <c r="D669" i="2"/>
  <c r="C669" i="2"/>
  <c r="D668" i="2"/>
  <c r="C668" i="2"/>
  <c r="D667" i="2"/>
  <c r="C667" i="2"/>
  <c r="D666" i="2"/>
  <c r="C666" i="2"/>
  <c r="D665" i="2"/>
  <c r="C665" i="2"/>
  <c r="D664" i="2"/>
  <c r="C664" i="2"/>
  <c r="D663" i="2"/>
  <c r="C663" i="2"/>
  <c r="D662" i="2"/>
  <c r="C662" i="2"/>
  <c r="D661" i="2"/>
  <c r="C661" i="2"/>
  <c r="D660" i="2"/>
  <c r="C660" i="2"/>
  <c r="D659" i="2"/>
  <c r="C659" i="2"/>
  <c r="D658" i="2"/>
  <c r="C658" i="2"/>
  <c r="D657" i="2"/>
  <c r="C657" i="2"/>
  <c r="D656" i="2"/>
  <c r="C656" i="2"/>
  <c r="D655" i="2"/>
  <c r="C655" i="2"/>
  <c r="D654" i="2"/>
  <c r="C654" i="2"/>
  <c r="D653" i="2"/>
  <c r="C653" i="2"/>
  <c r="D652" i="2"/>
  <c r="C652" i="2"/>
  <c r="D651" i="2"/>
  <c r="C651" i="2"/>
  <c r="D650" i="2"/>
  <c r="C650" i="2"/>
  <c r="D649" i="2"/>
  <c r="C649" i="2"/>
  <c r="D648" i="2"/>
  <c r="C648" i="2"/>
  <c r="D647" i="2"/>
  <c r="C647" i="2"/>
  <c r="D646" i="2"/>
  <c r="C646" i="2"/>
  <c r="D645" i="2"/>
  <c r="C645" i="2"/>
  <c r="D644" i="2"/>
  <c r="C644" i="2"/>
  <c r="D643" i="2"/>
  <c r="C643" i="2"/>
  <c r="D642" i="2"/>
  <c r="C642" i="2"/>
  <c r="D641" i="2"/>
  <c r="C641" i="2"/>
  <c r="D640" i="2"/>
  <c r="C640" i="2"/>
  <c r="D639" i="2"/>
  <c r="C639" i="2"/>
  <c r="D638" i="2"/>
  <c r="C638" i="2"/>
  <c r="D637" i="2"/>
  <c r="C637" i="2"/>
  <c r="D636" i="2"/>
  <c r="C636" i="2"/>
  <c r="D635" i="2"/>
  <c r="C635" i="2"/>
  <c r="D634" i="2"/>
  <c r="C634" i="2"/>
  <c r="D633" i="2"/>
  <c r="C633" i="2"/>
  <c r="D632" i="2"/>
  <c r="C632" i="2"/>
  <c r="D631" i="2"/>
  <c r="C631" i="2"/>
  <c r="D630" i="2"/>
  <c r="C630" i="2"/>
  <c r="D629" i="2"/>
  <c r="C629" i="2"/>
  <c r="D628" i="2"/>
  <c r="C628" i="2"/>
  <c r="D627" i="2"/>
  <c r="C627" i="2"/>
  <c r="D626" i="2"/>
  <c r="C626" i="2"/>
  <c r="D625" i="2"/>
  <c r="C625" i="2"/>
  <c r="D624" i="2"/>
  <c r="C624" i="2"/>
  <c r="D623" i="2"/>
  <c r="C623" i="2"/>
  <c r="D622" i="2"/>
  <c r="C622" i="2"/>
  <c r="D621" i="2"/>
  <c r="C621" i="2"/>
  <c r="D620" i="2"/>
  <c r="C620" i="2"/>
  <c r="D619" i="2"/>
  <c r="C619" i="2"/>
  <c r="D618" i="2"/>
  <c r="C618" i="2"/>
  <c r="D617" i="2"/>
  <c r="C617" i="2"/>
  <c r="D616" i="2"/>
  <c r="C616" i="2"/>
  <c r="D615" i="2"/>
  <c r="C615" i="2"/>
  <c r="D614" i="2"/>
  <c r="C614" i="2"/>
  <c r="D613" i="2"/>
  <c r="C613" i="2"/>
  <c r="D612" i="2"/>
  <c r="C612" i="2"/>
  <c r="D611" i="2"/>
  <c r="C611" i="2"/>
  <c r="D610" i="2"/>
  <c r="C610" i="2"/>
  <c r="D609" i="2"/>
  <c r="C609" i="2"/>
  <c r="D608" i="2"/>
  <c r="C608" i="2"/>
  <c r="D607" i="2"/>
  <c r="C607" i="2"/>
  <c r="D606" i="2"/>
  <c r="C606" i="2"/>
  <c r="D605" i="2"/>
  <c r="C605" i="2"/>
  <c r="D604" i="2"/>
  <c r="C604" i="2"/>
  <c r="D603" i="2"/>
  <c r="C603" i="2"/>
  <c r="D602" i="2"/>
  <c r="C602" i="2"/>
  <c r="D601" i="2"/>
  <c r="C601" i="2"/>
  <c r="D600" i="2"/>
  <c r="C600" i="2"/>
  <c r="D599" i="2"/>
  <c r="C599" i="2"/>
  <c r="D598" i="2"/>
  <c r="C598" i="2"/>
  <c r="D597" i="2"/>
  <c r="C597" i="2"/>
  <c r="D596" i="2"/>
  <c r="C596" i="2"/>
  <c r="D595" i="2"/>
  <c r="C595" i="2"/>
  <c r="D594" i="2"/>
  <c r="C594" i="2"/>
  <c r="D593" i="2"/>
  <c r="C593" i="2"/>
  <c r="D592" i="2"/>
  <c r="C592" i="2"/>
  <c r="D591" i="2"/>
  <c r="C591" i="2"/>
  <c r="D590" i="2"/>
  <c r="C590" i="2"/>
  <c r="D589" i="2"/>
  <c r="C589" i="2"/>
  <c r="D588" i="2"/>
  <c r="C588" i="2"/>
  <c r="D587" i="2"/>
  <c r="C587" i="2"/>
  <c r="D586" i="2"/>
  <c r="C586" i="2"/>
  <c r="D585" i="2"/>
  <c r="C585" i="2"/>
  <c r="D584" i="2"/>
  <c r="C584" i="2"/>
  <c r="D583" i="2"/>
  <c r="C583" i="2"/>
  <c r="D582" i="2"/>
  <c r="C582" i="2"/>
  <c r="D581" i="2"/>
  <c r="C581" i="2"/>
  <c r="D580" i="2"/>
  <c r="C580" i="2"/>
  <c r="D579" i="2"/>
  <c r="C579" i="2"/>
  <c r="D578" i="2"/>
  <c r="C578" i="2"/>
  <c r="D577" i="2"/>
  <c r="C577" i="2"/>
  <c r="D576" i="2"/>
  <c r="C576" i="2"/>
  <c r="D575" i="2"/>
  <c r="C575" i="2"/>
  <c r="D574" i="2"/>
  <c r="C574" i="2"/>
  <c r="D573" i="2"/>
  <c r="C573" i="2"/>
  <c r="D572" i="2"/>
  <c r="C572" i="2"/>
  <c r="D571" i="2"/>
  <c r="C571" i="2"/>
  <c r="D570" i="2"/>
  <c r="C570" i="2"/>
  <c r="D569" i="2"/>
  <c r="C569" i="2"/>
  <c r="D568" i="2"/>
  <c r="C568" i="2"/>
  <c r="D567" i="2"/>
  <c r="C567" i="2"/>
  <c r="D566" i="2"/>
  <c r="C566" i="2"/>
  <c r="D565" i="2"/>
  <c r="C565" i="2"/>
  <c r="D564" i="2"/>
  <c r="C564" i="2"/>
  <c r="D563" i="2"/>
  <c r="C563" i="2"/>
  <c r="D562" i="2"/>
  <c r="C562" i="2"/>
  <c r="D561" i="2"/>
  <c r="C561" i="2"/>
  <c r="D560" i="2"/>
  <c r="C560" i="2"/>
  <c r="D559" i="2"/>
  <c r="C559" i="2"/>
  <c r="D558" i="2"/>
  <c r="C558" i="2"/>
  <c r="D557" i="2"/>
  <c r="C557" i="2"/>
  <c r="D556" i="2"/>
  <c r="C556" i="2"/>
  <c r="D555" i="2"/>
  <c r="C555" i="2"/>
  <c r="D554" i="2"/>
  <c r="C554" i="2"/>
  <c r="D553" i="2"/>
  <c r="C553" i="2"/>
  <c r="D552" i="2"/>
  <c r="C552" i="2"/>
  <c r="D551" i="2"/>
  <c r="C551" i="2"/>
  <c r="D550" i="2"/>
  <c r="C550" i="2"/>
  <c r="D549" i="2"/>
  <c r="C549" i="2"/>
  <c r="D548" i="2"/>
  <c r="C548" i="2"/>
  <c r="D547" i="2"/>
  <c r="C547" i="2"/>
  <c r="D546" i="2"/>
  <c r="C546" i="2"/>
  <c r="D545" i="2"/>
  <c r="C545" i="2"/>
  <c r="D544" i="2"/>
  <c r="C544" i="2"/>
  <c r="D543" i="2"/>
  <c r="C543" i="2"/>
  <c r="D542" i="2"/>
  <c r="C542" i="2"/>
  <c r="D541" i="2"/>
  <c r="C541" i="2"/>
  <c r="D540" i="2"/>
  <c r="C540" i="2"/>
  <c r="D539" i="2"/>
  <c r="C539" i="2"/>
  <c r="D538" i="2"/>
  <c r="C538" i="2"/>
  <c r="D537" i="2"/>
  <c r="C537" i="2"/>
  <c r="D536" i="2"/>
  <c r="C536" i="2"/>
  <c r="D535" i="2"/>
  <c r="C535" i="2"/>
  <c r="D534" i="2"/>
  <c r="C534" i="2"/>
  <c r="D533" i="2"/>
  <c r="C533" i="2"/>
  <c r="D532" i="2"/>
  <c r="C532" i="2"/>
  <c r="D531" i="2"/>
  <c r="C531" i="2"/>
  <c r="D530" i="2"/>
  <c r="C530" i="2"/>
  <c r="D529" i="2"/>
  <c r="C529" i="2"/>
  <c r="D528" i="2"/>
  <c r="C528" i="2"/>
  <c r="D527" i="2"/>
  <c r="C527" i="2"/>
  <c r="D526" i="2"/>
  <c r="C526" i="2"/>
  <c r="D525" i="2"/>
  <c r="C525" i="2"/>
  <c r="D524" i="2"/>
  <c r="C524" i="2"/>
  <c r="D523" i="2"/>
  <c r="C523" i="2"/>
  <c r="D522" i="2"/>
  <c r="C522" i="2"/>
  <c r="D521" i="2"/>
  <c r="C521" i="2"/>
  <c r="D520" i="2"/>
  <c r="C520" i="2"/>
  <c r="D519" i="2"/>
  <c r="C519" i="2"/>
  <c r="D518" i="2"/>
  <c r="C518" i="2"/>
  <c r="D517" i="2"/>
  <c r="C517" i="2"/>
  <c r="D516" i="2"/>
  <c r="C516" i="2"/>
  <c r="D515" i="2"/>
  <c r="C515" i="2"/>
  <c r="D514" i="2"/>
  <c r="C514" i="2"/>
  <c r="D513" i="2"/>
  <c r="C513" i="2"/>
  <c r="D512" i="2"/>
  <c r="C512" i="2"/>
  <c r="D511" i="2"/>
  <c r="C511" i="2"/>
  <c r="D510" i="2"/>
  <c r="C510" i="2"/>
  <c r="D509" i="2"/>
  <c r="C509" i="2"/>
  <c r="D508" i="2"/>
  <c r="C508" i="2"/>
  <c r="D507" i="2"/>
  <c r="C507" i="2"/>
  <c r="D506" i="2"/>
  <c r="C506" i="2"/>
  <c r="D505" i="2"/>
  <c r="C505" i="2"/>
  <c r="D504" i="2"/>
  <c r="C504" i="2"/>
  <c r="D503" i="2"/>
  <c r="C503" i="2"/>
  <c r="D502" i="2"/>
  <c r="C502" i="2"/>
  <c r="D501" i="2"/>
  <c r="C501" i="2"/>
  <c r="D500" i="2"/>
  <c r="C500" i="2"/>
  <c r="D499" i="2"/>
  <c r="C499" i="2"/>
  <c r="D498" i="2"/>
  <c r="C498" i="2"/>
  <c r="D497" i="2"/>
  <c r="C497" i="2"/>
  <c r="D496" i="2"/>
  <c r="C496" i="2"/>
  <c r="D495" i="2"/>
  <c r="C495" i="2"/>
  <c r="D494" i="2"/>
  <c r="C494" i="2"/>
  <c r="D493" i="2"/>
  <c r="C493" i="2"/>
  <c r="D492" i="2"/>
  <c r="C492" i="2"/>
  <c r="D491" i="2"/>
  <c r="C491" i="2"/>
  <c r="D490" i="2"/>
  <c r="C490" i="2"/>
  <c r="D489" i="2"/>
  <c r="C489" i="2"/>
  <c r="D488" i="2"/>
  <c r="C488" i="2"/>
  <c r="D487" i="2"/>
  <c r="C487" i="2"/>
  <c r="D486" i="2"/>
  <c r="C486" i="2"/>
  <c r="D485" i="2"/>
  <c r="C485" i="2"/>
  <c r="D484" i="2"/>
  <c r="C484" i="2"/>
  <c r="D483" i="2"/>
  <c r="C483" i="2"/>
  <c r="D482" i="2"/>
  <c r="C482" i="2"/>
  <c r="D481" i="2"/>
  <c r="C481" i="2"/>
  <c r="D480" i="2"/>
  <c r="C480" i="2"/>
  <c r="D479" i="2"/>
  <c r="C479" i="2"/>
  <c r="D478" i="2"/>
  <c r="C478" i="2"/>
  <c r="D477" i="2"/>
  <c r="C477" i="2"/>
  <c r="D476" i="2"/>
  <c r="C476" i="2"/>
  <c r="D475" i="2"/>
  <c r="C475" i="2"/>
  <c r="D474" i="2"/>
  <c r="C474" i="2"/>
  <c r="D473" i="2"/>
  <c r="C473" i="2"/>
  <c r="D472" i="2"/>
  <c r="C472" i="2"/>
  <c r="D471" i="2"/>
  <c r="C471" i="2"/>
  <c r="D470" i="2"/>
  <c r="C470" i="2"/>
  <c r="D469" i="2"/>
  <c r="C469" i="2"/>
  <c r="D468" i="2"/>
  <c r="C468" i="2"/>
  <c r="D467" i="2"/>
  <c r="C467" i="2"/>
  <c r="D466" i="2"/>
  <c r="C466" i="2"/>
  <c r="D465" i="2"/>
  <c r="C465" i="2"/>
  <c r="D464" i="2"/>
  <c r="C464" i="2"/>
  <c r="D463" i="2"/>
  <c r="C463" i="2"/>
  <c r="D462" i="2"/>
  <c r="C462" i="2"/>
  <c r="D461" i="2"/>
  <c r="C461" i="2"/>
  <c r="D460" i="2"/>
  <c r="C460" i="2"/>
  <c r="D459" i="2"/>
  <c r="C459" i="2"/>
  <c r="D458" i="2"/>
  <c r="C458" i="2"/>
  <c r="D457" i="2"/>
  <c r="C457" i="2"/>
  <c r="D456" i="2"/>
  <c r="C456" i="2"/>
  <c r="D455" i="2"/>
  <c r="C455" i="2"/>
  <c r="D454" i="2"/>
  <c r="C454" i="2"/>
  <c r="D453" i="2"/>
  <c r="C453" i="2"/>
  <c r="D452" i="2"/>
  <c r="C452" i="2"/>
  <c r="D451" i="2"/>
  <c r="C451" i="2"/>
  <c r="D450" i="2"/>
  <c r="C450" i="2"/>
  <c r="D449" i="2"/>
  <c r="C449" i="2"/>
  <c r="D448" i="2"/>
  <c r="C448" i="2"/>
  <c r="D447" i="2"/>
  <c r="C447" i="2"/>
  <c r="D446" i="2"/>
  <c r="C446" i="2"/>
  <c r="D445" i="2"/>
  <c r="C445" i="2"/>
  <c r="D444" i="2"/>
  <c r="C444" i="2"/>
  <c r="D443" i="2"/>
  <c r="C443" i="2"/>
  <c r="D442" i="2"/>
  <c r="C442" i="2"/>
  <c r="D441" i="2"/>
  <c r="C441" i="2"/>
  <c r="D440" i="2"/>
  <c r="C440" i="2"/>
  <c r="D439" i="2"/>
  <c r="C439" i="2"/>
  <c r="D438" i="2"/>
  <c r="C438" i="2"/>
  <c r="D437" i="2"/>
  <c r="C437" i="2"/>
  <c r="D436" i="2"/>
  <c r="C436" i="2"/>
  <c r="D435" i="2"/>
  <c r="C435" i="2"/>
  <c r="D434" i="2"/>
  <c r="C434" i="2"/>
  <c r="D433" i="2"/>
  <c r="C433" i="2"/>
  <c r="D432" i="2"/>
  <c r="C432" i="2"/>
  <c r="D431" i="2"/>
  <c r="C431" i="2"/>
  <c r="D430" i="2"/>
  <c r="C430" i="2"/>
  <c r="D429" i="2"/>
  <c r="C429" i="2"/>
  <c r="D428" i="2"/>
  <c r="C428" i="2"/>
  <c r="D427" i="2"/>
  <c r="C427" i="2"/>
  <c r="D426" i="2"/>
  <c r="C426" i="2"/>
  <c r="D425" i="2"/>
  <c r="C425" i="2"/>
  <c r="D424" i="2"/>
  <c r="C424" i="2"/>
  <c r="D423" i="2"/>
  <c r="C423" i="2"/>
  <c r="D422" i="2"/>
  <c r="C422" i="2"/>
  <c r="D421" i="2"/>
  <c r="C421" i="2"/>
  <c r="D420" i="2"/>
  <c r="C420" i="2"/>
  <c r="D419" i="2"/>
  <c r="C419" i="2"/>
  <c r="D418" i="2"/>
  <c r="C418" i="2"/>
  <c r="D417" i="2"/>
  <c r="C417" i="2"/>
  <c r="D416" i="2"/>
  <c r="C416" i="2"/>
  <c r="D415" i="2"/>
  <c r="C415" i="2"/>
  <c r="D414" i="2"/>
  <c r="C414" i="2"/>
  <c r="D413" i="2"/>
  <c r="C413" i="2"/>
  <c r="D412" i="2"/>
  <c r="C412" i="2"/>
  <c r="D411" i="2"/>
  <c r="C411" i="2"/>
  <c r="D410" i="2"/>
  <c r="C410" i="2"/>
  <c r="D409" i="2"/>
  <c r="C409" i="2"/>
  <c r="D408" i="2"/>
  <c r="C408" i="2"/>
  <c r="D407" i="2"/>
  <c r="C407" i="2"/>
  <c r="D406" i="2"/>
  <c r="C406" i="2"/>
  <c r="D405" i="2"/>
  <c r="C405" i="2"/>
  <c r="D404" i="2"/>
  <c r="C404" i="2"/>
  <c r="D403" i="2"/>
  <c r="C403" i="2"/>
  <c r="D402" i="2"/>
  <c r="C402" i="2"/>
  <c r="D401" i="2"/>
  <c r="C401" i="2"/>
  <c r="D400" i="2"/>
  <c r="C400" i="2"/>
  <c r="D399" i="2"/>
  <c r="C399" i="2"/>
  <c r="D398" i="2"/>
  <c r="C398" i="2"/>
  <c r="D397" i="2"/>
  <c r="C397" i="2"/>
  <c r="D396" i="2"/>
  <c r="C396" i="2"/>
  <c r="D395" i="2"/>
  <c r="C395" i="2"/>
  <c r="D394" i="2"/>
  <c r="C394" i="2"/>
  <c r="D393" i="2"/>
  <c r="C393" i="2"/>
  <c r="D392" i="2"/>
  <c r="C392" i="2"/>
  <c r="D391" i="2"/>
  <c r="C391" i="2"/>
  <c r="D390" i="2"/>
  <c r="C390" i="2"/>
  <c r="D389" i="2"/>
  <c r="C389" i="2"/>
  <c r="D388" i="2"/>
  <c r="C388" i="2"/>
  <c r="D387" i="2"/>
  <c r="C387" i="2"/>
  <c r="D386" i="2"/>
  <c r="C386" i="2"/>
  <c r="D385" i="2"/>
  <c r="C385" i="2"/>
  <c r="D384" i="2"/>
  <c r="C384" i="2"/>
  <c r="D383" i="2"/>
  <c r="C383" i="2"/>
  <c r="D382" i="2"/>
  <c r="C382" i="2"/>
  <c r="D381" i="2"/>
  <c r="C381" i="2"/>
  <c r="D380" i="2"/>
  <c r="C380" i="2"/>
  <c r="D379" i="2"/>
  <c r="C379" i="2"/>
  <c r="D378" i="2"/>
  <c r="C378" i="2"/>
  <c r="D377" i="2"/>
  <c r="C377" i="2"/>
  <c r="D376" i="2"/>
  <c r="C376" i="2"/>
  <c r="D375" i="2"/>
  <c r="C375" i="2"/>
  <c r="D374" i="2"/>
  <c r="C374" i="2"/>
  <c r="D373" i="2"/>
  <c r="C373" i="2"/>
  <c r="D372" i="2"/>
  <c r="C372" i="2"/>
  <c r="D371" i="2"/>
  <c r="C371" i="2"/>
  <c r="D370" i="2"/>
  <c r="C370" i="2"/>
  <c r="D369" i="2"/>
  <c r="C369" i="2"/>
  <c r="D368" i="2"/>
  <c r="C368" i="2"/>
  <c r="D367" i="2"/>
  <c r="C367" i="2"/>
  <c r="D366" i="2"/>
  <c r="C366" i="2"/>
  <c r="D365" i="2"/>
  <c r="C365" i="2"/>
  <c r="D364" i="2"/>
  <c r="C364" i="2"/>
  <c r="D363" i="2"/>
  <c r="C363" i="2"/>
  <c r="D362" i="2"/>
  <c r="C362" i="2"/>
  <c r="D361" i="2"/>
  <c r="C361" i="2"/>
  <c r="D360" i="2"/>
  <c r="C360" i="2"/>
  <c r="D359" i="2"/>
  <c r="C359" i="2"/>
  <c r="D358" i="2"/>
  <c r="C358" i="2"/>
  <c r="D357" i="2"/>
  <c r="C357" i="2"/>
  <c r="D356" i="2"/>
  <c r="C356" i="2"/>
  <c r="D355" i="2"/>
  <c r="C355" i="2"/>
  <c r="D354" i="2"/>
  <c r="C354" i="2"/>
  <c r="D353" i="2"/>
  <c r="C353" i="2"/>
  <c r="D352" i="2"/>
  <c r="C352" i="2"/>
  <c r="D351" i="2"/>
  <c r="C351" i="2"/>
  <c r="D350" i="2"/>
  <c r="C350" i="2"/>
  <c r="D349" i="2"/>
  <c r="C349" i="2"/>
  <c r="D348" i="2"/>
  <c r="C348" i="2"/>
  <c r="D347" i="2"/>
  <c r="C347" i="2"/>
  <c r="D346" i="2"/>
  <c r="C346" i="2"/>
  <c r="D345" i="2"/>
  <c r="C345" i="2"/>
  <c r="D344" i="2"/>
  <c r="C344" i="2"/>
  <c r="D343" i="2"/>
  <c r="C343" i="2"/>
  <c r="D342" i="2"/>
  <c r="C342" i="2"/>
  <c r="D341" i="2"/>
  <c r="C341" i="2"/>
  <c r="D340" i="2"/>
  <c r="C340" i="2"/>
  <c r="D339" i="2"/>
  <c r="C339" i="2"/>
  <c r="D338" i="2"/>
  <c r="C338" i="2"/>
  <c r="D337" i="2"/>
  <c r="C337" i="2"/>
  <c r="D336" i="2"/>
  <c r="C336" i="2"/>
  <c r="D335" i="2"/>
  <c r="C335" i="2"/>
  <c r="D334" i="2"/>
  <c r="C334" i="2"/>
  <c r="D333" i="2"/>
  <c r="C333" i="2"/>
  <c r="D332" i="2"/>
  <c r="C332" i="2"/>
  <c r="D331" i="2"/>
  <c r="C331" i="2"/>
  <c r="D330" i="2"/>
  <c r="C330" i="2"/>
  <c r="D329" i="2"/>
  <c r="C329" i="2"/>
  <c r="D328" i="2"/>
  <c r="C328" i="2"/>
  <c r="D327" i="2"/>
  <c r="C327" i="2"/>
  <c r="D326" i="2"/>
  <c r="C326" i="2"/>
  <c r="D325" i="2"/>
  <c r="C325" i="2"/>
  <c r="D324" i="2"/>
  <c r="C324" i="2"/>
  <c r="D323" i="2"/>
  <c r="C323" i="2"/>
  <c r="D322" i="2"/>
  <c r="C322" i="2"/>
  <c r="D321" i="2"/>
  <c r="C321" i="2"/>
  <c r="D320" i="2"/>
  <c r="C320" i="2"/>
  <c r="D319" i="2"/>
  <c r="C319" i="2"/>
  <c r="D318" i="2"/>
  <c r="C318" i="2"/>
  <c r="D317" i="2"/>
  <c r="C317" i="2"/>
  <c r="D316" i="2"/>
  <c r="C316" i="2"/>
  <c r="D315" i="2"/>
  <c r="C315" i="2"/>
  <c r="D314" i="2"/>
  <c r="C314" i="2"/>
  <c r="D313" i="2"/>
  <c r="C313" i="2"/>
  <c r="D312" i="2"/>
  <c r="C312" i="2"/>
  <c r="D311" i="2"/>
  <c r="C311" i="2"/>
  <c r="D310" i="2"/>
  <c r="C310" i="2"/>
  <c r="D309" i="2"/>
  <c r="C309" i="2"/>
  <c r="D308" i="2"/>
  <c r="C308" i="2"/>
  <c r="D307" i="2"/>
  <c r="C307" i="2"/>
  <c r="D306" i="2"/>
  <c r="C306" i="2"/>
  <c r="D305" i="2"/>
  <c r="C305" i="2"/>
  <c r="D304" i="2"/>
  <c r="C304" i="2"/>
  <c r="D303" i="2"/>
  <c r="C303" i="2"/>
  <c r="D302" i="2"/>
  <c r="C302" i="2"/>
  <c r="D301" i="2"/>
  <c r="C301" i="2"/>
  <c r="D300" i="2"/>
  <c r="C300" i="2"/>
  <c r="D299" i="2"/>
  <c r="C299" i="2"/>
  <c r="D298" i="2"/>
  <c r="C298" i="2"/>
  <c r="D297" i="2"/>
  <c r="C297" i="2"/>
  <c r="D296" i="2"/>
  <c r="C296" i="2"/>
  <c r="D295" i="2"/>
  <c r="C295" i="2"/>
  <c r="D294" i="2"/>
  <c r="C294" i="2"/>
  <c r="D293" i="2"/>
  <c r="C293" i="2"/>
  <c r="D292" i="2"/>
  <c r="C292" i="2"/>
  <c r="D291" i="2"/>
  <c r="C291" i="2"/>
  <c r="D290" i="2"/>
  <c r="C290" i="2"/>
  <c r="D289" i="2"/>
  <c r="C289" i="2"/>
  <c r="D288" i="2"/>
  <c r="C288" i="2"/>
  <c r="D287" i="2"/>
  <c r="C287" i="2"/>
  <c r="D286" i="2"/>
  <c r="C286" i="2"/>
  <c r="D285" i="2"/>
  <c r="C285" i="2"/>
  <c r="D284" i="2"/>
  <c r="C284" i="2"/>
  <c r="D283" i="2"/>
  <c r="C283" i="2"/>
  <c r="D282" i="2"/>
  <c r="C282" i="2"/>
  <c r="D281" i="2"/>
  <c r="C281" i="2"/>
  <c r="D280" i="2"/>
  <c r="C280" i="2"/>
  <c r="D279" i="2"/>
  <c r="C279" i="2"/>
  <c r="D278" i="2"/>
  <c r="C278" i="2"/>
  <c r="D277" i="2"/>
  <c r="C277" i="2"/>
  <c r="D276" i="2"/>
  <c r="C276" i="2"/>
  <c r="D275" i="2"/>
  <c r="C275" i="2"/>
  <c r="D274" i="2"/>
  <c r="C274" i="2"/>
  <c r="D273" i="2"/>
  <c r="C273" i="2"/>
  <c r="D272" i="2"/>
  <c r="C272" i="2"/>
  <c r="D271" i="2"/>
  <c r="C271" i="2"/>
  <c r="D270" i="2"/>
  <c r="C270" i="2"/>
  <c r="D269" i="2"/>
  <c r="C269" i="2"/>
  <c r="D268" i="2"/>
  <c r="C268" i="2"/>
  <c r="D267" i="2"/>
  <c r="C267" i="2"/>
  <c r="D266" i="2"/>
  <c r="C266" i="2"/>
  <c r="D265" i="2"/>
  <c r="C265" i="2"/>
  <c r="D264" i="2"/>
  <c r="C264" i="2"/>
  <c r="D263" i="2"/>
  <c r="C263" i="2"/>
  <c r="D262" i="2"/>
  <c r="C262" i="2"/>
  <c r="D261" i="2"/>
  <c r="C261" i="2"/>
  <c r="D260" i="2"/>
  <c r="C260" i="2"/>
  <c r="D259" i="2"/>
  <c r="C259" i="2"/>
  <c r="D258" i="2"/>
  <c r="C258" i="2"/>
  <c r="D257" i="2"/>
  <c r="C257" i="2"/>
  <c r="D256" i="2"/>
  <c r="C256" i="2"/>
  <c r="D255" i="2"/>
  <c r="C255" i="2"/>
  <c r="D254" i="2"/>
  <c r="C254" i="2"/>
  <c r="D253" i="2"/>
  <c r="C253" i="2"/>
  <c r="D252" i="2"/>
  <c r="C252" i="2"/>
  <c r="D251" i="2"/>
  <c r="C251" i="2"/>
  <c r="D250" i="2"/>
  <c r="C250" i="2"/>
  <c r="D249" i="2"/>
  <c r="C249" i="2"/>
  <c r="D248" i="2"/>
  <c r="C248" i="2"/>
  <c r="D247" i="2"/>
  <c r="C247" i="2"/>
  <c r="D246" i="2"/>
  <c r="C246" i="2"/>
  <c r="D245" i="2"/>
  <c r="C245" i="2"/>
  <c r="D244" i="2"/>
  <c r="C244" i="2"/>
  <c r="D243" i="2"/>
  <c r="C243" i="2"/>
  <c r="D242" i="2"/>
  <c r="C242" i="2"/>
  <c r="D241" i="2"/>
  <c r="C241" i="2"/>
  <c r="D240" i="2"/>
  <c r="C240" i="2"/>
  <c r="D239" i="2"/>
  <c r="C239" i="2"/>
  <c r="D238" i="2"/>
  <c r="C238" i="2"/>
  <c r="D237" i="2"/>
  <c r="C237" i="2"/>
  <c r="D236" i="2"/>
  <c r="C236" i="2"/>
  <c r="D235" i="2"/>
  <c r="C235" i="2"/>
  <c r="D234" i="2"/>
  <c r="C234" i="2"/>
  <c r="D233" i="2"/>
  <c r="C233" i="2"/>
  <c r="D232" i="2"/>
  <c r="C232" i="2"/>
  <c r="D231" i="2"/>
  <c r="C231" i="2"/>
  <c r="D230" i="2"/>
  <c r="C230" i="2"/>
  <c r="D229" i="2"/>
  <c r="C229" i="2"/>
  <c r="D228" i="2"/>
  <c r="C228" i="2"/>
  <c r="D227" i="2"/>
  <c r="C227" i="2"/>
  <c r="D226" i="2"/>
  <c r="C226" i="2"/>
  <c r="D225" i="2"/>
  <c r="C225" i="2"/>
  <c r="D224" i="2"/>
  <c r="C224" i="2"/>
  <c r="D223" i="2"/>
  <c r="C223" i="2"/>
  <c r="D222" i="2"/>
  <c r="C222" i="2"/>
  <c r="D221" i="2"/>
  <c r="C221" i="2"/>
  <c r="D220" i="2"/>
  <c r="C220" i="2"/>
  <c r="D219" i="2"/>
  <c r="C219" i="2"/>
  <c r="D218" i="2"/>
  <c r="C218" i="2"/>
  <c r="D217" i="2"/>
  <c r="C217" i="2"/>
  <c r="D216" i="2"/>
  <c r="C216" i="2"/>
  <c r="D215" i="2"/>
  <c r="C215" i="2"/>
  <c r="D214" i="2"/>
  <c r="C214" i="2"/>
  <c r="D213" i="2"/>
  <c r="C213" i="2"/>
  <c r="D212" i="2"/>
  <c r="C212" i="2"/>
  <c r="D211" i="2"/>
  <c r="C211" i="2"/>
  <c r="D210" i="2"/>
  <c r="C210" i="2"/>
  <c r="D209" i="2"/>
  <c r="C209" i="2"/>
  <c r="D208" i="2"/>
  <c r="C208" i="2"/>
  <c r="D207" i="2"/>
  <c r="C207" i="2"/>
  <c r="D206" i="2"/>
  <c r="C206" i="2"/>
  <c r="D205" i="2"/>
  <c r="C205" i="2"/>
  <c r="D204" i="2"/>
  <c r="C204" i="2"/>
  <c r="D203" i="2"/>
  <c r="C203" i="2"/>
  <c r="D202" i="2"/>
  <c r="C202" i="2"/>
  <c r="D201" i="2"/>
  <c r="C201" i="2"/>
  <c r="D200" i="2"/>
  <c r="C200" i="2"/>
  <c r="D199" i="2"/>
  <c r="C199" i="2"/>
  <c r="D198" i="2"/>
  <c r="C198" i="2"/>
  <c r="D197" i="2"/>
  <c r="C197" i="2"/>
  <c r="D196" i="2"/>
  <c r="C196" i="2"/>
  <c r="D195" i="2"/>
  <c r="C195" i="2"/>
  <c r="D194" i="2"/>
  <c r="C194" i="2"/>
  <c r="D193" i="2"/>
  <c r="C193" i="2"/>
  <c r="D192" i="2"/>
  <c r="C192" i="2"/>
  <c r="D191" i="2"/>
  <c r="C191" i="2"/>
  <c r="D190" i="2"/>
  <c r="C190" i="2"/>
  <c r="D189" i="2"/>
  <c r="C189" i="2"/>
  <c r="D188" i="2"/>
  <c r="C188" i="2"/>
  <c r="D187" i="2"/>
  <c r="C187" i="2"/>
  <c r="D186" i="2"/>
  <c r="C186" i="2"/>
  <c r="D185" i="2"/>
  <c r="C185" i="2"/>
  <c r="D184" i="2"/>
  <c r="C184" i="2"/>
  <c r="D183" i="2"/>
  <c r="C183" i="2"/>
  <c r="D182" i="2"/>
  <c r="C182" i="2"/>
  <c r="D181" i="2"/>
  <c r="C181" i="2"/>
  <c r="D180" i="2"/>
  <c r="C180" i="2"/>
  <c r="D179" i="2"/>
  <c r="C179" i="2"/>
  <c r="D178" i="2"/>
  <c r="C178" i="2"/>
  <c r="D177" i="2"/>
  <c r="C177" i="2"/>
  <c r="D176" i="2"/>
  <c r="C176" i="2"/>
  <c r="D175" i="2"/>
  <c r="C175" i="2"/>
  <c r="D174" i="2"/>
  <c r="C174" i="2"/>
  <c r="D173" i="2"/>
  <c r="C173" i="2"/>
  <c r="D172" i="2"/>
  <c r="C172" i="2"/>
  <c r="D171" i="2"/>
  <c r="C171" i="2"/>
  <c r="D170" i="2"/>
  <c r="C170" i="2"/>
  <c r="D169" i="2"/>
  <c r="C169" i="2"/>
  <c r="D168" i="2"/>
  <c r="C168" i="2"/>
  <c r="D167" i="2"/>
  <c r="C167" i="2"/>
  <c r="D166" i="2"/>
  <c r="C166" i="2"/>
  <c r="D165" i="2"/>
  <c r="C165" i="2"/>
  <c r="D164" i="2"/>
  <c r="C164" i="2"/>
  <c r="D163" i="2"/>
  <c r="C163" i="2"/>
  <c r="D162" i="2"/>
  <c r="C162" i="2"/>
  <c r="D161" i="2"/>
  <c r="C161" i="2"/>
  <c r="D160" i="2"/>
  <c r="C160" i="2"/>
  <c r="D159" i="2"/>
  <c r="C159" i="2"/>
  <c r="D158" i="2"/>
  <c r="C158" i="2"/>
  <c r="D157" i="2"/>
  <c r="C157" i="2"/>
  <c r="D156" i="2"/>
  <c r="C156" i="2"/>
  <c r="D155" i="2"/>
  <c r="C155" i="2"/>
  <c r="D154" i="2"/>
  <c r="C154" i="2"/>
  <c r="D153" i="2"/>
  <c r="C153" i="2"/>
  <c r="D152" i="2"/>
  <c r="C152" i="2"/>
  <c r="D151" i="2"/>
  <c r="C151" i="2"/>
  <c r="D150" i="2"/>
  <c r="C150" i="2"/>
  <c r="D149" i="2"/>
  <c r="C149" i="2"/>
  <c r="D148" i="2"/>
  <c r="C148" i="2"/>
  <c r="D147" i="2"/>
  <c r="C147" i="2"/>
  <c r="D146" i="2"/>
  <c r="C146" i="2"/>
  <c r="D145" i="2"/>
  <c r="C145" i="2"/>
  <c r="D144" i="2"/>
  <c r="C144" i="2"/>
  <c r="D143" i="2"/>
  <c r="C143" i="2"/>
  <c r="D142" i="2"/>
  <c r="C142" i="2"/>
  <c r="D141" i="2"/>
  <c r="C141" i="2"/>
  <c r="D140" i="2"/>
  <c r="C140" i="2"/>
  <c r="D139" i="2"/>
  <c r="C139" i="2"/>
  <c r="D138" i="2"/>
  <c r="C138" i="2"/>
  <c r="D137" i="2"/>
  <c r="C137" i="2"/>
  <c r="D136" i="2"/>
  <c r="C136" i="2"/>
  <c r="D135" i="2"/>
  <c r="C135" i="2"/>
  <c r="D134" i="2"/>
  <c r="C134" i="2"/>
  <c r="D133" i="2"/>
  <c r="C133" i="2"/>
  <c r="D132" i="2"/>
  <c r="C132" i="2"/>
  <c r="D131" i="2"/>
  <c r="C131" i="2"/>
  <c r="D130" i="2"/>
  <c r="C130" i="2"/>
  <c r="D129" i="2"/>
  <c r="C129" i="2"/>
  <c r="D128" i="2"/>
  <c r="C128" i="2"/>
  <c r="D127" i="2"/>
  <c r="C127" i="2"/>
  <c r="D126" i="2"/>
  <c r="C126" i="2"/>
  <c r="D125" i="2"/>
  <c r="C125" i="2"/>
  <c r="D124" i="2"/>
  <c r="C124" i="2"/>
  <c r="D123" i="2"/>
  <c r="C123" i="2"/>
  <c r="D122" i="2"/>
  <c r="C122" i="2"/>
  <c r="D121" i="2"/>
  <c r="C121" i="2"/>
  <c r="D120" i="2"/>
  <c r="C120" i="2"/>
  <c r="D119" i="2"/>
  <c r="C119" i="2"/>
  <c r="D118" i="2"/>
  <c r="C118" i="2"/>
  <c r="D117" i="2"/>
  <c r="C117" i="2"/>
  <c r="D116" i="2"/>
  <c r="C116" i="2"/>
  <c r="D115" i="2"/>
  <c r="C115" i="2"/>
  <c r="D114" i="2"/>
  <c r="C114" i="2"/>
  <c r="D113" i="2"/>
  <c r="C113" i="2"/>
  <c r="D112" i="2"/>
  <c r="C112" i="2"/>
  <c r="D111" i="2"/>
  <c r="C111" i="2"/>
  <c r="D110" i="2"/>
  <c r="C110" i="2"/>
  <c r="D109" i="2"/>
  <c r="C109" i="2"/>
  <c r="D108" i="2"/>
  <c r="C108" i="2"/>
  <c r="D107" i="2"/>
  <c r="C107" i="2"/>
  <c r="D106" i="2"/>
  <c r="C106" i="2"/>
  <c r="D105" i="2"/>
  <c r="C105" i="2"/>
  <c r="D104" i="2"/>
  <c r="C104" i="2"/>
  <c r="D103" i="2"/>
  <c r="C103" i="2"/>
  <c r="D102" i="2"/>
  <c r="C102" i="2"/>
  <c r="D101" i="2"/>
  <c r="C101" i="2"/>
  <c r="D100" i="2"/>
  <c r="C100" i="2"/>
  <c r="D99" i="2"/>
  <c r="C99" i="2"/>
  <c r="D98" i="2"/>
  <c r="C98" i="2"/>
  <c r="D97" i="2"/>
  <c r="C97" i="2"/>
  <c r="D96" i="2"/>
  <c r="C96" i="2"/>
  <c r="D95" i="2"/>
  <c r="C95" i="2"/>
  <c r="D94" i="2"/>
  <c r="C94" i="2"/>
  <c r="D93" i="2"/>
  <c r="C93" i="2"/>
  <c r="D92" i="2"/>
  <c r="C92" i="2"/>
  <c r="D91" i="2"/>
  <c r="C91" i="2"/>
  <c r="D90" i="2"/>
  <c r="C90" i="2"/>
  <c r="D89" i="2"/>
  <c r="C89" i="2"/>
  <c r="D88" i="2"/>
  <c r="C88" i="2"/>
  <c r="D87" i="2"/>
  <c r="C87" i="2"/>
  <c r="D86" i="2"/>
  <c r="C86" i="2"/>
  <c r="D85" i="2"/>
  <c r="C85" i="2"/>
  <c r="D84" i="2"/>
  <c r="C84" i="2"/>
  <c r="D83" i="2"/>
  <c r="C83" i="2"/>
  <c r="D82" i="2"/>
  <c r="C82" i="2"/>
  <c r="D81" i="2"/>
  <c r="C81" i="2"/>
  <c r="D80" i="2"/>
  <c r="C80" i="2"/>
  <c r="D79" i="2"/>
  <c r="C79" i="2"/>
  <c r="D78" i="2"/>
  <c r="C78" i="2"/>
  <c r="D77" i="2"/>
  <c r="C77" i="2"/>
  <c r="D76" i="2"/>
  <c r="C76" i="2"/>
  <c r="D75" i="2"/>
  <c r="C75" i="2"/>
  <c r="D74" i="2"/>
  <c r="C74" i="2"/>
  <c r="D73" i="2"/>
  <c r="C73" i="2"/>
  <c r="D72" i="2"/>
  <c r="C72" i="2"/>
  <c r="D71" i="2"/>
  <c r="C71" i="2"/>
  <c r="D70" i="2"/>
  <c r="C70" i="2"/>
  <c r="D69" i="2"/>
  <c r="C69" i="2"/>
  <c r="D68" i="2"/>
  <c r="C68" i="2"/>
  <c r="D67" i="2"/>
  <c r="C67" i="2"/>
  <c r="D66" i="2"/>
  <c r="C66" i="2"/>
  <c r="D65" i="2"/>
  <c r="C65" i="2"/>
  <c r="D64" i="2"/>
  <c r="C64" i="2"/>
  <c r="D63" i="2"/>
  <c r="C63" i="2"/>
  <c r="D62" i="2"/>
  <c r="C62" i="2"/>
  <c r="D61" i="2"/>
  <c r="C61" i="2"/>
  <c r="D60" i="2"/>
  <c r="C60" i="2"/>
  <c r="D59" i="2"/>
  <c r="C59" i="2"/>
  <c r="D58" i="2"/>
  <c r="C58" i="2"/>
  <c r="D57" i="2"/>
  <c r="C57" i="2"/>
  <c r="D56" i="2"/>
  <c r="C56" i="2"/>
  <c r="D55" i="2"/>
  <c r="C55" i="2"/>
  <c r="D54" i="2"/>
  <c r="C54" i="2"/>
  <c r="D53" i="2"/>
  <c r="C53" i="2"/>
  <c r="D52" i="2"/>
  <c r="C52" i="2"/>
  <c r="D51" i="2"/>
  <c r="C51" i="2"/>
  <c r="D50" i="2"/>
  <c r="C50" i="2"/>
  <c r="D49" i="2"/>
  <c r="C49" i="2"/>
  <c r="D48" i="2"/>
  <c r="C48" i="2"/>
  <c r="D47" i="2"/>
  <c r="C47" i="2"/>
  <c r="D46" i="2"/>
  <c r="C46" i="2"/>
  <c r="D45" i="2"/>
  <c r="C45" i="2"/>
  <c r="D44" i="2"/>
  <c r="C44" i="2"/>
  <c r="D43" i="2"/>
  <c r="C43" i="2"/>
  <c r="D42" i="2"/>
  <c r="C42" i="2"/>
  <c r="D41" i="2"/>
  <c r="C41" i="2"/>
  <c r="D40" i="2"/>
  <c r="C40" i="2"/>
  <c r="D39" i="2"/>
  <c r="C39" i="2"/>
  <c r="D38" i="2"/>
  <c r="C38" i="2"/>
  <c r="D37" i="2"/>
  <c r="C37" i="2"/>
  <c r="D36" i="2"/>
  <c r="C36" i="2"/>
  <c r="D35" i="2"/>
  <c r="C35" i="2"/>
  <c r="D34" i="2"/>
  <c r="C34" i="2"/>
  <c r="D33" i="2"/>
  <c r="C33" i="2"/>
  <c r="D32" i="2"/>
  <c r="C32" i="2"/>
  <c r="D31" i="2"/>
  <c r="C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</calcChain>
</file>

<file path=xl/sharedStrings.xml><?xml version="1.0" encoding="utf-8"?>
<sst xmlns="http://schemas.openxmlformats.org/spreadsheetml/2006/main" count="44224" uniqueCount="4636">
  <si>
    <t>Sucursal</t>
  </si>
  <si>
    <t>Todas</t>
  </si>
  <si>
    <t>filtro de Atributos del Producto o Variante</t>
  </si>
  <si>
    <t>Sin Filtro</t>
  </si>
  <si>
    <t>filtro disp. venta menor igual a</t>
  </si>
  <si>
    <t>Tipo de Producto</t>
  </si>
  <si>
    <t>Producto</t>
  </si>
  <si>
    <t>Código Barras</t>
  </si>
  <si>
    <t>SKU</t>
  </si>
  <si>
    <t>Stock</t>
  </si>
  <si>
    <t>Costo Neto Prom. Unitario</t>
  </si>
  <si>
    <t>Costo Neto Prom. Total</t>
  </si>
  <si>
    <t>Cantidad por Despachar</t>
  </si>
  <si>
    <t>Cantidad Disponible</t>
  </si>
  <si>
    <t>Por Recibir</t>
  </si>
  <si>
    <t>LUBRICANTES Y ADITIVOS</t>
  </si>
  <si>
    <t>4T SHOOTER ''LIQUI MOLY'' 80ML [OF]</t>
  </si>
  <si>
    <t>LIRA 823</t>
  </si>
  <si>
    <t>ACCESORIOS</t>
  </si>
  <si>
    <t>ABRAZADERA ACELERADOR SCOOTER ''SIN TUBO'' [PZ]</t>
  </si>
  <si>
    <t>ABRAZADERA ACELERADOR SCOOTER (METALICA) [PZ]</t>
  </si>
  <si>
    <t>ABRAZADERA MANGUERA JGO. (5MM) [PZ]</t>
  </si>
  <si>
    <t>ABRAZADERA MANUBRIO SUPERIOR [PZ]</t>
  </si>
  <si>
    <t>ACEITE HORQUILLA ''LIQUI MOLY'' (SAE-05) 1 LT. [OF]</t>
  </si>
  <si>
    <t>ACEITE HORQUILLA ''LIQUI MOLY'' (SAE-10) 1 LT. [PZ]</t>
  </si>
  <si>
    <t>ACEITE HORQUILLA ''LIQUI MOLY'' (SAE-15) 1 LT. [PZ]</t>
  </si>
  <si>
    <t>ACEITE HORQUILLA ''LIQUI MOLY'' (SAE-7.5) 1 LT. [PZ]</t>
  </si>
  <si>
    <t>ACEITE MOTOR ''CASTROL'' (2T) RACING [OF]</t>
  </si>
  <si>
    <t>ACEITE MOTOR ''CASTROL'' (2T) SINTETICO [OF]</t>
  </si>
  <si>
    <t>ACEITE MOTOR ''CASTROL'' 10W/30 SEMI/SINTETICO [OF]</t>
  </si>
  <si>
    <t>ACEITE MOTOR ''CASTROL'' 10W/40 FULL SINTETICO [OF]</t>
  </si>
  <si>
    <t>ACEITE MOTOR ''CASTROL'' 10W/40 SEMI/SINTETICO [OF]</t>
  </si>
  <si>
    <t>ACEITE MOTOR ''CASTROL'' 10W/50 FULL SINTETICO [OF]</t>
  </si>
  <si>
    <t>ACEITE MOTOR ''CASTROL'' 15W/50 FULL SINTETICO [OF]</t>
  </si>
  <si>
    <t>ACEITE MOTOR ''CASTROL'' 20W/50 FULL SINTETICO [OF]</t>
  </si>
  <si>
    <t>ACEITE MOTOR ''CASTROL'' 20W/50 MINERAL [OF]</t>
  </si>
  <si>
    <t>ACEITE MOTOR ''CASTROL'' 20W/50 SEMI/SINTETICO [OF]</t>
  </si>
  <si>
    <t>ACEITE MOTOR ''CEPSA'' 10W/40 FULL SINTETICO [PZ]</t>
  </si>
  <si>
    <t>ACEITE MOTOR ''CEPSA'' 10W/50 FULL SINTETICO [PZ]</t>
  </si>
  <si>
    <t>ACEITE MOTOR ''CEPSA'' 20W/50 MINERAL [PZ]</t>
  </si>
  <si>
    <t>ACEITE MOTOR ''IPONE'' (2T) SAMOURAI 100% SINT(BERRY [PZ]</t>
  </si>
  <si>
    <t>ACEITE MOTOR ''IPONE'' 20W/50 SEMI/SINTETICO [PZ]</t>
  </si>
  <si>
    <t>ACEITE MOTOR ''LIQUI MOLY'' 10W/40 SINTETICO (RACE) [OF]</t>
  </si>
  <si>
    <t>ACEITE MOTOR ''LIQUI MOLY'' 10W/40 SINTETICO (STREET) [OF]</t>
  </si>
  <si>
    <t>ACEITE MOTOR ''LIQUI MOLY'' 10W/50 FULL SINTETICO [OF]</t>
  </si>
  <si>
    <t>ACEITE MOTOR ''LIQUI MOLY'' 10W/60 FULL SINTETICO [OF]</t>
  </si>
  <si>
    <t>ACEITE MOTOR ''LIQUI MOLY'' 15W/50 SINTETICO (STREET) [OF]</t>
  </si>
  <si>
    <t>ACEITE MOTOR ''LIQUI MOLY'' 20W/50 (STREET) [OF]</t>
  </si>
  <si>
    <t>ACEITE MOTOR ''LIQUI MOLY'' 20W/50 FULL SINTETICO [PZ]</t>
  </si>
  <si>
    <t>ACEITE MOTOR ''LUCAS'' (2T) SEMI/SINTETICO [OF]</t>
  </si>
  <si>
    <t>ACEITE MOTOR ''LUCAS'' 10W/40 MINERAL [OF]</t>
  </si>
  <si>
    <t>ACEITE MOTOR ''MOTUL'' 2T 710 [OF]</t>
  </si>
  <si>
    <t>ACEITE MOTOR ''MOTUL'' 3000 20W/50 MINERAL [OF]</t>
  </si>
  <si>
    <t>ACEITE MOTOR ''MOTUL'' 5000 20W/50 CRAQUEADO [OF]</t>
  </si>
  <si>
    <t>ACEITE MOTOR ''MOTUL'' 5100 10W/40 SEMI/SINTETICO [OF]</t>
  </si>
  <si>
    <t>ACEITE MOTOR ''MOTUL'' 5100 10W/50 SEMI/SINTETICO [OF]</t>
  </si>
  <si>
    <t>ACEITE MOTOR ''MOTUL'' 5100 15W/50 SEMI/SINTETICO [OF]</t>
  </si>
  <si>
    <t>ACEITE MOTOR ''MOTUL'' 5100 20W/50 SEMI/SINTETICO [OF]</t>
  </si>
  <si>
    <t>ACEITE MOTOR ''MOTUL'' 7100 10W/40 FULL/SINTETICO [OF]</t>
  </si>
  <si>
    <t>ACEITE MOTOR ''MOTUL'' 7100 20W/50 FULL/SINTETICO [OF]</t>
  </si>
  <si>
    <t>ACEITE MOTOR ''NITROIL'' 10W/40 MINERAL [PZ]</t>
  </si>
  <si>
    <t>ACEITE MOTOR ''NITROIL'' 20W/50 MINERAL [PZ]</t>
  </si>
  <si>
    <t>ACEITE MOTOR ''REPSOL'' 10W/40 FULL/SINTETICO [OF]</t>
  </si>
  <si>
    <t>ACEITE MOTOR ''REPSOL'' 15W/50 FULL/SINTETICO [OF]</t>
  </si>
  <si>
    <t>ACEITE MOTOR ''REPSOL'' 20W/50 MINERAL [OF]</t>
  </si>
  <si>
    <t>ACEITE MOTOR ''REPSOL'' 20W/50 SEMI/SINTETICO [OF]</t>
  </si>
  <si>
    <t>ACEITE MOTOR ''WOLF'' 10W/40 SEMI/SINTETICO [PZ]</t>
  </si>
  <si>
    <t>ACEITE MOTOR ''WOLF'' 15W/50 SEMI/SINTETICO [PZ]</t>
  </si>
  <si>
    <t>ACEITE MOTOR ''WOLF'' 20W/50 MINERAL [PZ]</t>
  </si>
  <si>
    <t>ACEITE MOTOR ''WOLVER'' (2T) SEMI/SINTETICO [PZ]</t>
  </si>
  <si>
    <t>ACEITE MOTOR ''WOLVER'' 10W/30 SEMI/SINTETICO [PZ]</t>
  </si>
  <si>
    <t>ACEITE MOTOR ''WOLVER'' 10W/40 SEMI/SINTETICO [PZ]</t>
  </si>
  <si>
    <t>ACEITE MOTOR ''WOLVER'' 20W/50 SEMI/SINTETICO [PZ]</t>
  </si>
  <si>
    <t>ACEITE MOTOR ''YPF/ELAION'' (2T) [OF]</t>
  </si>
  <si>
    <t>ACEITE MOTOR ''YPF/ELAION'' 10W/40 (S/SINTETICO) [PZ]</t>
  </si>
  <si>
    <t>ACEITE MOTOR ''YPF/ELAION'' 10W/50 (SINTETICO) [PZ]</t>
  </si>
  <si>
    <t>ACEITE PENETRANTE ''IPONE'' [PZ]</t>
  </si>
  <si>
    <t>ACEITE PENETRANTE ''MAXIMA'' 354ML. [PZ]</t>
  </si>
  <si>
    <t>ACEITE PENETRANTE WD-40 [PZ]</t>
  </si>
  <si>
    <t>ACEITE TRANSMISION 75W90 ''IPONE'' [PZ]</t>
  </si>
  <si>
    <t>ADAPTADORES</t>
  </si>
  <si>
    <t>ADAPTADOR ESPEJO 08 (HE-DER) - 10 (HI-DER) [PZ]</t>
  </si>
  <si>
    <t>ADAPTADOR ESPEJO 08 (HE-IZQ) - 10 (HI-DER) [PZ]</t>
  </si>
  <si>
    <t>ADAPTADOR ESPEJO 10 (HE-DER) - 08 (HI-DER) [PZ]</t>
  </si>
  <si>
    <t>ADAPTADOR ESPEJO 10 (HE-DER) - 08 (HI-IZQ) [PZ]</t>
  </si>
  <si>
    <t>ADAPTADOR ESPEJO 10 (HE-DER) - 10 (HI-DER) [PZ]</t>
  </si>
  <si>
    <t>ADAPTADOR ESPEJO 10 (HE-DER) -10 (HI-DER) [PZ]</t>
  </si>
  <si>
    <t>ADAPTADOR ESPEJO 10 (HE-IZQ) - 08 (HI-DER) [PZ]</t>
  </si>
  <si>
    <t>ADAPTADOR ESPEJO 10 (HE-IZQ) -10 (HI-DER) [PZ]</t>
  </si>
  <si>
    <t>ADAPTADOR ESPEJO 8MM DER. A 10MM DER. [PZ]</t>
  </si>
  <si>
    <t>ADAPTADOR VALVULA NEUMATICO ''CURVO'' [PZ]</t>
  </si>
  <si>
    <t>ADHESIVO ALUMINIO (CHILE) [PZ]</t>
  </si>
  <si>
    <t>ADHESIVO INSTANTANEO ''SENFINECO'' 20G [OF]</t>
  </si>
  <si>
    <t>ADHESIVO REFLECTANTE (COLORES) [PZ]</t>
  </si>
  <si>
    <t>ADHESIVOS PARA LLANTA. JGO. AMARILLO [PZ]</t>
  </si>
  <si>
    <t>ADHESIVOS PARA LLANTA. JGO. AZUL [PZ]</t>
  </si>
  <si>
    <t>ADHESIVOS PARA LLANTA. JGO. VERDE [PZ]</t>
  </si>
  <si>
    <t>ADHESIVOS PARA LLANTA. JGO. [PZ]</t>
  </si>
  <si>
    <t>Sin Tipo</t>
  </si>
  <si>
    <t>AHOGADOR AUTOMATICO WY150T-3/5/13 BY125T-2 [PZ]</t>
  </si>
  <si>
    <t>ALARMA CON AMPLIFICADOR [PZ]</t>
  </si>
  <si>
    <t>ALARMA UNIVERSAL PARA MOTO [PZ]</t>
  </si>
  <si>
    <t>HERRAMIENTAS</t>
  </si>
  <si>
    <t>ALICATE (PUNTA) [PZ]</t>
  </si>
  <si>
    <t>ALICATE CAIMAN [PZ]</t>
  </si>
  <si>
    <t>ALICATE CRIMPADOR DE TERMINALES ELECTRICO [PZ]</t>
  </si>
  <si>
    <t>ALICATE PELACABLES UNIVERSAL [PZ]</t>
  </si>
  <si>
    <t>ALZA AMORTIGUADOR UNIVERSAL [PZ]</t>
  </si>
  <si>
    <t>ALZA MANUBRIO CHOOPER (CROMADO)(18CM.) [PZ]</t>
  </si>
  <si>
    <t>ALZA MANUBRIO. JGO. UNIVERSAL 22MM (ROJO) [PZ]</t>
  </si>
  <si>
    <t>ALZA MANUBRIO. JGO. UNIVERSAL 28MM (NEGRO) [PZ]</t>
  </si>
  <si>
    <t>ALZA MOTO TRASERO [PZ]</t>
  </si>
  <si>
    <t>AMORTIGUADORES</t>
  </si>
  <si>
    <t>AMORTIGUADOR TRASERO AK-125 ''VINI'' [IM]</t>
  </si>
  <si>
    <t>AMORTIGUADOR TRASERO AKT-125 EV [PZ]</t>
  </si>
  <si>
    <t>AMORTIGUADOR TRASERO AKT-125 SL [PZ]</t>
  </si>
  <si>
    <t>AMORTIGUADOR TRASERO BAJAJ BOXER [PZ]</t>
  </si>
  <si>
    <t>AMORTIGUADOR TRASERO CBF-125 [PZ]</t>
  </si>
  <si>
    <t>AMORTIGUADOR TRASERO CENTRAL CBF-150 INVICTA [PZ]</t>
  </si>
  <si>
    <t>AMORTIGUADOR TRASERO CENTRAL CBX-250 TWISTER [PZ]</t>
  </si>
  <si>
    <t>AMORTIGUADOR TRASERO CENTRAL DR-200 [PZ]</t>
  </si>
  <si>
    <t>AMORTIGUADOR TRASERO CENTRAL FZ-16 [PZ]</t>
  </si>
  <si>
    <t>AMORTIGUADOR TRASERO CENTRAL XR-150 [PZ]</t>
  </si>
  <si>
    <t>AMORTIGUADOR TRASERO CENTRAL XR-200 (BRASIL) [PZ]</t>
  </si>
  <si>
    <t>AMORTIGUADOR TRASERO CENTRAL XR-250 TORNADO [PZ]</t>
  </si>
  <si>
    <t>AMORTIGUADOR TRASERO CENTRAL XTZ-125 [PZ]</t>
  </si>
  <si>
    <t>AMORTIGUADOR TRASERO CENTRAL YW-100 BWS [PZ]</t>
  </si>
  <si>
    <t>AMORTIGUADOR TRASERO CENTRAL YW-125 BWS [PZ]</t>
  </si>
  <si>
    <t>AMORTIGUADOR TRASERO CRYPTON-110 [PZ]</t>
  </si>
  <si>
    <t>AMORTIGUADOR TRASERO EN-125/GS-125 [PZ]</t>
  </si>
  <si>
    <t>AMORTIGUADOR TRASERO GN-125 ''VINI'' [IM]</t>
  </si>
  <si>
    <t>AMORTIGUADOR TRASERO GN-125 [PZ]</t>
  </si>
  <si>
    <t>AMORTIGUADOR TRASERO GN-125H [PZ]</t>
  </si>
  <si>
    <t>AMORTIGUADOR TRASERO GXT-200 [PZ]</t>
  </si>
  <si>
    <t>AMORTIGUADOR TRASERO RX-100/115 [PZ]</t>
  </si>
  <si>
    <t>AMORTIGUADOR TRASERO STORM-125 [PZ]</t>
  </si>
  <si>
    <t>AMORTIGUADOR TRASERO YBR-125 ''VINI'' [IM]</t>
  </si>
  <si>
    <t>AMORTIGUADOR TRASERO YBR-125 [PZ]</t>
  </si>
  <si>
    <t>AMORTIGUADOR TRASERO YBR-125-Z ''VINI'' [IM]</t>
  </si>
  <si>
    <t>AMORTIGUADOR TRASERO YW-125 BWS ''VINI'' [IM]</t>
  </si>
  <si>
    <t>AMORTIGUADORES TRASEROS. JGO. GN-125 [PZ]</t>
  </si>
  <si>
    <t>AMPOLLETAS</t>
  </si>
  <si>
    <t>AMPOLLETA DELANTERA 12V 25/25W H6 (PLATI 3 PATAS) [PZ]</t>
  </si>
  <si>
    <t>AMPOLLETA DELANTERA 12V 25/25W PX15D [PZ]</t>
  </si>
  <si>
    <t>AMPOLLETA DELANTERA 12V 35/35W H4 ''VINI'' [IM]</t>
  </si>
  <si>
    <t>AMPOLLETA DELANTERA 12V 35/35W ''PHILIPS'' (4464) [PZ]</t>
  </si>
  <si>
    <t>AMPOLLETA DELANTERA 12V 35/35W ''PHILIPS'' L/NARANJ [PZ]</t>
  </si>
  <si>
    <t>AMPOLLETA DELANTERA 12V 35/35W ''VINI'' TIPO 4017 [IM]</t>
  </si>
  <si>
    <t>AMPOLLETA DELANTERA 12V 35/35W (4464) ''VINI'' [IM]</t>
  </si>
  <si>
    <t>AMPOLLETA DELANTERA 12V 35/35W (4464) [PZ]</t>
  </si>
  <si>
    <t>AMPOLLETA DELANTERA 12V 35/35W H4 L/AZUL ''VINI'' [IM]</t>
  </si>
  <si>
    <t>AMPOLLETA DELANTERA 12V 35/35W H4 [PZ]</t>
  </si>
  <si>
    <t>AMPOLLETA DELANTERA 12V 35/35W HALOGENA (4017) [PZ]</t>
  </si>
  <si>
    <t>AMPOLLETA DELANTERA 12V 35/35W HALOGENA''VINI''AZUL [IM]</t>
  </si>
  <si>
    <t>AMPOLLETA DELANTERA 12V 35/35W PASSION HALOGENA [PZ]</t>
  </si>
  <si>
    <t>AMPOLLETA DELANTERA 12V 55W (H-7) [PZ]</t>
  </si>
  <si>
    <t>AMPOLLETA DELANTERA H3 12V 55W [PZ]</t>
  </si>
  <si>
    <t>AMPOLLETA DELANTERA H7 LED [PZ]</t>
  </si>
  <si>
    <t>AMPOLLETA DELANTERA LED (BICIMOTO) [PZ]</t>
  </si>
  <si>
    <t>AMPOLLETA DELANTERA LED (TIPO DT) [PZ]</t>
  </si>
  <si>
    <t>AMPOLLETA DELANTERA LED H4 BICOLOR [PZ]</t>
  </si>
  <si>
    <t>AMPOLLETA DELANTERA LED H4 [PZ]</t>
  </si>
  <si>
    <t>AMPOLLETA DELANTERA LUZ DIA (4464) [PZ]</t>
  </si>
  <si>
    <t>AMPOLLETA LED H4 C/OPTICO [PZ]</t>
  </si>
  <si>
    <t>AMPOLLETA LED T10 COLA DE PESCADO [PZ]</t>
  </si>
  <si>
    <t>AMPOLLETA SEÑALIZADOR 12V 10W ''VINI'' [IM]</t>
  </si>
  <si>
    <t>AMPOLLETA SEÑALIZADOR 12V 21W ''PHILIPS'' P/DISPAREJ [OF]</t>
  </si>
  <si>
    <t>AMPOLLETA SEÑALIZADOR 12V 8W [PZ]</t>
  </si>
  <si>
    <t>AMPOLLETA SEÑALIZADOR LED ''2971'' [PZ]</t>
  </si>
  <si>
    <t>AMPOLLETA TABLERO 12V 1.2W [PZ]</t>
  </si>
  <si>
    <t>AMPOLLETA TABLERO 12V T10 LED (AZUL) C/PESCADO [PZ]</t>
  </si>
  <si>
    <t>AMPOLLETA TABLERO 12V T10 LED (ROJO) C/PESCADO [PZ]</t>
  </si>
  <si>
    <t>AMPOLLETA TABLERO 12V T5 (BLANCO) C/PESCADO [PZ]</t>
  </si>
  <si>
    <t>AMPOLLETA TRASERA 12V 21/5W ''PHILIPS'' LUZ BLANCA [PZ]</t>
  </si>
  <si>
    <t>AMPOLLETA TRASERA 12V 21/5W ''VINI'' [IM]</t>
  </si>
  <si>
    <t>AMPOLLETA TRASERA 12V 21/5W (ROJA) [PZ]</t>
  </si>
  <si>
    <t>AMPOLLETA TRASERA 12V 21/5W [PZ]</t>
  </si>
  <si>
    <t>AMPOLLETA TRASERA 12V 23/8W (21/6CP) [PZ]</t>
  </si>
  <si>
    <t>AMPOLLETA TRASERA 12V LED (BLANCO) [PZ]</t>
  </si>
  <si>
    <t>AMPOLLETA TRASERA LED L/BLANCA ''VINI'' [IM]</t>
  </si>
  <si>
    <t>AMPOLLETA TRASERA LED L/ROJA ''VINI'' ESTROBOSCOPICA [IM]</t>
  </si>
  <si>
    <t>AMPOLLETA TURBOLED H4 ''PROBIKER'' [PZ]</t>
  </si>
  <si>
    <t>AMPOLLETA TURBOLED H4 KIT UNIVERSAL [PZ]</t>
  </si>
  <si>
    <t>ANILLOS</t>
  </si>
  <si>
    <t>ANILLOS. JGO. DR-200 (STD) [PZ]</t>
  </si>
  <si>
    <t>ANILLOS. JGO. GXT-200/DR-200 (STD) 66MM [PZ]</t>
  </si>
  <si>
    <t>ANILLOS. JGO. KA-150 (STD) 57.2MM [PZ]</t>
  </si>
  <si>
    <t>ANILLOS. JGO. STORM-125 (STD) 56.5 MM [PZ]</t>
  </si>
  <si>
    <t>ANILLOS. JGO. XR-250R (050) 86/95 (VER KV6) [PZ]</t>
  </si>
  <si>
    <t>ANILLOS. JGO. XR-250R (100) 86/95 [PZ]</t>
  </si>
  <si>
    <t>ANILLOS. JGO. XR-600R (STD) 97MM [PZ]</t>
  </si>
  <si>
    <t>ANTENA CORTA HILO (RETRACTIL) [PZ]</t>
  </si>
  <si>
    <t>ANTENA CORTA HILO BASE ESPEJO (RETRACTIL) [PZ]</t>
  </si>
  <si>
    <t>ANTIPARRA MOTOCROSS ''THOR'' [PZ]</t>
  </si>
  <si>
    <t>ANTIPARRAS UNIVERSAL COLORES [PZ]</t>
  </si>
  <si>
    <t>ARAÑA</t>
  </si>
  <si>
    <t>ARAÑA CB-125F TWISTER [PZ]</t>
  </si>
  <si>
    <t>ARAÑA CBF-150 NEW-INVICTA [PZ]</t>
  </si>
  <si>
    <t>LLANTAS Y AROS</t>
  </si>
  <si>
    <t>ARO RUEDA 1.60-12 [PZ]</t>
  </si>
  <si>
    <t>ARO RUEDA 1.60-14 [PZ]</t>
  </si>
  <si>
    <t>ARO RUEDA 1.85-12 [PZ]</t>
  </si>
  <si>
    <t>ARO RUEDA 1.85-14 [PZ]</t>
  </si>
  <si>
    <t>ARO RUEDA 1.85-16 [PZ]</t>
  </si>
  <si>
    <t>BALANCINES</t>
  </si>
  <si>
    <t>BALANCIN ALZA VALVULA. JGO. CG-125 [PZ]</t>
  </si>
  <si>
    <t>BALANCIN VALV. ADM/ESC. CG-125 [PZ]</t>
  </si>
  <si>
    <t>BALANCIN VALV. ADM/ESC. DR-200/GXT-200/GN-125 [PZ]</t>
  </si>
  <si>
    <t>BALANCIN VALV. ADM/ESC. FD-115 VIVAX/FD-125 ''NPC'' [PZ]</t>
  </si>
  <si>
    <t>BALANCIN VALV. ADM/ESC. FZ-16 [PZ]</t>
  </si>
  <si>
    <t>BALANCIN VALV. ADM/ESC. PULSAR-135 [PZ]</t>
  </si>
  <si>
    <t>BALANCIN VALV. ADM/ESC. PULSAR-180 [PZ]</t>
  </si>
  <si>
    <t>BALANCIN VALV. ADM/ESC. STORM-125 [PZ]</t>
  </si>
  <si>
    <t>BALANCIN VALV. ADM/ESC. T-115 CRYPTON [PZ]</t>
  </si>
  <si>
    <t>BALANCIN VALV. ADM/ESC. XL-125S/XR-200 BRASIL [PZ]</t>
  </si>
  <si>
    <t>BALANCIN VALV. ADM/ESC. XT-200/225 [PZ]</t>
  </si>
  <si>
    <t>BALANCIN VALV. ADM/ESC. YBR-125/XTZ-125 [PZ]</t>
  </si>
  <si>
    <t>BALANCIN VALV. ESCAPE XR-250R [PZ]</t>
  </si>
  <si>
    <t>BALANCINES ALZA VALVULAS. JGO. AK-125 ''VINI HOT PARTS'' [IM]</t>
  </si>
  <si>
    <t>BALANCINES ALZA VALVULAS. JGO. CG-125/RK-150- [PZ]</t>
  </si>
  <si>
    <t>BALANCINES ALZA VALVULAS. JGO. NXR-125 BROS ''VINI'' [IM]</t>
  </si>
  <si>
    <t>BALANCINES VALV. ADM/ESC. DR-200/GXT-200/GN-125 [PZ]</t>
  </si>
  <si>
    <t>BALANCINES VALVULA. JGO. AX-4 ''VINI'' [IM]</t>
  </si>
  <si>
    <t>BALANCINES VALVULA. JGO. CB-190R/XR-190 ''VINI'' [IM]</t>
  </si>
  <si>
    <t>BALANCINES VALVULA. JGO. CB1/CB-125F TWISTER ''VINI'' [IM]</t>
  </si>
  <si>
    <t>BALANCINES VALVULA. JGO. CBF-150 INVICTA/XR-150 ''VINI'' [IM]</t>
  </si>
  <si>
    <t>BALANCINES VALVULA. JGO. CG-100 PASSION [PZ]</t>
  </si>
  <si>
    <t>BALANCINES VALVULA. JGO. CGL-125/STORM-125 ''VINI'' [IM]</t>
  </si>
  <si>
    <t>BALANCINES VALVULA. JGO. FZ-16 ''VINI'' [IM]</t>
  </si>
  <si>
    <t>BALANCINES VALVULA. JGO. FZ-16 2.0/SZ-R ''VINI'' [IM]</t>
  </si>
  <si>
    <t>BALANCINES VALVULA. JGO. GIXXER-150 ''VINI'' [IM]</t>
  </si>
  <si>
    <t>BALANCINES VALVULA. JGO. GN-125 ''VINI'' [IM]</t>
  </si>
  <si>
    <t>BALANCINES VALVULA. JGO. GXT-200/DR-200 ''VINI'' [IM]</t>
  </si>
  <si>
    <t>BALANCINES VALVULA. JGO. JH-70 ''VINI'' [IM]</t>
  </si>
  <si>
    <t>BALANCINES VALVULA. JGO. NXR-150 BROS [PZ]</t>
  </si>
  <si>
    <t>BALANCINES VALVULA. JGO. PULSAR-200NS ''VINI'' [IM]</t>
  </si>
  <si>
    <t>BALANCINES VALVULA. JGO. RE-250/RACER-250RR/TTX LIMITED 250/CRF-230 [PZ]</t>
  </si>
  <si>
    <t>BALANCINES VALVULA. JGO. SCOOTER-125 ''VINI'' [IM]</t>
  </si>
  <si>
    <t>BALANCINES VALVULA. JGO. XTZ-250 ''VINI'' [IM]</t>
  </si>
  <si>
    <t>BALANCINES VALVULA. JGO. YBR-125 ''VINI HOT PARTS'' [IM]</t>
  </si>
  <si>
    <t>BALANCINES VALVULA. JGO. YBR-125 ''VINI'' [IM]</t>
  </si>
  <si>
    <t>BALANCINES VALVULA. JGO. YW-125 BWS [PZ]</t>
  </si>
  <si>
    <t>BASE MANUBRIO FZ-16 [PZ]</t>
  </si>
  <si>
    <t>OTROS</t>
  </si>
  <si>
    <t>BASE TAPON VACIADO GXT-200/GN-125/RKS-125 [PZ]</t>
  </si>
  <si>
    <t>BATERIAS</t>
  </si>
  <si>
    <t>BATERIA 12VOLT 2.5 AMP. ''HIBARI'' [PZ]</t>
  </si>
  <si>
    <t>BATERIA 12VOLT 2.5AMP. ''FULBAT'' [PZ]</t>
  </si>
  <si>
    <t>BATERIA 12VOLT 26 AMP. ''HANKOOK'' [PZ]</t>
  </si>
  <si>
    <t>BATERIA 12VOLT 3 AMP. ''H&amp;T'' (YTZ5) [PZ]</t>
  </si>
  <si>
    <t>BATERIA 12VOLT 3 AMP. ''HIBARI'' [PZ]</t>
  </si>
  <si>
    <t>BATERIA 12VOLT 3.5 AMP. ''VOLTERS'' [PZ]</t>
  </si>
  <si>
    <t>BATERIA 12VOLT 4 AMP. ''HIBARI'' [PZ]</t>
  </si>
  <si>
    <t>BATERIA 12VOLT 5 AMP. ''HIBARI'' (12N5-3B/YB5L-B) [PZ]</t>
  </si>
  <si>
    <t>BATERIA 12VOLT 5 AMP. ''HIBARI'' (VER YT7C) [PZ]</t>
  </si>
  <si>
    <t>BATERIA 12VOLT 5AMP. ''HQ'' [PZ]</t>
  </si>
  <si>
    <t>BATERIA 12VOLT 6 AMP. ''HIBARI'' [PZ]</t>
  </si>
  <si>
    <t>BATERIA 12VOLT 6 AMP. ''VOLTERS'' [PZ]</t>
  </si>
  <si>
    <t>BATERIA 12VOLT 6 AMP. [PZ]</t>
  </si>
  <si>
    <t>BATERIA 12VOLT 6.5 AMP. ''HIBARI'' [PZ]</t>
  </si>
  <si>
    <t>BATERIA 12VOLT 7 AMP. ''HIBARI'' (12N7-4A) [PZ]</t>
  </si>
  <si>
    <t>BATERIA 12VOLT 7 AMP. ''HIBARI'' (12N7A-3A) [PZ]</t>
  </si>
  <si>
    <t>BATERIA 12VOLT 7 AMP. ''HIBARI'' [PZ]</t>
  </si>
  <si>
    <t>BATERIA 12VOLT 7 AMP. ''VOLTERS'' [PZ]</t>
  </si>
  <si>
    <t>BATERIA 12VOLT 8 AMP. ''HIBARI'' (YTX9-BS) [PZ]</t>
  </si>
  <si>
    <t>BATERIA 12VOLT 8 AMP. ''HIBARI'' [PZ]</t>
  </si>
  <si>
    <t>BATERIA 12VOLT 9 AMP. ''HIBARI'' (12N9-BS) [PZ]</t>
  </si>
  <si>
    <t>BATERIA 12VOLT 10 AMP. ''HIBARI'' [PZ]</t>
  </si>
  <si>
    <t>BATERIA 12VOLT 11 AMP. ''FULLBAT'' [PZ]</t>
  </si>
  <si>
    <t>BATERIA 12VOLT 11.2 Ah ''BS-BATTERY'' [OF] SLA / CCA: 230A [+/-] 150mm / 88mm / 110mm</t>
  </si>
  <si>
    <t>BATERIA 12VOLT 12 AMP. ''HIBARI'' [PZ]</t>
  </si>
  <si>
    <t>BATERIA 12VOLT 14 AMP. ''HIBARI'' [PZ]</t>
  </si>
  <si>
    <t>BATERIA 12VOLT 18 AMP. ''HIBARI'' [PZ]</t>
  </si>
  <si>
    <t>BATERIA 12VOLT 30 AMP. ''HIBARI'' [PZ]</t>
  </si>
  <si>
    <t>BATERIA 12VOLT 10 Ah ''BS-BATTERY'' [OF] SLA / CCA: 180A [+/-] 150mm 87mm 130mm</t>
  </si>
  <si>
    <t>BATERIA 12VOLT 10 Ah ''BS-BATTERY'' [OF] SLA / CCA: 210A [+/-] 150mm 69mm 130mm</t>
  </si>
  <si>
    <t>BATERIA 12VOLT 10 AMP. ''FULBAT'' [PZ]</t>
  </si>
  <si>
    <t>BATERIA 12VOLT 10 AMP. ''HQ'' [PZ]</t>
  </si>
  <si>
    <t>BATERIA 12VOLT 10.5 Ah ''MOTOBATT'' [OF]</t>
  </si>
  <si>
    <t>BATERIA 12VOLT 11 Ah ''BS-BATTERY'' [OF] SLA / CCA: 215A [+/-] 150mm 88mm 110mm</t>
  </si>
  <si>
    <t>BATERIA 12VOLT 11 Ah ''MOTOBATT'' [OF]</t>
  </si>
  <si>
    <t>BATERIA 12VOLT 11.5 Ah ''MOTOBATT'' [OF]</t>
  </si>
  <si>
    <t>BATERIA 12VOLT 12 Ah ''BS-BATTERY'' [OF] DRY / CCA: 120A [+/-] 134mm 81mm 160mm</t>
  </si>
  <si>
    <t>BATERIA 12VOLT 12 Ah ''BS-BATTERY'' [OF] MF / CCA: 200A [+/-] 150mm 87mm 145mm</t>
  </si>
  <si>
    <t>BATERIA 12VOLT 12 Ah ''BS-BATTERY'' [OF] MF / CCA: 200A [-/+] 150mm 87mm 145mm</t>
  </si>
  <si>
    <t>BATERIA 12VOLT 12 Ah ''QUICK STARTER'' [PZ]</t>
  </si>
  <si>
    <t>BATERIA 12VOLT 14 Ah ''BS-BATTERY'' [OF] SLA / CCA: 210A [-/+] 133mm 90mm 164mm</t>
  </si>
  <si>
    <t>BATERIA 12VOLT 14 Ah ''MOTOBATT'' [OF]</t>
  </si>
  <si>
    <t>BATERIA 12VOLT 14 Ah ''QUICK STARTER'' [PZ]</t>
  </si>
  <si>
    <t>BATERIA 12VOLT 14.5 Ah ''MOTOBATT'' [OF]</t>
  </si>
  <si>
    <t>BATERIA 12VOLT 16.5 Ah ''MOTOBATT'' [OF]</t>
  </si>
  <si>
    <t>BATERIA 12VOLT 19 Ah ''MOTOBATT'' [OF]</t>
  </si>
  <si>
    <t>BATERIA 12VOLT 2.3 Ah ''BS-BATTERY'' [OF] SLA / CCA: 40A [±] 113mm 38mm 86mm</t>
  </si>
  <si>
    <t>BATERIA 12VOLT 2.5 Ah ''BS-BATTERY'' [OF] DRY / CCA: 20A [-/+] 80mm 70mm 105mm</t>
  </si>
  <si>
    <t>BATERIA 12VOLT 20 Ah ''MOTOBATT'' [OF]</t>
  </si>
  <si>
    <t>BATERIA 12VOLT 20.5 Ah ''MOTOBATT'' [OF]</t>
  </si>
  <si>
    <t>BATERIA 12VOLT 21 Ah ''MOTOBATT'' [OF]</t>
  </si>
  <si>
    <t>BATERIA 12VOLT 22 Ah ''MOTOBATT'' [OF]</t>
  </si>
  <si>
    <t>BATERIA 12VOLT 3 Ah ''QUICK STARTER'' (YTZ5) [PZ]</t>
  </si>
  <si>
    <t>BATERIA 12VOLT 34 Ah ''MOTOBATT'' [OF]</t>
  </si>
  <si>
    <t>BATERIA 12VOLT 4 Ah ''BS-BATTERY'' [OF] MF / CCA: 80A [-/+] 113mm 70mm 105mm</t>
  </si>
  <si>
    <t>BATERIA 12VOLT 4 Ah ''BS-BATTERY'' [OF] SLA / CCA: 65A [-/+] 113mm 70mm 85mm</t>
  </si>
  <si>
    <t>BATERIA 12VOLT 4 AMP. ''HQ'' (YTZ5) [PZ]</t>
  </si>
  <si>
    <t>BATERIA 12VOLT 4.7 Ah ''MOTOBATT'' [OF]</t>
  </si>
  <si>
    <t>BATERIA 12VOLT 5 Ah ''BS-BATTERY'' [OF] SLA / CCA: 65A [-/+] 119mm 59mm 130mm</t>
  </si>
  <si>
    <t>BATERIA 12VOLT 5 Ah ''BS-BATTERY'' [OF] SLA / CCA: 90A [-/+] 113mm 70mm 106mm</t>
  </si>
  <si>
    <t>BATERIA 12VOLT 5 Ah ''QUICK STARTER'' [PZ]</t>
  </si>
  <si>
    <t>BATERIA 12VOLT 5 AMP. ''MOZUKI'' [PZ]</t>
  </si>
  <si>
    <t>BATERIA 12VOLT 6 Ah ''BS-BATTERY'' [OF] SLA / CCA: 100A [-/+] 113mm 70mm 130mm</t>
  </si>
  <si>
    <t>BATERIA 12VOLT 6 Ah ''BS-BATTERY'' [OF] SLA / CCA: 105A [+/-] 150mm 87mm 93mm</t>
  </si>
  <si>
    <t>BATERIA 12VOLT 6 Ah ''BS-BATTERY'' [OF] SLA / CCA: 130A [-/+] 113mm 70mm 105mm</t>
  </si>
  <si>
    <t>BATERIA 12VOLT 6 AMP. ''KAGE'' [PZ]</t>
  </si>
  <si>
    <t>BATERIA 12VOLT 6.5 Ah ''BS-BATTERY'' [OF] SLA / CCA: 110A [+/-] 150mm 65mm 93mm</t>
  </si>
  <si>
    <t>BATERIA 12VOLT 6.5 Ah ''BS-BATTERY'' [OF] SLA / CCA: 85A [-/+] 139mm 66mm 102mm</t>
  </si>
  <si>
    <t>BATERIA 12VOLT 6.5 Ah ''MOTOBATT'' [OF]</t>
  </si>
  <si>
    <t>BATERIA 12VOLT 6.5 AMP. ''HQ'' [PZ]</t>
  </si>
  <si>
    <t>BATERIA 12VOLT 7 Ah ''BS-BATTERY'' [OF] DRY / CCA: 70A [-/+] 150mm 60mm 130mm</t>
  </si>
  <si>
    <t>BATERIA 12VOLT 7 Ah ''BS-BATTERY'' [OF] DRY / CCA: 75A [+/-] 135mm 75mm 133mm</t>
  </si>
  <si>
    <t>BATERIA 12VOLT 7 Ah ''BS-BATTERY'' [OF] DRY / CCA: 75A [-/+] 135mm 75mm 133mm</t>
  </si>
  <si>
    <t>BATERIA 12VOLT 7 Ah ''BS-BATTERY'' [OF] DRY / CCA: 85A [+/-] 150mm 60mm 130mm</t>
  </si>
  <si>
    <t>BATERIA 12VOLT 7 Ah ''BS-BATTERY'' [OF] SLA / CCA: 120A [-/+] 113mm 70mm 130mm</t>
  </si>
  <si>
    <t>BATERIA 12VOLT 7 Ah ''MOTOBATT'' [OF]</t>
  </si>
  <si>
    <t>BATERIA 12VOLT 7 Ah ''QUICK STARTER'' [PZ]</t>
  </si>
  <si>
    <t>BATERIA 12VOLT 7 AMP. ''HQ'' [OF]</t>
  </si>
  <si>
    <t>BATERIA 12VOLT 7 AMP. ''KAGE'' [PZ]</t>
  </si>
  <si>
    <t>BATERIA 12VOLT 7 AMP. ''MOZUKI'' [PZ]</t>
  </si>
  <si>
    <t>BATERIA 12VOLT 8 Ah ''BS-BATTERY'' [OF] MF / CCA: 135A [+/-] 150mm 87mm 105mm</t>
  </si>
  <si>
    <t>BATERIA 12VOLT 8 Ah ''BS-BATTERY'' [OF] SLA / CCA: 120A [+/-] 150mm 70mm 105mm</t>
  </si>
  <si>
    <t>BATERIA 12VOLT 8 Ah ''BS-BATTERY'' [OF] SLA / CCA: 135A [+/-] 150mm 87mm 105mm</t>
  </si>
  <si>
    <t>BATERIA 12VOLT 8 Ah ''MOTOBATT'' [OF]</t>
  </si>
  <si>
    <t>BATERIA 12VOLT 8 Ah ''QUICK STARTER'' [PZ]</t>
  </si>
  <si>
    <t>BATERIA 12VOLT 8.6 Ah ''BS-BATTERY'' [OF] SLA / CCA: 190A [+/-] 150mm 88mm 93mm</t>
  </si>
  <si>
    <t>BATERIA 12VOLT 8.6 Ah ''MOTOBATT'' [OF]</t>
  </si>
  <si>
    <t>BATERIA 12VOLT 9 Ah ''BS-BATTERY'' [OF] DRY / CCA: 85A [+/-] 135mm 75mm 139mm</t>
  </si>
  <si>
    <t>BATERIA 12VOLT 9 Ah ''BS-BATTERY'' [OF] DRY / CCA: 85A [-/+] 135mm 75mm 139mm</t>
  </si>
  <si>
    <t>BATERIA 12VOLT 9 Ah ''BS-BATTERY'' [OF] MF / CCA: 115A [+/-] 135mm 75mm 139mm</t>
  </si>
  <si>
    <t>BATERIA 12VOLT 9 Ah ''BS-BATTERY'' [OF] SLA / CCA: 120A [+/-] 135mm 75mm 139mm</t>
  </si>
  <si>
    <t>BATERIA 12VOLT 9 Ah ''MOTOBATT'' [OF]</t>
  </si>
  <si>
    <t>BATERIA 12VOLT 9 Ah ''QUICK STARTER'' [PZ]</t>
  </si>
  <si>
    <t>BATERIA 12VOLT 9 AMP. ''HQ'' (YTX9A-BS) [PZ]</t>
  </si>
  <si>
    <t>BATERIA 12VOLT 9 AMP. (YT9A/12N9-4B-1) ''MOZUKI'' [PZ]</t>
  </si>
  <si>
    <t>BATERIA 6VOLT 4AMP. ''FULBAT'' [PZ]</t>
  </si>
  <si>
    <t>BIELAS</t>
  </si>
  <si>
    <t>BIELA COMPLETA AK-150TT ''VINI'' [IM] 38mm / 15mm / 103.5mm</t>
  </si>
  <si>
    <t>BIELA COMPLETA AK-200SM ''VINI'' (CG-200/JL200) [IM] 38mm / 15mm / 103.5mm</t>
  </si>
  <si>
    <t>BIELA COMPLETA AX-4 ''VINI'' [IM] 34mm / 14mm / 102.5mm</t>
  </si>
  <si>
    <t>BIELA COMPLETA CB-190R/XR-190L ''VINI'' [IM] 36mm / 14mm / 104.5mm</t>
  </si>
  <si>
    <t>BIELA COMPLETA CB-190R/XR-190L [OF] 36mm / 14mm / 104.5mm</t>
  </si>
  <si>
    <t>BIELA COMPLETA CB1-125 ''VINI'' [IM]</t>
  </si>
  <si>
    <t>BIELA COMPLETA CB1-125 [PZ] 32mm / 12mm / 96mm</t>
  </si>
  <si>
    <t>BIELA COMPLETA CBF-125/NEW-STORM [PZ] 36mm / 13mm / 96mm</t>
  </si>
  <si>
    <t>BIELA COMPLETA CG-150T/JOB/INVICTA ''VINI'' [IM]</t>
  </si>
  <si>
    <t>BIELA COMPLETA CG-150T/JOB/INVICTA [PZ]</t>
  </si>
  <si>
    <t>BIELA COMPLETA CG-200 (NPC) [PZ] 38mm / 15mm / 103.5mm</t>
  </si>
  <si>
    <t>BIELA COMPLETA FZ-16 ''NPC'' [PZ] 36mm / 15mm / 98mm</t>
  </si>
  <si>
    <t>BIELA COMPLETA FZ-16/FZN-150 2.0 ''VINI'' [IM] 36mm / 15mm / 98mm</t>
  </si>
  <si>
    <t>BIELA COMPLETA GIXXER-150 ''VINI'' [IM] 36mm / 14mm / 111mm</t>
  </si>
  <si>
    <t>BIELA COMPLETA GIXXER-150 [PZ] 36mm / 14mm / 111mm</t>
  </si>
  <si>
    <t>BIELA COMPLETA GN-125 [PZ] 36mm / 14mm / 106mm</t>
  </si>
  <si>
    <t>BIELA COMPLETA GN-125 [PZ] 36mm / 14mm / 109.5mm</t>
  </si>
  <si>
    <t>BIELA COMPLETA GN-125/GS-125 ''VINI'' [IM] 36mm / 14mm / 106.5mm</t>
  </si>
  <si>
    <t>BIELA COMPLETA GN-125H [PZ] 36mm / 14mm / 108.5mm</t>
  </si>
  <si>
    <t>BIELA COMPLETA GS-150R/GIXXER (NPC) [PZ] 36mm / 14mm / 109.5mm</t>
  </si>
  <si>
    <t>BIELA COMPLETA GSX-150 ''VINI'' [IM] 36mm / 15mm / 106mm</t>
  </si>
  <si>
    <t>BIELA COMPLETA GXT-200/DR-200 ''VINI'' [IM] 38mm / 16mm / 116mm</t>
  </si>
  <si>
    <t>BIELA COMPLETA GXT-200/DR-200 [PZ]</t>
  </si>
  <si>
    <t>BIELA COMPLETA NMAX-150 ''VINI'' [IM] 35mm / 14mm / 104mm</t>
  </si>
  <si>
    <t>BIELA COMPLETA NXR-125 BROS ''VINI'' [IM] 36mm / 13mm / 105.5mm</t>
  </si>
  <si>
    <t>BIELA COMPLETA PULSAR-135/125NS [PZ]</t>
  </si>
  <si>
    <t>BIELA COMPLETA PULSAR-150 ''VINI'' [IM] 29mm / 19mm / 105mm</t>
  </si>
  <si>
    <t>BIELA COMPLETA PULSAR-160NS ''VINI'' [IM] 25mm / 15mm / 101mm</t>
  </si>
  <si>
    <t>BIELA COMPLETA PULSAR-200NS ''VINI'' [IM] 33mm / 17mm / 89.5mm</t>
  </si>
  <si>
    <t>BIELA COMPLETA SCOOTER 125/150 [PZ] 33mm / 15mm / 93.5mm</t>
  </si>
  <si>
    <t>BIELA COMPLETA SCOOTER-125 GY6 ''VINI'' [IM] 33mm / 15mm / 93.5mm</t>
  </si>
  <si>
    <t>BIELA COMPLETA T-105 CRYPTON/YD-110 CRUX [PZ] 31mm / 13mm / 92mm</t>
  </si>
  <si>
    <t>BIELA COMPLETA XR-125L [PZ] 36mm / 13mm / 105.5mm</t>
  </si>
  <si>
    <t>BIELA COMPLETA XR-250 TORNADO '' MADE IN INDIA'' [PZ] 41mm / 17mm / 102.5mm</t>
  </si>
  <si>
    <t>BIELA COMPLETA XR-250 TORNADO (KPF) ''VINI'' [IM] 41mm / 17mm / 10.5mm</t>
  </si>
  <si>
    <t>BIELA COMPLETA XTZ-250/FZ-25 ''VINI'' [IM] 40mm / 17mm / 100.5mm</t>
  </si>
  <si>
    <t>BIELA COMPLETA YBR-125/XTZ-125 ''VINI'' [IM] 37mm / 15mm / 89mm</t>
  </si>
  <si>
    <t>BIELA COMPLETA YBR-125/XTZ-125 [PZ]</t>
  </si>
  <si>
    <t>BIELA COMPLETA YFM-350 BANSHEE (87/06) ''WISECO'' [PZ]</t>
  </si>
  <si>
    <t>BIELA COMPLETA YW-100 BWS [PZ] 24mm / 18mm / 90mm</t>
  </si>
  <si>
    <t>BIELA COMPLETA YW-125 BWS ''VINI'' [IM] 35mm / 15mm / 93.5mm</t>
  </si>
  <si>
    <t>BIELA COMPLETA YW-125 BWS [PZ] 35mm / 15mm / 93.5mm</t>
  </si>
  <si>
    <t>BIELA COMPLETA YZF-R15 [PZ]</t>
  </si>
  <si>
    <t>BIELAS COMPLETAS JGO. XV-250 [PZ] 31mm x 2u / 13mm x 2u / 138mm x 2u</t>
  </si>
  <si>
    <t>BLUETOOTH CASCO [PZ]</t>
  </si>
  <si>
    <t>BOBINAS</t>
  </si>
  <si>
    <t>BOBINA ALTA 12V AN-125 [PZ]</t>
  </si>
  <si>
    <t>BOBINA ALTA 12V BAJAJ BOXER-150 [PZ]</t>
  </si>
  <si>
    <t>BOBINA ALTA 12V BAJAJ DISCOVER-125/150 (IZQ) [PZ]</t>
  </si>
  <si>
    <t>BOBINA ALTA 12V CBF-125 [PZ]</t>
  </si>
  <si>
    <t>BOBINA ALTA 12V CBF-150 INVICTA [PZ]</t>
  </si>
  <si>
    <t>BOBINA ALTA 12V CG-100 HERO PASSION [PZ]</t>
  </si>
  <si>
    <t>BOBINA ALTA 12V CG-125 (CHINAS) LF150-10F [PZ]</t>
  </si>
  <si>
    <t>BOBINA ALTA 12V CG-125 (CHINAS) [PZ]</t>
  </si>
  <si>
    <t>BOBINA ALTA 12V CG-125/150/200 ''VINI HOT PARTS'' [IM]</t>
  </si>
  <si>
    <t>BOBINA ALTA 12V CG-125/NXR-125/XR-125L [PZ]</t>
  </si>
  <si>
    <t>BOBINA ALTA 12V CG125 TITAN [PZ]</t>
  </si>
  <si>
    <t>BOBINA ALTA 12V CRF-230 [PZ]</t>
  </si>
  <si>
    <t>BOBINA ALTA 12V DISCOVER-125/135 (DER) [PZ]</t>
  </si>
  <si>
    <t>BOBINA ALTA 12V FZ-16 [PZ]</t>
  </si>
  <si>
    <t>BOBINA ALTA 12V GN-125/GXT-200/RKS-125/RKS-150/RKV-150/TX-150 [PZ]</t>
  </si>
  <si>
    <t>BOBINA ALTA 12V GN-125H/PULSAR-200NS ''VINI HOT PARTS'' [IM]</t>
  </si>
  <si>
    <t>BOBINA ALTA 12V MB-100/XL-250R [PZ]</t>
  </si>
  <si>
    <t>BOBINA ALTA 12V NEW SKUA MB-100/XL250 [PZ]</t>
  </si>
  <si>
    <t>BOBINA ALTA 12V PULSAR-220 [PZ]</t>
  </si>
  <si>
    <t>BOBINA ALTA 12V SCOOTER 125/150 (VER 72-0024) [PZ]</t>
  </si>
  <si>
    <t>BOBINA ALTA 12V SCOOTER 125/150 [PZ]</t>
  </si>
  <si>
    <t>BOBINA ALTA 12V SCOOTER-125 GY6 ''VINI HOT PARTS'' [IM]</t>
  </si>
  <si>
    <t>BOBINA ALTA 12V TVS APACHE-160 [PZ]</t>
  </si>
  <si>
    <t>BOBINA ALTA 12V VS-125 [PZ]</t>
  </si>
  <si>
    <t>BOBINA ALTA 12V XR-250/SCOOTER/TORNADO [PZ]</t>
  </si>
  <si>
    <t>BOBINA ALTA 12V XRE-300 [PZ]</t>
  </si>
  <si>
    <t>BOBINA ALTA 12V XTZ-125/YBR-125 [PZ]</t>
  </si>
  <si>
    <t>BOBINA ALTA 12V YZF-R15 [PZ]</t>
  </si>
  <si>
    <t>BOCINAS</t>
  </si>
  <si>
    <t>BOCINA 12V UNIVERSAL ''KHOOBRA'' [PZ]</t>
  </si>
  <si>
    <t>BOCINA 12V UNIVERSAL ''VINI'' [IM]</t>
  </si>
  <si>
    <t>BOCINA 12V UNIVERSAL POLICIA [PZ]</t>
  </si>
  <si>
    <t>BOCINA 12V UNIVERSAL [PZ]</t>
  </si>
  <si>
    <t>BOCINA 12VOLT SCOOTER STRATO-150 [PZ]</t>
  </si>
  <si>
    <t>BOCINAS JGO. 12V UNIVERSAL [PZ]</t>
  </si>
  <si>
    <t>BOLSA VINI [OF]</t>
  </si>
  <si>
    <t>BOMBAS DE ACEITE</t>
  </si>
  <si>
    <t>BOMBA ACEITE AK-125 ELECTRONICA ''VINI'' [IM]</t>
  </si>
  <si>
    <t>BOMBA ACEITE C/PIÑON CG-125/JL125/JL125-7 [PZ]</t>
  </si>
  <si>
    <t>BOMBA ACEITE CB-190R/XR-190/X-BLADE 160 ''VINI'' [IM]</t>
  </si>
  <si>
    <t>BOMBA ACEITE CB-250/DSR-200 [PZ]</t>
  </si>
  <si>
    <t>BOMBA ACEITE CB1-125/CB-125F TWISTER ''VINI'' [IM]</t>
  </si>
  <si>
    <t>BOMBA ACEITE CBF-150 INVICTA/XR-150 ''VINI'' [IM]</t>
  </si>
  <si>
    <t>BOMBA ACEITE CG-125/TITAN [PZ]</t>
  </si>
  <si>
    <t>BOMBA ACEITE CGL-125 ''VINI'' [IM]</t>
  </si>
  <si>
    <t>BOMBA ACEITE CGL-125 [PZ]</t>
  </si>
  <si>
    <t>BOMBA ACEITE FZN-150/FZ-16 ''VINI'' [IM]</t>
  </si>
  <si>
    <t>BOMBA ACEITE JH70/BICIMOTO-49CC/EXPRESS-100 [PZ]</t>
  </si>
  <si>
    <t>BOMBA ACEITE PITBULL ''ATV'' [PZ]</t>
  </si>
  <si>
    <t>BOMBA ACEITE PULSAR-200NS/RS-200/KTM-200 ''VINI'' [IM]</t>
  </si>
  <si>
    <t>BOMBA ACEITE RENEGADE-200/JL200GY-2 [PZ]</t>
  </si>
  <si>
    <t>BOMBA ACEITE SCOOTER-125 GY6 ''VINI'' [IM]</t>
  </si>
  <si>
    <t>BOMBA ACEITE XTZ-125 [PZ]</t>
  </si>
  <si>
    <t>BOMBAS DE BENCINA</t>
  </si>
  <si>
    <t>BOMBA BENCINA CBR-600/CBR-900 [PZ]</t>
  </si>
  <si>
    <t>BOMBA BENCINA SCOOTER (3 TOMAS) [PZ]</t>
  </si>
  <si>
    <t>BOMBA BENCINA SCOOTER 3 TOMAS [PZ]</t>
  </si>
  <si>
    <t>BOMBA BENCINA UNIVERSAL KAWASAKI [PZ]</t>
  </si>
  <si>
    <t>BOMBA BENCINA UNIVERSAL SCOOTER [PZ]</t>
  </si>
  <si>
    <t>BOMBAS DE FRENO</t>
  </si>
  <si>
    <t>BOMBA FRENO DELANTERO (HILO 8) [PZ]</t>
  </si>
  <si>
    <t>BOMBA FRENO DELANTERO CBX-250 [PZ]</t>
  </si>
  <si>
    <t>BOMBA FRENO DELANTERO CHOPPER [PZ]</t>
  </si>
  <si>
    <t>BOMBA FRENO DELANTERO FZ-16 [FZ]</t>
  </si>
  <si>
    <t>BOMBA FRENO DELANTERO FZ-16 [PZ]</t>
  </si>
  <si>
    <t>BOMBA FRENO DELANTERO GIXXER-150 [PZ]</t>
  </si>
  <si>
    <t>BOMBA FRENO DELANTERO GN-125 ''VINI'' [IM]</t>
  </si>
  <si>
    <t>BOMBA FRENO DELANTERO GN-125/JL125-7 [PZ]</t>
  </si>
  <si>
    <t>BOMBA FRENO DELANTERO GN-125H [PZ]</t>
  </si>
  <si>
    <t>BOMBA FRENO DELANTERO KA-150 [PZ]</t>
  </si>
  <si>
    <t>BOMBA FRENO DELANTERO PULSAR [PZ]</t>
  </si>
  <si>
    <t>BOMBA FRENO DELANTERO SCOOTER (DER) [PZ]</t>
  </si>
  <si>
    <t>BOMBA FRENO DELANTERO SCOOTER [PZ]</t>
  </si>
  <si>
    <t>BOMBA FRENO DELANTERO SCOOTER-125 GY6 ''VINI'' [IM]</t>
  </si>
  <si>
    <t>BOMBA FRENO DELANTERO SHADOW-150 [PZ]</t>
  </si>
  <si>
    <t>BOMBA FRENO DELANTERO STORM-125 ''VINI'' [IM]</t>
  </si>
  <si>
    <t>BOMBA FRENO DELANTERO TIPO GN-125 [PZ]</t>
  </si>
  <si>
    <t>BOMBA FRENO DELANTERO TIPO GN/JL125-7 [PZ]</t>
  </si>
  <si>
    <t>BOMBA FRENO DELANTERO UNIVERSAL ''VINI'' [IM]</t>
  </si>
  <si>
    <t>BOMBA FRENO DELANTERO UNIVERSAL [PZ]</t>
  </si>
  <si>
    <t>BOMBA FRENO DELANTERO XR-250 ''HQ'' [PZ]</t>
  </si>
  <si>
    <t>BOMBA FRENO DELANTERO YBR-125 ''VINI'' [IM]</t>
  </si>
  <si>
    <t>BOMBA FRENO DELANTERO YBR-125 (HILO NORMAL) [PZ]</t>
  </si>
  <si>
    <t>BOMBA FRENO DELANTERO YBR-125 HILO INVERSO [PZ]</t>
  </si>
  <si>
    <t>BOMBA FRENO DELANTERO YBR-125 [PZ]</t>
  </si>
  <si>
    <t>BOMBA FRENO DELANTERO YW-125 BWS ''VINI'' [IM]</t>
  </si>
  <si>
    <t>BOMBA FRENO DELANTERO [PZ]</t>
  </si>
  <si>
    <t>BOMBA FRENO TRASERO ATV-125 [PZ]</t>
  </si>
  <si>
    <t>BOMBA FRENO TRASERO UNIVERSAL [PZ]</t>
  </si>
  <si>
    <t>BOMBA FRENO TRASERO [PZ]</t>
  </si>
  <si>
    <t>BOTONES</t>
  </si>
  <si>
    <t>BOTON BOCINA SCOOTER [PZ]</t>
  </si>
  <si>
    <t>BOTON CAMBIO LUCES SCOOTER [PZ]</t>
  </si>
  <si>
    <t>BOTON ENCENDIDO AUXILIAR UNIVERSAL [PZ]</t>
  </si>
  <si>
    <t>BOTON ENCENDIDO LUCES [PZ]</t>
  </si>
  <si>
    <t>BOTON ENCENDIDO MOTO SCOOTER [PZ]</t>
  </si>
  <si>
    <t>BOTON HAZARD [PZ]</t>
  </si>
  <si>
    <t>BOTON LUCES ALTA Y BAJA SCOOTER [PZ]</t>
  </si>
  <si>
    <t>BOTON LUCES ALTA/BAJA SCOOTER GY6 [PZ]</t>
  </si>
  <si>
    <t>BOTON LUCES UNIVERSAL [PZ]</t>
  </si>
  <si>
    <t>BOTON PARE UNIVERSAL 3 CABLES [PZ]</t>
  </si>
  <si>
    <t>BOTON PARE UNIVERSAL C/CARGADOR USB [PZ]</t>
  </si>
  <si>
    <t>BOTON PARE UNIVERSAL C/ENDENDIDO ELECTRONICO [PZ]</t>
  </si>
  <si>
    <t>BOTON PARE UNIVERSAL [PZ]</t>
  </si>
  <si>
    <t>BOTON PARTIDA SCOOTER [PZ]</t>
  </si>
  <si>
    <t>BOTON SEÑALIZADOR SCOOTER [PZ]</t>
  </si>
  <si>
    <t>BROCHE PLÁSTICO CARENADO UNIVERSAL [PZ]</t>
  </si>
  <si>
    <t>BUJES</t>
  </si>
  <si>
    <t>BUJE CENTRAL CATALINA [PZ]</t>
  </si>
  <si>
    <t>BUJE CONTRAPESO UNIDAD VS-125 [PZ]</t>
  </si>
  <si>
    <t>BUJES CONTRAPESO. JGO. BWS-100 [PZ]</t>
  </si>
  <si>
    <t>BUJES CONTRAPESO. JGO. NEW ELITE-125 FI (B/GRANDE) [PZ]</t>
  </si>
  <si>
    <t>BUJES CONTRAPESO. JGO. SCOOTER 125/150 (GY6) [PZ]</t>
  </si>
  <si>
    <t>BUJES CONTRAPESO. JGO. SCOOTER-125/150 [PZ]</t>
  </si>
  <si>
    <t>BUJES SUSPENSION TRASERA. JGO. CG-125 [PZ]</t>
  </si>
  <si>
    <t>BUJES SUSPENSION TRASERA. JGO. PULSAR-135 [PZ]</t>
  </si>
  <si>
    <t>BUJÍAS</t>
  </si>
  <si>
    <t>BUJIA ATL D8EA [PZ]</t>
  </si>
  <si>
    <t>BUJIA DENSO ''IRIDIUM'' IU20 (CPR6EIX-9) [PZ]</t>
  </si>
  <si>
    <t>BUJIA DENSO ''IRIDIUM'' IU22 (CR7EIX) [PZ]</t>
  </si>
  <si>
    <t>BUJIA DENSO ''IRIDIUM'' IU24 (CR8EIX) [PZ]</t>
  </si>
  <si>
    <t>BUJIA DENSO ''IRIDIUM'' IU24A (CR8EK) DL-1000 V-STROM 2-CILIN INYECT 4T/GSX-R 400CC [PZ]</t>
  </si>
  <si>
    <t>BUJIA DENSO ''IRIDIUM'' IU27 (CR9EIX) [PZ]</t>
  </si>
  <si>
    <t>BUJIA DENSO ''IRIDIUM'' IU27A (R017-9) [PZ]</t>
  </si>
  <si>
    <t>BUJIA DENSO ''IRIDIUM'' IU31 (CR10EIX) [PZ]</t>
  </si>
  <si>
    <t>BUJIA DENSO ''IRIDIUM'' IU31A (R017-10) YZF R-6 600CC 4CILIN INYECT 4T / GSX-R 750CC [PZ]</t>
  </si>
  <si>
    <t>BUJIA DENSO ''IRIDIUM'' IUF22 (CR7HIX) [PZ]</t>
  </si>
  <si>
    <t>BUJIA DENSO ''IRIDIUM'' IUF24 (CR8HIX) [PZ]</t>
  </si>
  <si>
    <t>BUJIA DENSO ''IRIDIUM'' IUH24 (CR8EHIX-9) [PZ]</t>
  </si>
  <si>
    <t>BUJIA DENSO ''IRIDIUM'' IUH27 (CR9EHIX-9) [PZ]</t>
  </si>
  <si>
    <t>BUJIA DENSO ''IRIDIUM'' IW24 (BR8EIX) [PZ]</t>
  </si>
  <si>
    <t>BUJIA DENSO ''IRIDIUM'' IWF24 (BR8HIX) [PZ]</t>
  </si>
  <si>
    <t>BUJIA DENSO ''IRIDIUM'' IX24 (DR8EIX) [PZ]</t>
  </si>
  <si>
    <t>BUJIA DENSO ''IRIDIUM'' IX24B (DPR8EIX-9) [PZ]</t>
  </si>
  <si>
    <t>BUJIA DENSO ''IRIDIUM'' IX27B (DPR9EIX-9) [PZ]</t>
  </si>
  <si>
    <t>BUJIA DENSO ''IRIDIUM'' IXU24 (DCPR8EVX) [PZ]</t>
  </si>
  <si>
    <t>BUJIA DENSO ''IRIDIUM'' IXU27 (IKR9J8) BMW K1200R/DUCATI MONSTER [PZ]</t>
  </si>
  <si>
    <t>BUJIA DENSO U20EPR9 CBF 150CC (CPR6EA-9) [PZ]</t>
  </si>
  <si>
    <t>BUJIA DENSO U22FS-U (C7HSA) [PZ]</t>
  </si>
  <si>
    <t>BUJIA DENSO U22FSR-U (CR7HS) [PZ]</t>
  </si>
  <si>
    <t>BUJIA DENSO U24ES-N (C8E) [PZ]</t>
  </si>
  <si>
    <t>BUJIA DENSO U24FER9 (CR8EH-9) XR-250 TORNADO/CBX-250/CBR-600 [PZ]</t>
  </si>
  <si>
    <t>BUJIA DENSO U27ES-N (C9E) [PZ]</t>
  </si>
  <si>
    <t>BUJIA DENSO U27ESR-N (CR9E) [PZ]</t>
  </si>
  <si>
    <t>BUJIA DENSO U27FER9 (CR9EH-9) [PZ]</t>
  </si>
  <si>
    <t>BUJIA DENSO U31ETR (CR10EK) [PZ]</t>
  </si>
  <si>
    <t>BUJIA DENSO W20M-U (BM6A) [PZ]</t>
  </si>
  <si>
    <t>BUJIA DENSO W24ESR-U (BR8ES) [PZ]</t>
  </si>
  <si>
    <t>BUJIA DENSO W24ESR-VJP (BR8EG) [PZ]</t>
  </si>
  <si>
    <t>BUJIA DENSO W24FS-U (B8HS) [PZ]</t>
  </si>
  <si>
    <t>BUJIA DENSO X24EP-U9 (DP8EA-9) [PZ]</t>
  </si>
  <si>
    <t>BUJIA DENSO X24EPR-U9JP (DPR8EA-9) ''IMP'' [PZ]</t>
  </si>
  <si>
    <t>BUJIA DENSO XU24EPR-U (DCPR8E) [PZ]</t>
  </si>
  <si>
    <t>BUJIA EKKO ''CR9E'' (U27ESR-N) [PZ]</t>
  </si>
  <si>
    <t>BUJIA EKKO ''IRIDIUM'' (CR7EI) [PZ]</t>
  </si>
  <si>
    <t>BUJIA EKKO ''IRIDIUM'' (CR7HIX) [PZ]</t>
  </si>
  <si>
    <t>BUJIA EKKO (B7HS) [PZ]</t>
  </si>
  <si>
    <t>BUJIA EKKO (U22FS-U) (C7HS) [PZ]</t>
  </si>
  <si>
    <t>BUJIA JIN-JIE (CR7HS) [PZ]</t>
  </si>
  <si>
    <t>BUJIA JIN-JIE DPR8EA-9 [PZ]</t>
  </si>
  <si>
    <t>BUJIA NGK ''IRIDIUM'' BPR5HIX [PZ]</t>
  </si>
  <si>
    <t>BUJIA NGK ''IRIDIUM'' BPR8EIX [PZ]</t>
  </si>
  <si>
    <t>BUJIA NGK ''IRIDIUM'' BR10EIX [PZ]</t>
  </si>
  <si>
    <t>BUJIA NGK ''IRIDIUM'' IFR6G-11K NC-750/NC-750X/NC-750XA/NC-750XD [PZ]</t>
  </si>
  <si>
    <t>BUJIA NGK ''IRIDIUM'' IJR8B-9 XL-1000 VARADERO [PZ]</t>
  </si>
  <si>
    <t>BUJIA NGK B8ES [PZ]</t>
  </si>
  <si>
    <t>BUJIA NGK BPR6ES [PZ]</t>
  </si>
  <si>
    <t>BUJIA NGK BPR6ES-11 [PZ]</t>
  </si>
  <si>
    <t>BUJIA NGK C7HS [PZ]</t>
  </si>
  <si>
    <t>BUJIA NGK C7HSA [PZ]</t>
  </si>
  <si>
    <t>BUJIA NGK CR6HS [PZ]</t>
  </si>
  <si>
    <t>BUJIA NGK CR7EH-9 [PZ]</t>
  </si>
  <si>
    <t>BUJIA NGK CR8E [PZ]</t>
  </si>
  <si>
    <t>BUJIA NGK CR9E [PZ]</t>
  </si>
  <si>
    <t>BUJIA NGK D8EA [PZ]</t>
  </si>
  <si>
    <t>BUJIA NGK DPR8EA-9 [PZ]</t>
  </si>
  <si>
    <t>BUJIA NGK LKAR8A-9 PULSAR 200NS/RS-200/DOMINAR-250/400 (CENTRAL) [PZ]</t>
  </si>
  <si>
    <t>BUJIA VINI ''IRIDIUM'' CPR8EA-9EIX [OF]</t>
  </si>
  <si>
    <t>BUJIA VINI ''IRIDIUM'' CR8EH-9EIX [OF]</t>
  </si>
  <si>
    <t>BUJIA VINI ''IRIDIUM'' DPR8EA-9EIX [OF]</t>
  </si>
  <si>
    <t>BUJIA VINI C7HS [OF]</t>
  </si>
  <si>
    <t>BUJIA VINI CR8E [OF]</t>
  </si>
  <si>
    <t>BUJIA VINI D8EA [OF]</t>
  </si>
  <si>
    <t>SENSORES</t>
  </si>
  <si>
    <t>BULBO TEMPERATURA ( 1TOMAS) [PZ]</t>
  </si>
  <si>
    <t>C.D.I.</t>
  </si>
  <si>
    <t>C.D.I ENCENDIDO ELECTRONICO SCOOTER 125/150 [PZ]</t>
  </si>
  <si>
    <t>C.D.I. ENCENDIDO ELECTRONICO AN-125 [PZ]</t>
  </si>
  <si>
    <t>C.D.I. ENCENDIDO ELECTRONICO CB1-125 TWISTER [PZ]</t>
  </si>
  <si>
    <t>C.D.I. ENCENDIDO ELECTRONICO CBF-150 INVICTA / CBF UNICORN 150CC [PZ]</t>
  </si>
  <si>
    <t>C.D.I. ENCENDIDO ELECTRONICO CBF-150 INVICTA [PZ]</t>
  </si>
  <si>
    <t>C.D.I. ENCENDIDO ELECTRONICO CBX-250 TWISTER [PZ]</t>
  </si>
  <si>
    <t>C.D.I. ENCENDIDO ELECTRONICO CG-125 (BATERÍA) [PZ]</t>
  </si>
  <si>
    <t>C.D.I. ENCENDIDO ELECTRONICO CG-125 (CHINA) [PZ]</t>
  </si>
  <si>
    <t>C.D.I. ENCENDIDO ELECTRONICO CG-125 [PZ]</t>
  </si>
  <si>
    <t>C.D.I. ENCENDIDO ELECTRONICO CG-150 [PZ]</t>
  </si>
  <si>
    <t>C.D.I. ENCENDIDO ELECTRONICO CG-200 ''VINI'' [IM]</t>
  </si>
  <si>
    <t>C.D.I. ENCENDIDO ELECTRONICO CGL-125/TTX-200 [PZ]</t>
  </si>
  <si>
    <t>C.D.I. ENCENDIDO ELECTRONICO ELITE-125 [PZ]</t>
  </si>
  <si>
    <t>C.D.I. ENCENDIDO ELECTRONICO EUROMOT-125 [PZ]</t>
  </si>
  <si>
    <t>C.D.I. ENCENDIDO ELECTRONICO FZ-16 [PZ]</t>
  </si>
  <si>
    <t>C.D.I. ENCENDIDO ELECTRONICO FZN-16 (ECU) [OF]</t>
  </si>
  <si>
    <t>C.D.I. ENCENDIDO ELECTRONICO GN-125H/GXT-200 [PZ]</t>
  </si>
  <si>
    <t>C.D.I. ENCENDIDO ELECTRONICO HJ125-7/HJ150-9 [PZ]</t>
  </si>
  <si>
    <t>C.D.I. ENCENDIDO ELECTRONICO JOG-100/XC-100 [PZ]</t>
  </si>
  <si>
    <t>C.D.I. ENCENDIDO ELECTRONICO KA-150 [PZ]</t>
  </si>
  <si>
    <t>C.D.I. ENCENDIDO ELECTRONICO NK-150 [PZ]</t>
  </si>
  <si>
    <t>C.D.I. ENCENDIDO ELECTRONICO PULSAR-200NS [PZ]</t>
  </si>
  <si>
    <t>C.D.I. ENCENDIDO ELECTRONICO SCOOTER-125 ''VINI'' [IM]</t>
  </si>
  <si>
    <t>C.D.I. ENCENDIDO ELECTRONICO SPEED-125 CLASIC [PZ]</t>
  </si>
  <si>
    <t>C.D.I. ENCENDIDO ELECTRONICO STORM-125 [PZ]</t>
  </si>
  <si>
    <t>C.D.I. ENCENDIDO ELECTRONICO UNIVERSAL ''5 PINES'' [PZ]</t>
  </si>
  <si>
    <t>C.D.I. ENCENDIDO ELECTRONICO UNIVERSAL [PZ]</t>
  </si>
  <si>
    <t>C.D.I. ENCENDIDO ELECTRONICO XLX-250R [PZ]</t>
  </si>
  <si>
    <t>C.D.I. ENCENDIDO ELECTRONICO XR-250/SCOOTER-125 [PZ]</t>
  </si>
  <si>
    <t>C.D.I. ENCENDIDO ELECTRONICO XV-250 [PZ]</t>
  </si>
  <si>
    <t>C.D.I. ENCENDIDO ELECTRONICO XV-250/V-STAR 250 ''VINI'' [IM]</t>
  </si>
  <si>
    <t>C.D.I. ENCENDIDO ELECTRONICO YBR-Z ''VINI'' [IM]</t>
  </si>
  <si>
    <t>CABALLETE TRASERO [PZ]</t>
  </si>
  <si>
    <t>CABLES</t>
  </si>
  <si>
    <t>CABLE ACELERADOR ''UNIVERSAL'' [PZ]</t>
  </si>
  <si>
    <t>CABLE ACELERADOR AKT110-SPORT [PZ]</t>
  </si>
  <si>
    <t>CABLE ACELERADOR AN-125 [PZ]</t>
  </si>
  <si>
    <t>CABLE ACELERADOR AX-4 ''VINI'' [IM]</t>
  </si>
  <si>
    <t>CABLE ACELERADOR CB-190 (A) [PZ]</t>
  </si>
  <si>
    <t>CABLE ACELERADOR CB-190 [PZ]</t>
  </si>
  <si>
    <t>CABLE ACELERADOR CB-190R ''A'' ''VINI'' [IM]</t>
  </si>
  <si>
    <t>CABLE ACELERADOR CB-190R ''B'' ''VINI'' [IM]</t>
  </si>
  <si>
    <t>CABLE ACELERADOR CB-190R [PZ]</t>
  </si>
  <si>
    <t>CABLE ACELERADOR CB1-125 [PZ]</t>
  </si>
  <si>
    <t>CABLE ACELERADOR CBF-150 INVICTA ''VINI'' [IM]</t>
  </si>
  <si>
    <t>CABLE ACELERADOR CBF-150 INVICTA/RKS/RKV/TX-200 [PZ]</t>
  </si>
  <si>
    <t>CABLE ACELERADOR CBX-250 [PZ]</t>
  </si>
  <si>
    <t>CABLE ACELERADOR CG-125 [PZ]</t>
  </si>
  <si>
    <t>CABLE ACELERADOR CG-125T/C (DOBLE) [PZ]</t>
  </si>
  <si>
    <t>CABLE ACELERADOR CGL-125 [PZ]</t>
  </si>
  <si>
    <t>CABLE ACELERADOR CGL-125/STORM-125 ''VINI'' [IM]</t>
  </si>
  <si>
    <t>CABLE ACELERADOR DR200 [PZ]</t>
  </si>
  <si>
    <t>CABLE ACELERADOR DSR-200 [PZ]</t>
  </si>
  <si>
    <t>CABLE ACELERADOR DT175K [PZ]</t>
  </si>
  <si>
    <t>CABLE ACELERADOR DUKE-200/390 [PZ]</t>
  </si>
  <si>
    <t>CABLE ACELERADOR ELITE-125 [PZ]</t>
  </si>
  <si>
    <t>CABLE ACELERADOR EN-125 [PZ]</t>
  </si>
  <si>
    <t>CABLE ACELERADOR EXPRESS-100 [PZ]</t>
  </si>
  <si>
    <t>CABLE ACELERADOR FZ-16 ''A'' ''VINI'' [IM]</t>
  </si>
  <si>
    <t>CABLE ACELERADOR FZ-16 ''B'' ''VINI'' [IM]</t>
  </si>
  <si>
    <t>CABLE ACELERADOR FZ-16 (DOBLE) [PZ]</t>
  </si>
  <si>
    <t>CABLE ACELERADOR FZ-16 (HASTA 2013) [PZ]</t>
  </si>
  <si>
    <t>CABLE ACELERADOR GIXXER-150 ''VINI'' [IM]</t>
  </si>
  <si>
    <t>CABLE ACELERADOR GIXXER-150 [PZ]</t>
  </si>
  <si>
    <t>CABLE ACELERADOR GN-125/GS-125 ''VINI'' [IM]</t>
  </si>
  <si>
    <t>CABLE ACELERADOR GN-125/GS-125 CHINA ''VINI'' [IM]</t>
  </si>
  <si>
    <t>CABLE ACELERADOR GN-125/GS-125 [PZ] 58300-053G0HB</t>
  </si>
  <si>
    <t>CABLE ACELERADOR GN-125/GS-125 [PZ] 82065</t>
  </si>
  <si>
    <t>CABLE ACELERADOR GS-125 [PZ] 58300-45F40JP</t>
  </si>
  <si>
    <t>CABLE ACELERADOR GS-125 [PZ] BC005-A</t>
  </si>
  <si>
    <t>CABLE ACELERADOR GS-150R [PZ] 58300-30H00JP</t>
  </si>
  <si>
    <t>CABLE ACELERADOR GS-150R [PZ] 58300-30H10JP</t>
  </si>
  <si>
    <t>CABLE ACELERADOR GXT-200 ''A'' [PZ]</t>
  </si>
  <si>
    <t>CABLE ACELERADOR GXT-200 (DOBLE) [PZ]</t>
  </si>
  <si>
    <t>CABLE ACELERADOR GY-150/ENDURO [PZ]</t>
  </si>
  <si>
    <t>CABLE ACELERADOR GZ -150 (A) [PZ]</t>
  </si>
  <si>
    <t>CABLE ACELERADOR GZ -150 (B) [PZ]</t>
  </si>
  <si>
    <t>CABLE ACELERADOR KA-150 [PZ]</t>
  </si>
  <si>
    <t>CABLE ACELERADOR KLX-150 (B) [PZ]</t>
  </si>
  <si>
    <t>CABLE ACELERADOR LF-200 ''VINI'' [IM]</t>
  </si>
  <si>
    <t>CABLE ACELERADOR MT-03 [PZ]</t>
  </si>
  <si>
    <t>CABLE ACELERADOR NINJA-250NINJA-300 ''A'' [PZ]</t>
  </si>
  <si>
    <t>CABLE ACELERADOR NX-400 FALCON ''B'' [PZ]</t>
  </si>
  <si>
    <t>CABLE ACELERADOR NXR-150 BROS [PZ]</t>
  </si>
  <si>
    <t>CABLE ACELERADOR PITBIKE (DB14) [PZ]</t>
  </si>
  <si>
    <t>CABLE ACELERADOR PITBIKE [PZ]</t>
  </si>
  <si>
    <t>CABLE ACELERADOR PULSAR-135 [PZ]</t>
  </si>
  <si>
    <t>CABLE ACELERADOR PULSAR-150/180 [PZ]</t>
  </si>
  <si>
    <t>CABLE ACELERADOR PULSAR-150NS ''VINI'' [IM]</t>
  </si>
  <si>
    <t>CABLE ACELERADOR PULSAR-150NS [PZ]</t>
  </si>
  <si>
    <t>CABLE ACELERADOR PULSAR-180 [PZ]</t>
  </si>
  <si>
    <t>CABLE ACELERADOR PULSAR-200NS CARBURADA ''VINI'' [IM]</t>
  </si>
  <si>
    <t>CABLE ACELERADOR PULSAR-200NS INYECTADA ''SUPRAJIT'' [IM]</t>
  </si>
  <si>
    <t>CABLE ACELERADOR PULSAR-200NS [PZ]</t>
  </si>
  <si>
    <t>CABLE ACELERADOR PULSAR-220 [PZ]</t>
  </si>
  <si>
    <t>CABLE ACELERADOR RENEGADE-200 ''VINI'' [IM]</t>
  </si>
  <si>
    <t>CABLE ACELERADOR RENEGADE-200 [PZ]</t>
  </si>
  <si>
    <t>CABLE ACELERADOR SCOOTER (GY6) [PZ]</t>
  </si>
  <si>
    <t>CABLE ACELERADOR SCOOTER-125/150 [PZ]</t>
  </si>
  <si>
    <t>CABLE ACELERADOR STORM-125 [PZ]</t>
  </si>
  <si>
    <t>CABLE ACELERADOR TX-200 [PZ]</t>
  </si>
  <si>
    <t>CABLE ACELERADOR UNIVERSAL (36CM.P/31CM.F) [FZ]</t>
  </si>
  <si>
    <t>CABLE ACELERADOR UNIVERSAL 1.2 MM X 2.0MT [PZ]</t>
  </si>
  <si>
    <t>CABLE ACELERADOR VS-125 [PZ]</t>
  </si>
  <si>
    <t>CABLE ACELERADOR XBLADE-160/RK-150/RKV-150/TX-150 [PZ]</t>
  </si>
  <si>
    <t>CABLE ACELERADOR XR-125L ''VINI'' [IM]</t>
  </si>
  <si>
    <t>CABLE ACELERADOR XR-150L ''VINI'' [IM]</t>
  </si>
  <si>
    <t>CABLE ACELERADOR XR-150L [PZ]</t>
  </si>
  <si>
    <t>CABLE ACELERADOR XR-190L ''VINI'' [IM]</t>
  </si>
  <si>
    <t>CABLE ACELERADOR XR-250 TORNADO ''A'' ''VINI'' [IM]</t>
  </si>
  <si>
    <t>CABLE ACELERADOR XR-250 TORNADO ''A'' [PZ]</t>
  </si>
  <si>
    <t>CABLE ACELERADOR XR-250 TORNADO ''B'' ''VINI'' [IM]</t>
  </si>
  <si>
    <t>CABLE ACELERADOR XR-250 TORNADO ''B'' [PZ]</t>
  </si>
  <si>
    <t>CABLE ACELERADOR XRE-300 ''A'' [PZ]</t>
  </si>
  <si>
    <t>CABLE ACELERADOR XRE-300 ''B'' [PZ]</t>
  </si>
  <si>
    <t>CABLE ACELERADOR XRE-300 [PZ]</t>
  </si>
  <si>
    <t>CABLE ACELERADOR XTZ-125 [PZ]</t>
  </si>
  <si>
    <t>CABLE ACELERADOR YBR-125</t>
  </si>
  <si>
    <t>CABLE ACELERADOR YBR-125 [PZ]</t>
  </si>
  <si>
    <t>CABLE ACELERADOR YD-110 CRUX [PZ]</t>
  </si>
  <si>
    <t>CABLE ACELERADOR YW-125 BWS (A) [PZ]</t>
  </si>
  <si>
    <t>CABLE ACELERADOR YW-125 BWS (B) [PZ]</t>
  </si>
  <si>
    <t>CABLE ACELERADOR YZF-R15 ''A'' [PZ]</t>
  </si>
  <si>
    <t>CABLE ACELERADOR YZF-R15 ''B'' [OF]</t>
  </si>
  <si>
    <t>CABLE AHOGADOR CBF-150 INVICTA [PZ]</t>
  </si>
  <si>
    <t>CABLE AHOGADOR EN-125/GS-125 [PZ]</t>
  </si>
  <si>
    <t>CABLE AHOGADOR FZ-16 [PZ]</t>
  </si>
  <si>
    <t>CABLE AHOGADOR GY-200 ''VINI'' [IM]</t>
  </si>
  <si>
    <t>CABLE AHOGADOR XTREET-180 [PZ]</t>
  </si>
  <si>
    <t>CABLE AHOGADOR YBR-125 [PZ]</t>
  </si>
  <si>
    <t>CABLE ASIENTO BICIMOTO 49CC (ST-50) [PZ]</t>
  </si>
  <si>
    <t>CABLE ASIENTO EXPRESS-100 [PZ]</t>
  </si>
  <si>
    <t>CABLE BUJIA 6MM X 1M [PZ]</t>
  </si>
  <si>
    <t>CABLE CAMBIOS 2.10 METROS [PZ]</t>
  </si>
  <si>
    <t>CABLE CTA. KM. CB1-125/CB-125F TWISTER/CBF-150 INVICTA [PZ]</t>
  </si>
  <si>
    <t>CABLE CTA. KM. CB1-125/CG-150/CBF150 [PZ]</t>
  </si>
  <si>
    <t>CABLE CTA. KM. CG-125 (BALATA) [PZ]</t>
  </si>
  <si>
    <t>CABLE CTA. KM. CG-125 (FRENO DISCO) ''KB7'' [PZ]</t>
  </si>
  <si>
    <t>CABLE CTA. KM. CG-125 [PZ]</t>
  </si>
  <si>
    <t>CABLE CTA. KM. CG-125/150/XL-250 ''KB7'' [PZ]</t>
  </si>
  <si>
    <t>CABLE CTA. KM. CG-125/SPEED-125 (DISCO) [PZ]</t>
  </si>
  <si>
    <t>CABLE CTA. KM. CG-150T/JOB/CB1-125 [PZ]</t>
  </si>
  <si>
    <t>CABLE CTA. KM. CGL-125 [PZ]</t>
  </si>
  <si>
    <t>CABLE CTA. KM. CGL-125/RS-100 [PZ]</t>
  </si>
  <si>
    <t>CABLE CTA. KM. DR-200/RK-150/DR-125CC 4T [PZ]</t>
  </si>
  <si>
    <t>CABLE CTA. KM. DSR-200 [PZ]</t>
  </si>
  <si>
    <t>CABLE CTA. KM. GN-125/HJ125-7 [PZ]</t>
  </si>
  <si>
    <t>CABLE CTA. KM. GN-125/HJ125-7/RK-150 ''VINI'' [IM]</t>
  </si>
  <si>
    <t>CABLE CTA. KM. GN-125/RENEGADE-200/HJ125-7/DSR-200 [PZ]</t>
  </si>
  <si>
    <t>CABLE CTA. KM. GPZ-400R [PZ]</t>
  </si>
  <si>
    <t>CABLE CTA. KM. GS-125 [PZ]</t>
  </si>
  <si>
    <t>CABLE CTA. KM. GS-150 [PZ]</t>
  </si>
  <si>
    <t>CABLE CTA. KM. GXT-200 [PZ]</t>
  </si>
  <si>
    <t>CABLE CTA. KM. GZ-150 [PZ]</t>
  </si>
  <si>
    <t>CABLE CTA. KM. JL-125 [PZ]</t>
  </si>
  <si>
    <t>CABLE CTA. KM. NXR-125 ''VINI'' [IM]</t>
  </si>
  <si>
    <t>CABLE CTA. KM. NXR-150 BROS [PZ]</t>
  </si>
  <si>
    <t>CABLE CTA. KM. NXR-150 BROS/XR-125/TTX-150 [PZ]</t>
  </si>
  <si>
    <t>CABLE CTA. KM. RENEGADE-200/GN-125/HJ125-7/DSR-200 [PZ]</t>
  </si>
  <si>
    <t>CABLE CTA. KM. STORM-125 [PZ]</t>
  </si>
  <si>
    <t>CABLE CTA. KM. TTX-150 [PZ]</t>
  </si>
  <si>
    <t>CABLE CTA. KM. XR-250 TORNADO ''VINI'' [IM]</t>
  </si>
  <si>
    <t>CABLE CTA. KM. XTZ-125 [PZ]</t>
  </si>
  <si>
    <t>CABLE CTA. KM. YBR-125 ''HIBARI'' [PZ]</t>
  </si>
  <si>
    <t>CABLE CTA. KM. YBR-125 [PZ]</t>
  </si>
  <si>
    <t>CABLE CTA. KM. YBR-125/XTZ-125 ''VINI'' [IM]</t>
  </si>
  <si>
    <t>CABLE DESCOMPRESOR XR-250R [OF]</t>
  </si>
  <si>
    <t>CABLE EMBRAGUE ''UNIVERSAL'' [PZ]</t>
  </si>
  <si>
    <t>CABLE EMBRAGUE AX-100 ''VINI'' [IM]</t>
  </si>
  <si>
    <t>CABLE EMBRAGUE AX-4 ''VINI'' [IM]</t>
  </si>
  <si>
    <t>CABLE EMBRAGUE CB-190R ''VINI'' [IM]</t>
  </si>
  <si>
    <t>CABLE EMBRAGUE CB1-125 [PZ]</t>
  </si>
  <si>
    <t>CABLE EMBRAGUE CBF-150 INVICTA [PZ]</t>
  </si>
  <si>
    <t>CABLE EMBRAGUE CBF-150 INVICTA/CB-125F TWISTER ''VINI'' [IM]</t>
  </si>
  <si>
    <t>CABLE EMBRAGUE CBF-150 NEW-INVICTA [PZ]</t>
  </si>
  <si>
    <t>CABLE EMBRAGUE CBX-250 [PZ]</t>
  </si>
  <si>
    <t>CABLES DE EMBRAGUE</t>
  </si>
  <si>
    <t>CABLE EMBRAGUE DR-160 [PZ]</t>
  </si>
  <si>
    <t>CABLE EMBRAGUE DSR-200/TTX-200 [PZ]</t>
  </si>
  <si>
    <t>CABLE EMBRAGUE EN-125 ''VINI'' [IM]</t>
  </si>
  <si>
    <t>CABLE EMBRAGUE FZ-16 ''VINI'' [IM]</t>
  </si>
  <si>
    <t>CABLE EMBRAGUE FZ-16 [PZ]</t>
  </si>
  <si>
    <t>CABLE EMBRAGUE GIXXER-150 ''VINI'' [IM]</t>
  </si>
  <si>
    <t>CABLE EMBRAGUE GIXXER-150 [PZ]</t>
  </si>
  <si>
    <t>CABLE EMBRAGUE GN-125 ''VINI'' [IM]</t>
  </si>
  <si>
    <t>CABLE EMBRAGUE GN-125 [PZ]</t>
  </si>
  <si>
    <t>CABLE EMBRAGUE GN-125/RKS/RKV/TX-200 [PZ]</t>
  </si>
  <si>
    <t>CABLE EMBRAGUE GS-125 [PZ]</t>
  </si>
  <si>
    <t>CABLE EMBRAGUE GS-150R/HJ150-9 COOL [PZ]</t>
  </si>
  <si>
    <t>CABLE EMBRAGUE GS-150R/KA-150/HJ-150-9 COOL [PZ]</t>
  </si>
  <si>
    <t>CABLE EMBRAGUE GXT-200 [PZ]</t>
  </si>
  <si>
    <t>CABLE EMBRAGUE GY-150 [PZ]</t>
  </si>
  <si>
    <t>CABLE EMBRAGUE GY-200 ''VINI'' [IM]</t>
  </si>
  <si>
    <t>CABLE EMBRAGUE HJ125-7 [PZ]</t>
  </si>
  <si>
    <t>CABLE EMBRAGUE JL-125 [PZ]</t>
  </si>
  <si>
    <t>CABLE EMBRAGUE KA-150 [PZ]</t>
  </si>
  <si>
    <t>CABLE EMBRAGUE KA-150/HJ-150 [PZ]</t>
  </si>
  <si>
    <t>CABLE EMBRAGUE MT-03 [PZ]</t>
  </si>
  <si>
    <t>CABLE EMBRAGUE NK-150 [PZ]</t>
  </si>
  <si>
    <t>CABLE EMBRAGUE NXR-150 BROS/XR-200 BRASIL [PZ]</t>
  </si>
  <si>
    <t>CABLE EMBRAGUE PULSAR 180 [PZ]</t>
  </si>
  <si>
    <t>CABLE EMBRAGUE PULSAR-150 NS [PZ]</t>
  </si>
  <si>
    <t>CABLE EMBRAGUE PULSAR-150NS/160NS ''VINI'' [IM]</t>
  </si>
  <si>
    <t>CABLE EMBRAGUE PULSAR-200NS ''VINI'' [IM]</t>
  </si>
  <si>
    <t>CABLE EMBRAGUE PULSAR-200NS [PZ]</t>
  </si>
  <si>
    <t>CABLE EMBRAGUE PULSAR-200RS (OIL COOLED) [PZ]</t>
  </si>
  <si>
    <t>CABLE EMBRAGUE PULSAR-220 ''VINI'' [IM]</t>
  </si>
  <si>
    <t>CABLE EMBRAGUE REX-150 [PZ]</t>
  </si>
  <si>
    <t>CABLE EMBRAGUE SUPERLIGHT ''VINI'' [IM]</t>
  </si>
  <si>
    <t>CABLE EMBRAGUE TAKASAKI WY-125 ''VINI'' [IM]</t>
  </si>
  <si>
    <t>CABLE EMBRAGUE TR150-S [PZ]</t>
  </si>
  <si>
    <t>CABLE EMBRAGUE UNIVERSAL (1.5MT) [PZ]</t>
  </si>
  <si>
    <t>CABLE EMBRAGUE XLR-125/XR-125L ''VINI'' [IM]</t>
  </si>
  <si>
    <t>CABLE EMBRAGUE XR-150L ''VINI'' [IM]</t>
  </si>
  <si>
    <t>CABLE EMBRAGUE XR-150L [PZ]</t>
  </si>
  <si>
    <t>CABLE EMBRAGUE XR-190L ''VINI'' [IM]</t>
  </si>
  <si>
    <t>CABLE EMBRAGUE XR-190L [PZ]</t>
  </si>
  <si>
    <t>CABLE EMBRAGUE XR-200 BRASIL/NXR-150 BROS [PZ]</t>
  </si>
  <si>
    <t>CABLE EMBRAGUE XR-250 TORNADO ''VINI'' [IM]</t>
  </si>
  <si>
    <t>CABLE EMBRAGUE XR-250 TORNADO [PZ]</t>
  </si>
  <si>
    <t>CABLE EMBRAGUE XR-250 TORNADO/XRE-300 HIBARI [PZ]</t>
  </si>
  <si>
    <t>CABLE EMBRAGUE XRE-300 [PZ]</t>
  </si>
  <si>
    <t>CABLE EMBRAGUE XTZ-250 [PZ]</t>
  </si>
  <si>
    <t>CABLE EMBRAGUE YBR-125 [PZ]</t>
  </si>
  <si>
    <t>CABLE EMBRAGUE YBR-125Z [PZ]</t>
  </si>
  <si>
    <t>CABLE FRENO 1.75 METROS [PZ]</t>
  </si>
  <si>
    <t>CABLE FRENO CB1-125 [PZ]</t>
  </si>
  <si>
    <t>CABLE FRENO DELANTERO CG-125 [PZ]</t>
  </si>
  <si>
    <t>CABLE FRENO DELANTERO XL-125/XL-185 [PZ]</t>
  </si>
  <si>
    <t>CABLE FRENO TRASERO CB1-125 [PZ]</t>
  </si>
  <si>
    <t>CABLE FRENO TRASERO SCOOTER-125 [PZ]</t>
  </si>
  <si>
    <t>CABLE FRENO TRASERO SCOOTER-125/150 GY6 ''VINI'' [IM]</t>
  </si>
  <si>
    <t>CABLE FRENO TRASERO VS-125 [PZ]</t>
  </si>
  <si>
    <t>CABLE SWITCH FRENO DELANTERO [PZ]</t>
  </si>
  <si>
    <t>CABLE TACOMETRO CG-125/HJ125-7 [PZ]</t>
  </si>
  <si>
    <t>CABLE TACOMETRO GN-125H / GS-125 ''VINI'' [IM]</t>
  </si>
  <si>
    <t>CABLE TACOMETRO GN-125H [PZ]</t>
  </si>
  <si>
    <t>CABLE USB-IPHONE UNIVERSAL [PZ]</t>
  </si>
  <si>
    <t>CABLE USB-USB TIPO C UNIVERSAL [PZ]</t>
  </si>
  <si>
    <t>CABLES ELECTRICOS. JGO. YBR-125 [PZ]</t>
  </si>
  <si>
    <t>CABLES ELECTRICOS. TABLERO ''SPEED 125'' [PZ]</t>
  </si>
  <si>
    <t>CACHIMBAS</t>
  </si>
  <si>
    <t>CACHIMBA BUJIA ''NGK'' (GOMA) [PZ]</t>
  </si>
  <si>
    <t>CACHIMBA BUJIA BICIMOTO 49CC (ST-50) [PZ]</t>
  </si>
  <si>
    <t>CACHIMBA BUJIA CG-125 [PZ]</t>
  </si>
  <si>
    <t>CACHIMBA BUJIA CG-150T/JOB [PZ]</t>
  </si>
  <si>
    <t>CACHIMBA BUJIA DUKE-200/250/390 [PZ]</t>
  </si>
  <si>
    <t>CACHIMBA BUJIA EN-125 [PZ]</t>
  </si>
  <si>
    <t>CACHIMBA BUJIA FZ-16 [PZ]</t>
  </si>
  <si>
    <t>CACHIMBA BUJIA SCOOTER ''GY6''(80992-80993) [PZ]</t>
  </si>
  <si>
    <t>CACHIMBA BUJIA SCOOTER [PZ]</t>
  </si>
  <si>
    <t>CACHIMBA BUJIA UNIVERSAL [PZ]</t>
  </si>
  <si>
    <t>CACHIMBA BUJIA XTZ-125/YBR-125 (80988-80993) [PZ]</t>
  </si>
  <si>
    <t>CACHIMBA BUJIA YZF-R15/FZ-16 [PZ]</t>
  </si>
  <si>
    <t>CADENAS</t>
  </si>
  <si>
    <t>CADENA 420-110JP ''NPC'' [PZ]</t>
  </si>
  <si>
    <t>CADENA 420-126 ''CHOHO'' [PZ]</t>
  </si>
  <si>
    <t>CADENA 428H-110 ''NPC'' [PZ]</t>
  </si>
  <si>
    <t>CADENA 428H-120 ''NPC'' [PZ]</t>
  </si>
  <si>
    <t>CADENA 428H-124 ''NPC'' [PZ]</t>
  </si>
  <si>
    <t>CADENA 428H-132 ''NPC'' [PZ]</t>
  </si>
  <si>
    <t>CADENA 428H-134 ''D.I.D'' [PZ]</t>
  </si>
  <si>
    <t>CADENA 428H-140 ''RIFFEL DORADA'' [PZ]</t>
  </si>
  <si>
    <t>CADENA 428H-140 ''RIFFEL'' [PZ]</t>
  </si>
  <si>
    <t>CADENA 428H-140 ''TAYA'' [PZ]</t>
  </si>
  <si>
    <t>CADENA 428H-140 ''VINI DORADA'' [IM]</t>
  </si>
  <si>
    <t>CADENA 428H-142 ''RIFFEL'' [PZ]</t>
  </si>
  <si>
    <t>CADENA 428H-150 ''NPC'' [PZ]</t>
  </si>
  <si>
    <t>CADENA 428OH-140 ''RIFFEL'' C/O´RING [PZ]</t>
  </si>
  <si>
    <t>CADENA 428V-124 ''NPC'' C/O´RING [PZ]</t>
  </si>
  <si>
    <t>CADENA 428V-132 ''NPC'' C/O´RING [PZ]</t>
  </si>
  <si>
    <t>CADENA 520-104 ''NPC'' [PZ]</t>
  </si>
  <si>
    <t>CADENA 520H-110 ''NPC'' [PZ]</t>
  </si>
  <si>
    <t>CADENA 520H-120 ''NPC'' [PZ]</t>
  </si>
  <si>
    <t>CADENA 520H-120 ''RIFFEL DORADA'' C/O´RING [PZ]</t>
  </si>
  <si>
    <t>CADENA 520H-120 ''RIFFEL DORADA'' [PZ]</t>
  </si>
  <si>
    <t>CADENA 520H-120 ''RIFFEL'' [PZ]</t>
  </si>
  <si>
    <t>CADENA 520H-120 ''VINI DORADA'' [PZ]</t>
  </si>
  <si>
    <t>CADENA 520V-120 ''NPC'' C/O´RING [PZ]</t>
  </si>
  <si>
    <t>CADENA 520V-124 ''CHOHO'' C/O´RING [PZ]</t>
  </si>
  <si>
    <t>CADENA 525H-120 ''NPC'' C/O'RING [PZ]</t>
  </si>
  <si>
    <t>CADENA 525H-124 ''CHOHO'' [PZ]</t>
  </si>
  <si>
    <t>CADENA 525VX3-120 REFORZADA C/ X'RING ''D.I.D'' [PZ]</t>
  </si>
  <si>
    <t>CADENA 525VX3-124 REFORZADA C/ X'RING ''D.I.D'' [PZ]</t>
  </si>
  <si>
    <t>CADENA 525VX3-130 REFORZADA C/ X'RING ''D.I.D'' [PZ]</t>
  </si>
  <si>
    <t>CADENA 530-120 ''D.I.D.'' [PZ]</t>
  </si>
  <si>
    <t>CADENA DISTRIBUCION CB-190 ''NPC'' (404H-98) [PZ]</t>
  </si>
  <si>
    <t>CADENA DISTRIBUCION CB190R ''NPC'' (409H-98) [PZ]</t>
  </si>
  <si>
    <t>CADENA DISTRIBUCION CBF-125 STUNNER (25H-94) ''NPC'' [PZ]</t>
  </si>
  <si>
    <t>CADENA DISTRIBUCION CBF-150/INVICTA ''NPC'' [PZ]</t>
  </si>
  <si>
    <t>CADENA DISTRIBUCION CBX-250/TORNADO (409H-126) ''NPC'' [PZ]</t>
  </si>
  <si>
    <t>CADENA DISTRIBUCION CBX-250/TORNADO 409H-126L ''VINI'' [IM]</t>
  </si>
  <si>
    <t>CADENA DISTRIBUCION CG-125/CG-200 ''NPC'' [PZ]</t>
  </si>
  <si>
    <t>CADENA DISTRIBUCION DR/GXT-200 ''VINI'' (25H-102L) [IM]</t>
  </si>
  <si>
    <t>CADENA DISTRIBUCION GPZ-400 ''NPC'' [PZ]</t>
  </si>
  <si>
    <t>CADENA DISTRIBUCION KLR-250 ''NPC'' [PZ]</t>
  </si>
  <si>
    <t>CADENA DISTRIBUCION ROVER-250 (409H-100L) ''NPC'' [PZ]</t>
  </si>
  <si>
    <t>CADENA DISTRIBUCION SCOOTER (404H-90) [PZ]</t>
  </si>
  <si>
    <t>CADENA DISTRIBUCION SUZUKI K24S/Z20/Z24 URBAN ''NPC'' [PZ]</t>
  </si>
  <si>
    <t>CADENA DISTRIBUCION XF-650 / DR 650CC MONO CARB 4T ''NPC'' [PZ]</t>
  </si>
  <si>
    <t>CADENA DISTRIBUCION XL/XR-200 (404H-102) ''NPC'' [PZ]</t>
  </si>
  <si>
    <t>CADENA DISTRIBUCION XR-200/CTX-200 ''VINI'' [IM]</t>
  </si>
  <si>
    <t>CADENA DISTRIBUCION XR-250R (96/04) ''NPC'' [PZ]</t>
  </si>
  <si>
    <t>CADENA DISTRIBUCION XR-600R/MT-03 ''NPC'' [PZ]</t>
  </si>
  <si>
    <t>CADENA DISTRIBUCION XT-125/200/225 ''NPC'' [PZ]</t>
  </si>
  <si>
    <t>CADENA DISTRIBUCION XTZ-250 (404H-104) ''NPC'' [PZ]</t>
  </si>
  <si>
    <t>CADENA DISTRIBUCION XV-400/XR-600 [PZ]</t>
  </si>
  <si>
    <t>CADENA DISTRIBUCION YBR-125 ''NPC'' [PZ]</t>
  </si>
  <si>
    <t>CADENA SEGURIDAD '' UNIVERSAL'' 1. MTS [PZ]</t>
  </si>
  <si>
    <t>CADENA SEGURIDAD '' UNIVERSAL'' 1.2 MTS [PZ]</t>
  </si>
  <si>
    <t>CADENA SEGURIDAD 21MM X 1.5 MTS ''LUMÀ'' [PZ]</t>
  </si>
  <si>
    <t>CADENA SEGURIDAD 24MM X 1.5 MTS ''LUMÀ'' [PZ]</t>
  </si>
  <si>
    <t>CADENA SEGURIDAD 30MM X 1.5 MTS. [PZ]</t>
  </si>
  <si>
    <t>CADENA SEGURIDAD C/CLAVE 1.2 MT. [PZ]</t>
  </si>
  <si>
    <t>CADENA SEGURIDAD MOTO (1 MT) [PZ]</t>
  </si>
  <si>
    <t>CADENA SEGURIDAD UNIVERSAL 18X100 CMS. [PZ]</t>
  </si>
  <si>
    <t>CADENA SEGURIDAD UNIVERSAL 20X150 CMS. [PZ]</t>
  </si>
  <si>
    <t>CADENA SEGURIDAD UNIVERSAL C/ALARMA [PZ]</t>
  </si>
  <si>
    <t>CADENA SEGURIDAD UNIVERSAL [PZ]</t>
  </si>
  <si>
    <t>CAJA ABRAZADERA MANGUERA [PZ]</t>
  </si>
  <si>
    <t>CAJAS DE CAMBIO</t>
  </si>
  <si>
    <t>CAJA CAMBIO CB-190 [PZ]</t>
  </si>
  <si>
    <t>CAJA CAMBIOS 49 CC. [PZ]</t>
  </si>
  <si>
    <t>CAJA CAMBIOS CB-190R [PZ]</t>
  </si>
  <si>
    <t>CAJA CAMBIOS CB1-125/CB-125F TWISTER ''VINI'' [IM]</t>
  </si>
  <si>
    <t>CAJA CAMBIOS CG-150T/JOB/INVICTA [PZ]</t>
  </si>
  <si>
    <t>CAJA CAMBIOS CG-200 [PZ]</t>
  </si>
  <si>
    <t>CAJA CAMBIOS FZ-16 [PZ]</t>
  </si>
  <si>
    <t>CAJA CAMBIOS GN-125 [PZ]</t>
  </si>
  <si>
    <t>CAJA CAMBIOS GN-125H ''VINI'' [IM]</t>
  </si>
  <si>
    <t>CAJA CAMBIOS JL-110 [PZ]</t>
  </si>
  <si>
    <t>CAJA CAMBIOS PIT-BIKE 110/125 CC [PZ]</t>
  </si>
  <si>
    <t>CAJA CAMBIOS PIT-BIKE MOTO 49CC [PZ]</t>
  </si>
  <si>
    <t>CAJA CAMBIOS XTZ-125 [PZ]</t>
  </si>
  <si>
    <t>CAJA CAMBIOS YBR-125 ''VINI'' [IM]</t>
  </si>
  <si>
    <t>CAJA GOLILLAS METALICA. JGO. [PZ]</t>
  </si>
  <si>
    <t>CAJA GOLILLAS METALICAS COBRE. JGO. [PZ]</t>
  </si>
  <si>
    <t>CAJA GOLILLAS METALICAS CROMADA. JGO. [PZ]</t>
  </si>
  <si>
    <t>CAJA GOLILLAS PLASTICAS. JGO. [PZ]</t>
  </si>
  <si>
    <t>CAJA ORING. JGO. [PZ]</t>
  </si>
  <si>
    <t>CAJA PERNOS ALLEN 3/4/5 MM. [PZ]</t>
  </si>
  <si>
    <t>CAJA PERNOS ALLEN 4/5/6/8 MM. [PZ]</t>
  </si>
  <si>
    <t>CAJA SEGUROS SEGER [PZ]</t>
  </si>
  <si>
    <t>CAJA TERMINALES MACHOS Y HEMBRA [PZ]</t>
  </si>
  <si>
    <t>CAJA TRANSMISION POCKET [PZ]</t>
  </si>
  <si>
    <t>CALIPERS</t>
  </si>
  <si>
    <t>CALIPER COMPLETO EUROMOT ''SCOOTER'' [PZ]</t>
  </si>
  <si>
    <t>CALIPER FRENO DELANTERO CG-125/150 ''VINI'' [IM]</t>
  </si>
  <si>
    <t>CALIPER FRENO DELANTERO CG-125/150 [PZ]</t>
  </si>
  <si>
    <t>CALIPER FRENO DELANTERO CRYPTON-115 ''VINI'' [IM]</t>
  </si>
  <si>
    <t>CALIPER FRENO DELANTERO EXPRESS-100 [PZ]</t>
  </si>
  <si>
    <t>CALIPER FRENO DELANTERO FZ-16/FZN-150 (2.0) [PZ]</t>
  </si>
  <si>
    <t>CALIPER FRENO DELANTERO PULSAR 180/220 [PZ]</t>
  </si>
  <si>
    <t>CALIPER FRENO DELANTERO XR-125L/XR-150L [PZ]</t>
  </si>
  <si>
    <t>CALIPER FRENO DELANTERO YBR-125 ''VINI'' [IM]</t>
  </si>
  <si>
    <t>CALIPER FRENO DELANTERO YBR-125 [PZ]</t>
  </si>
  <si>
    <t>CAMARAS</t>
  </si>
  <si>
    <t>CAMARA (10) 300/350X10 ''SUPER-RUN'' [PZ]</t>
  </si>
  <si>
    <t>CAMARA (10) 300X10 ''DURO'' [PZ]</t>
  </si>
  <si>
    <t>CAMARA (10) 300X10 [PZ]</t>
  </si>
  <si>
    <t>CAMARA (10) 350X10 ''KAISER'' [PZ]</t>
  </si>
  <si>
    <t>CAMARA (12) 120/70X12 ''SUPER-RUN'' [PZ]</t>
  </si>
  <si>
    <t>CAMARA (12) 300/350X12 ''DURO'' [PZ]</t>
  </si>
  <si>
    <t>CAMARA (13) 130/60X13 ''SUPER-RUN'' [PZ]</t>
  </si>
  <si>
    <t>CAMARA (14) 275/300X14 ''DURO'' [PZ]</t>
  </si>
  <si>
    <t>CAMARA (14) 275/300X14 ''SUPER-RUN'' [PZ]</t>
  </si>
  <si>
    <t>CAMARA (15) 130/90X15 ''DURO'' [PZ]</t>
  </si>
  <si>
    <t>CAMARA (15) 130/90X15 ''SUPER-RUN'' [PZ]</t>
  </si>
  <si>
    <t>CAMARA (16) 275/300X16 ''CHENG-SHIN'' [PZ]</t>
  </si>
  <si>
    <t>CAMARA (16) 325/350X16 ''DURO'' [PZ]</t>
  </si>
  <si>
    <t>CAMARA (16) 325/350X16 ''SUPER-RUN'' [PZ]</t>
  </si>
  <si>
    <t>CAMARA (16) 350/400X16 ''DURO'' [PZ]</t>
  </si>
  <si>
    <t>CAMARA (16) 400/450X16 ''SUPER-RUN'' [PZ]</t>
  </si>
  <si>
    <t>CAMARA (17) 275/300X17 ''DURO'' [PZ]</t>
  </si>
  <si>
    <t>CAMARA (17) 275/300X17 ''SUPER-RUN'' [PZ]</t>
  </si>
  <si>
    <t>CAMARA (17) 275/300X17 ''VINI'' [IM]</t>
  </si>
  <si>
    <t>CAMARA (17) 275/300X17 [PZ]</t>
  </si>
  <si>
    <t>CAMARA (17) 350/400X17 ''DURO'' [PZ]</t>
  </si>
  <si>
    <t>CAMARA (17) 350/400X17 ''SUPER-RUN'' [PZ]</t>
  </si>
  <si>
    <t>CAMARA (17) 400/450X17 ''DURO'' [PZ]</t>
  </si>
  <si>
    <t>CAMARA (17) 400/460X17 ''SUPER-RUN'' [PZ]</t>
  </si>
  <si>
    <t>CAMARA (18) 100/100X18 ''MAXXIS'' EXTRA HEAVY DUTY [PZ]</t>
  </si>
  <si>
    <t>CAMARA (18) 275/300X18 ''CHENG-SHIN'' [IM]</t>
  </si>
  <si>
    <t>CAMARA (18) 275/300X18 ''DURO'' [PZ]</t>
  </si>
  <si>
    <t>CAMARA (18) 275/300X18 ''SUPER-RUN'' [PZ]</t>
  </si>
  <si>
    <t>CAMARA (18) 275/300X18 ''VINI'' [IM]</t>
  </si>
  <si>
    <t>CAMARA (18) 300/350X18 ''DURO'' [PZ]</t>
  </si>
  <si>
    <t>CAMARA (18) 325/350X18 ''KAISER'' [PZ]</t>
  </si>
  <si>
    <t>CAMARA (18) 350/400X18 ''DURO'' [PZ]</t>
  </si>
  <si>
    <t>CAMARA (18) 350/400X18 ''SUPER-RUN'' [PZ]</t>
  </si>
  <si>
    <t>CAMARA (18) 350X18 ''DURO'' [PZ]</t>
  </si>
  <si>
    <t>CAMARA (18) 400/450X18 ''DURO'' [PZ]</t>
  </si>
  <si>
    <t>CAMARA (18) 400/450X18 ''VINI'' [IM]</t>
  </si>
  <si>
    <t>CAMARA (18) 410/460X18 ''SUPER-RUN'' [PZ]</t>
  </si>
  <si>
    <t>CAMARA (18) 410X18 ''DURO'' [PZ]</t>
  </si>
  <si>
    <t>CAMARA (18) 460/510X18 ''CHENG-SHIN'' [PZ]</t>
  </si>
  <si>
    <t>CAMARA (18) 460/510X18 ''DURO'' [PZ]</t>
  </si>
  <si>
    <t>CAMARA (18) 460/510X18 ''SUPER-RUN'' [PZ]</t>
  </si>
  <si>
    <t>CAMARA (18) 460/510X18 [PZ]</t>
  </si>
  <si>
    <t>CAMARA (18) 460X18 ''TIMSUN'' [PZ]</t>
  </si>
  <si>
    <t>CAMARA (19) 110/80X19 TRA ''TIMSUN'' [PZ]</t>
  </si>
  <si>
    <t>CAMARA (19) 275/300X19 ''DURO'' [PZ]</t>
  </si>
  <si>
    <t>CAMARA (19) 275/300X19 ''KAISER'' [PZ]</t>
  </si>
  <si>
    <t>CAMARA (19) 275/300X19 ''SUPER-RUN'' [PZ]</t>
  </si>
  <si>
    <t>CAMARA (19) 350/400X19 ''DURO'' [PZ]</t>
  </si>
  <si>
    <t>CAMARA (19) 350/400X19 ''KAISER'' [PZ]</t>
  </si>
  <si>
    <t>CAMARA (19) 350X19 ''DURO'' [PZ]</t>
  </si>
  <si>
    <t>CAMARA (19) 400/460X19 ''SUPER-RUN'' [PZ]</t>
  </si>
  <si>
    <t>CAMARA (21) 275/300X21 ''CHENG-SHIN'' [PZ]</t>
  </si>
  <si>
    <t>CAMARA (21) 275/300X21 ''DURO'' [PZ]</t>
  </si>
  <si>
    <t>CAMARA (21) 275/300X21 ''JALYN'' [PZ]</t>
  </si>
  <si>
    <t>CAMARA (21) 275/300X21 ''SUPER-RUN'' [PZ]</t>
  </si>
  <si>
    <t>CAMARA (21) 275/300X21 ''VINI'' [IM]</t>
  </si>
  <si>
    <t>SERVICIO DE TALLER</t>
  </si>
  <si>
    <t>CAMBIO: BOMBA DE FRENO CON LÍQUIDO DOT3 - DOT4 0-150CC</t>
  </si>
  <si>
    <t>CAMBIO: BOMBA DE FRENO CON LÍQUIDO DOT3 - DOT4 160-400CC</t>
  </si>
  <si>
    <t>CAMBIO: BOMBA DE FRENO CON LÍQUIDO DOT3 - DOT4 450-1000CC</t>
  </si>
  <si>
    <t>CAMBIO: FOCOS SEÑALIZADORES CARENADO 0-150CC</t>
  </si>
  <si>
    <t>CAMBIO: FOCOS SEÑALIZADORES CARENADO 160-400CC</t>
  </si>
  <si>
    <t>CAMBIO: FOCOS SEÑALIZADORES CARENADO 450-1000CC</t>
  </si>
  <si>
    <t>CAMBIO: MANILLA DE EMBRAGUE O FRENO 0-150CC</t>
  </si>
  <si>
    <t>CAMBIO: MANILLA DE EMBRAGUE O FRENO 160-400CC</t>
  </si>
  <si>
    <t>CAMBIO: MANILLA DE EMBRAGUE O FRENO 450-1000CC</t>
  </si>
  <si>
    <t>CAMBIO: MANILLAR DE EMBRAGUE O FRENO 0-150CC</t>
  </si>
  <si>
    <t>CAMBIO: MANILLAR DE EMBRAGUE O FRENO 160-400CC</t>
  </si>
  <si>
    <t>CAMBIO: MANILLAR DE EMBRAGUE O FRENO 450-1000CC</t>
  </si>
  <si>
    <t>CAMBIO: PATINES DE FRENO TRASEROS 0-150CC</t>
  </si>
  <si>
    <t>CAMBIO: PATINES DE FRENO TRASEROS 160-400CC</t>
  </si>
  <si>
    <t>CAMPANAS</t>
  </si>
  <si>
    <t>CAMPANA EMBRAGUE C/PIÑON FZ-16 [PZ]</t>
  </si>
  <si>
    <t>CAMPANA EMBRAGUE CB-190R [PZ]</t>
  </si>
  <si>
    <t>CAMPANA EMBRAGUE CB1-125 TUF [PZ]</t>
  </si>
  <si>
    <t>CAMPANA EMBRAGUE CBF-150 INVICTA [PZ]</t>
  </si>
  <si>
    <t>CAMPANA EMBRAGUE CENTRIFUGO SCOOTER (GY6) [PZ]</t>
  </si>
  <si>
    <t>CAMPANA EMBRAGUE CG-125 [PZ]</t>
  </si>
  <si>
    <t>CAMPANA EMBRAGUE FZ-16 [PZ]</t>
  </si>
  <si>
    <t>CAMPANA EMBRAGUE XR-150L [PZ]</t>
  </si>
  <si>
    <t>CAMPANA EMBRAGUE YBR-125 [PZ]</t>
  </si>
  <si>
    <t>CANASTILLO BIELA CHICO WR-250/YZ-250 [PZ]</t>
  </si>
  <si>
    <t>CANASTILLO BIELA GRANDE CBX-250/TORNADO/XL-200 [PZ]</t>
  </si>
  <si>
    <t>CANASTILLO BIELA GRANDE CG-150T/JOB/INVICTA [PZ]</t>
  </si>
  <si>
    <t>CANASTILLO CARCAZA MOTOR 15-23-12 [PZ]</t>
  </si>
  <si>
    <t>CANDADOS</t>
  </si>
  <si>
    <t>CANDADO CADENA 420 [PZ]</t>
  </si>
  <si>
    <t>CANDADO CADENA 428 [PZ]</t>
  </si>
  <si>
    <t>CANDADO CADENA 520 [PZ]</t>
  </si>
  <si>
    <t>CANDADO CADENA 520-O [PZ]</t>
  </si>
  <si>
    <t>CANDADO CADENA 530-O [PZ]</t>
  </si>
  <si>
    <t>CANDADO DISCO FRENO ''LUMA'' BASIC ENDURO 73C [PZ] VERDE</t>
  </si>
  <si>
    <t>CANDADO DISCO FRENO ''LUMA'' GRAN ENDURO 91D [PZ] AZUL</t>
  </si>
  <si>
    <t>CANDADO DISCO FRENO ''LUMA'' MINI ENDURO 92D [PZ] AZUL</t>
  </si>
  <si>
    <t>CANDADO DISCO FRENO ''LUMA'' MINI ENDURO 92D [PZ] NARANJO</t>
  </si>
  <si>
    <t>CANDADO DISCO FRENO ''LUMA'' NETLOCK 905 [PZ] AMARILLO</t>
  </si>
  <si>
    <t>CANDADO DISCO FRENO (AMARILLO) [PZ]</t>
  </si>
  <si>
    <t>CANDADO DISCO FRENO (ROJO) [PZ]</t>
  </si>
  <si>
    <t>CANDADO DISCO FRENO C/ALARMA Y RECORDATORIO [PZ] FLÚOR</t>
  </si>
  <si>
    <t>CANDADO DISCO FRENO C/ALARMA Y RECORDATORIO [PZ] ROJO</t>
  </si>
  <si>
    <t>CANDADO DISCO FRENO C/ALARMA [PZ]</t>
  </si>
  <si>
    <t>CANDADO MANILLA DE FRENO UNIVERSAL [PZ]</t>
  </si>
  <si>
    <t>CANDADO MANILLA FRENO (AZUL) [PZ]</t>
  </si>
  <si>
    <t>CANDADO MANILLA FRENO (CROMADO) [PZ]</t>
  </si>
  <si>
    <t>CANDADO MANILLA FRENO (DORADO) [PZ]</t>
  </si>
  <si>
    <t>CANDADO MANILLA FRENO (NEGRO) [PZ]</t>
  </si>
  <si>
    <t>CANDADO MANILLA FRENO (ROJO) [PZ]</t>
  </si>
  <si>
    <t>CANDADO MANILLA FRENO UNIVERSAL [PZ]</t>
  </si>
  <si>
    <t>CARBONES</t>
  </si>
  <si>
    <t>CARBONES MOTOR PARTIDA. JGO. CBF-150 INVICTA/XR-150L ''VINI'' [IM]</t>
  </si>
  <si>
    <t>CARBONES MOTOR PARTIDA. JGO. CG-125/XR-200 ''VINI'' [IM]</t>
  </si>
  <si>
    <t>CARBONES MOTOR PARTIDA. JGO. FZ-16 ''VINI'' [IM]</t>
  </si>
  <si>
    <t>CARBONES MOTOR PARTIDA. JGO. FZS/YZF R-15 ''VINI'' [IM]</t>
  </si>
  <si>
    <t>CARBONES MOTOR PARTIDA. JGO. GN-125/RKS-125/RKS-150 ''VINI'' [IM]</t>
  </si>
  <si>
    <t>CARBONES MOTOR PARTIDA. JGO. TIPO CG ''VINI [IM]</t>
  </si>
  <si>
    <t>CARBONES MOTOR PARTIDA. JGO. XTZ-125/YBR-125 ''VINI'' [IM]</t>
  </si>
  <si>
    <t>CARBURADOR</t>
  </si>
  <si>
    <t>CARBURADOR AN-125 [PZ]</t>
  </si>
  <si>
    <t>CARBURADORES</t>
  </si>
  <si>
    <t>CARBURADOR ATV-125 ''VINI'' [IM]</t>
  </si>
  <si>
    <t>CARBURADOR ATV/BICIMOTO 49CC (ST-50) ''VINI'' [IM]</t>
  </si>
  <si>
    <t>CARBURADOR AX-4 ''VINI'' [IM]</t>
  </si>
  <si>
    <t>CARBURADOR CB-1 (NORMAL) [PZ]</t>
  </si>
  <si>
    <t>CARBURADOR CB1 ASISTIDO INYECTADO [PZ]</t>
  </si>
  <si>
    <t>CARBURADOR CB1-125 ''VINI'' [IM]</t>
  </si>
  <si>
    <t>CARBURADOR CB1-125/CB125F TWISTER [PZ]</t>
  </si>
  <si>
    <t>CARBURADOR CG-100 (PZ19) [PZ]</t>
  </si>
  <si>
    <t>CARBURADOR CG-125 (PZ26) [PZ]</t>
  </si>
  <si>
    <t>CARBURADOR CG-125 TITAN [PZ]</t>
  </si>
  <si>
    <t>CARBURADOR CG-125/150/KA-150/RK-150 (PZ26) ''VINI'' [IM]</t>
  </si>
  <si>
    <t>CARBURADOR CG-150/RK-150/TTX-150 (PZ27) [PZ]</t>
  </si>
  <si>
    <t>CARBURADOR CG-200 (PZ30A) [PZ]</t>
  </si>
  <si>
    <t>CARBURADOR CG-200/250 DIAFRAGMA ''VINI'' [IM]</t>
  </si>
  <si>
    <t>CARBURADOR CG-200/TTX-250 LIMITED (PZ30B) C/BOMBA PIQUE [PZ]</t>
  </si>
  <si>
    <t>CARBURADOR CHOPPER-250 (DOBLE) [PZ]</t>
  </si>
  <si>
    <t>CARBURADOR DY-100 [PZ]</t>
  </si>
  <si>
    <t>CARBURADOR FZ-16 (1 CABLE) [PZ]</t>
  </si>
  <si>
    <t>CARBURADOR FZ-16 (DOBLE CABLE) ''VINI'' [IM]</t>
  </si>
  <si>
    <t>CARBURADOR FZ-16 (DOBLE CABLE) [PZ]</t>
  </si>
  <si>
    <t>CARBURADOR GIXXER-150 [PZ]</t>
  </si>
  <si>
    <t>CARBURADOR GN-125H (MODELO VIEJO) [PZ]</t>
  </si>
  <si>
    <t>CARBURADOR JH-70 [PZ]</t>
  </si>
  <si>
    <t>CARBURADOR JL-110/TA-110 (PZ22) [PZ]</t>
  </si>
  <si>
    <t>CARBURADOR KA-150 [PZ]</t>
  </si>
  <si>
    <t>CARBURADOR PE-30 ROJO ''VINI HOT PARTS'' [IM]</t>
  </si>
  <si>
    <t>CARBURADOR POCKET [PZ]</t>
  </si>
  <si>
    <t>CARBURADOR SCOOTER 125/150 [PZ]</t>
  </si>
  <si>
    <t>CARBURADOR SCOOTER-125 [PZ]</t>
  </si>
  <si>
    <t>CARBURADOR UNIVERSAL ''RACING'' 2T/4T [PZ]</t>
  </si>
  <si>
    <t>CARBURADOR UNIVERSAL (PZ30) [PZ]</t>
  </si>
  <si>
    <t>CARBURADOR XL-125S/CG-125 CHINA ''VINI'' [IM]</t>
  </si>
  <si>
    <t>CARBURADOR XTZ-125 (DOBLE CABLE) [PZ]</t>
  </si>
  <si>
    <t>CARBURADOR XV-250 (DOBLE PIOLA) [PZ]</t>
  </si>
  <si>
    <t>CARBURADOR YW-125 BWS ''VINI'' [IM]</t>
  </si>
  <si>
    <t>CARGADOR BATERIA 12V/10A [PZ]</t>
  </si>
  <si>
    <t>CARGADOR BATERIAS 6V/14V UNIVERSAL [PZ]</t>
  </si>
  <si>
    <t>CARGADOR NOTEBOOK UNIVERSAL [PZ]</t>
  </si>
  <si>
    <t>CARGADOR USB + ENCENDEDOR C/BOTON [PZ]</t>
  </si>
  <si>
    <t>CARGADOR USB [PZ]</t>
  </si>
  <si>
    <t>CARPA ATV VERDE (208*122*80 CMS) TALLA M [PZ]</t>
  </si>
  <si>
    <t>CARPA MOTOCICLETA (L) [PZ]</t>
  </si>
  <si>
    <t>CARPA MOTOCICLETA (M) [PZ]</t>
  </si>
  <si>
    <t>CARPA MOTOCICLETA (XL) [PZ]</t>
  </si>
  <si>
    <t>CARPA MOTOCICLETA (XXL) [PZ]</t>
  </si>
  <si>
    <t>CASCOS</t>
  </si>
  <si>
    <t>CASCO ABATIBLE 158 LINEA NEG/AMAR/FLUOR (XL) [PZ] XL Negro</t>
  </si>
  <si>
    <t>CASCO ABATIBLE 158 XECURO AMARILLO/FLUOR (XL) [PZ]</t>
  </si>
  <si>
    <t>CASCO ABATIBLE 158 XECURO NEG/ROJO (L) [PZ]</t>
  </si>
  <si>
    <t>CASCO ABATIBLE 158 XECURO NER/AMAR/FLUOR (XL) [PZ]</t>
  </si>
  <si>
    <t>CASCO ALEMÁN CHOPPER TALLA: L</t>
  </si>
  <si>
    <t>CASCO CROSS PRO-BIKER BLANCO (M) [PZ]</t>
  </si>
  <si>
    <t>CASCO GHB ROJO/NEGRO TALLA: L (SIN GARANTÍA)</t>
  </si>
  <si>
    <t>CASCO INTEGRAL 626 DOT SOLID MATTE BLACK L [PZ] L Negro</t>
  </si>
  <si>
    <t>CASCO INTEGRAL 626 DOT SOLID MATTE BLACK XL [PZ] XL Negro</t>
  </si>
  <si>
    <t>CASCO INTEGRAL HD BLANCO (M) [PZ] Blanco</t>
  </si>
  <si>
    <t>CASCO INTEGRAL HD NEGRO (M) [PZ] Negro</t>
  </si>
  <si>
    <t>CASCO INTEGRAL HD NEGRO (S) [PZ] S Negro</t>
  </si>
  <si>
    <t>CASCO INTEGRAL JH-801 ''FHORSE'' AMARILLO/NEGRO (L) [PZ]</t>
  </si>
  <si>
    <t>CASCO INTEGRAL JH-801 ''FHORSE'' AMARILLO/NEGRO (XL) [PZ]</t>
  </si>
  <si>
    <t>CASCO INTEGRAL JH-801 ''FHORSE'' NEGRO/GRIS (XL) [PZ]</t>
  </si>
  <si>
    <t>CASCO INTEGRAL JH-802 ''FHORSE'' NEGRO MATE (XL) [PZ] XL Negro</t>
  </si>
  <si>
    <t>CASCO INTEGRAL LS2 FF320 [OF] STREAM EVO FLAUX NEGRO/ROJO (TALLA: XL) [OF]</t>
  </si>
  <si>
    <t>CASCO INTEGRAL LS2 FF320 [OF] STREAM EVO XPLORER BLANCO/ROJO (TALLA: XXL) [OF]</t>
  </si>
  <si>
    <t>CASCO INTEGRAL LS2 FF320 [OF] STREAM EVO FLAUX NEGRO/ROJO (TALLA: L) [OF]</t>
  </si>
  <si>
    <t>CASCO INTEGRAL LS2 FF320 [OF] STREAM EVO HUNTER NARANJO/FLUOR MATTE (TALLA: M)</t>
  </si>
  <si>
    <t>CASCO INTEGRAL LS2 FF320 [OF] STREAM EVO HYPE (M)</t>
  </si>
  <si>
    <t>CASCO INTEGRAL LS2 FF320 [OF] STREAM EVO HYPE NEGRO/BLANCO/TITANIUM MATTE (TALLA: L) [OF]</t>
  </si>
  <si>
    <t>CASCO INTEGRAL LS2 FF320 [OF] STREAM EVO MERCURY MORADO/TITANIUM MATTE (TALLA: M) [OF]</t>
  </si>
  <si>
    <t>CASCO INTEGRAL LS2 FF320 [OF] XL Amarillo</t>
  </si>
  <si>
    <t>CASCO INTEGRAL LS2 FF320 [OF] XXL Blanco</t>
  </si>
  <si>
    <t>CASCO INTEGRAL LS2 FF352 [OF] CHROMA NEGRO/ROSA (TALLA: S) [OF]</t>
  </si>
  <si>
    <t>CASCO INTEGRAL LS2 FF352 [OF] FF352 CHROMA NEGRO/ROSA (TALLA: M)</t>
  </si>
  <si>
    <t>CASCO INTEGRAL LS2 FF352 [OF] FF352 IRONFACE NEGRO/ROSA (TALLA: M)</t>
  </si>
  <si>
    <t>CASCO INTEGRAL LS2 FF352 [OF] IRONFACE NEGRO/ROSA (TALLA: S) [OF]</t>
  </si>
  <si>
    <t>CASCO INTEGRAL LS2 FF352 [OF] MEIN NEGRO/AMARILLO MATTE (TALLA: L) [OF]</t>
  </si>
  <si>
    <t>CASCO INTEGRAL LS2 FF352 [OF] MEIN NEGRO/AMARILLO MATTE (TALLA: M) [OF]</t>
  </si>
  <si>
    <t>CASCO INTEGRAL LS2 FF352 [OF] MEIN NEGRO/ROJO MATTE (TALLA: M) [OF]</t>
  </si>
  <si>
    <t>CASCO INTEGRAL LS2 FF352 [OF] MEIN NEGRO/ROJO MATTE (TALLA: XL) [OF]</t>
  </si>
  <si>
    <t>CASCO INTEGRAL LS2 FF352 [OF] MEIN NEGRO/ROJO MATTE (TALLA: XXL) [OF]</t>
  </si>
  <si>
    <t>CASCO INTEGRAL LS2 FF352 [OF] MONO NEGRO MATTE (TALLA: XL) [OF]</t>
  </si>
  <si>
    <t>CASCO INTEGRAL LS2 FF352 [OF] MONO NEGRO MATTE (TALLA: XXL) [OF]</t>
  </si>
  <si>
    <t>CASCO INTEGRAL LS2 FF352 [OF] PALIMNESIS NEGRO/GRIS MATTE (TALLA: L) [OF]</t>
  </si>
  <si>
    <t>CASCO INTEGRAL LS2 FF352 [OF] PALIMNESIS NEGRO/GRIS MATTE (TALLA: M) [OF]</t>
  </si>
  <si>
    <t>CASCO INTEGRAL LS2 FF352 [OF] PALIMNESIS NEGRO/GRIS MATTE (TALLA: XL) [OF]</t>
  </si>
  <si>
    <t>CASCO INTEGRAL LS2 FF352 [OF] PALIMNESIS NEGRO/GRIS MATTE (TALLA: XXL) [OF]</t>
  </si>
  <si>
    <t>CASCO INTEGRAL LS2 FF353 [OF] RAPID GALE NEGRO/ROJO/VERDE MATTE (TALLA: M) [OF]</t>
  </si>
  <si>
    <t>CASCO INTEGRAL LS2 FF353 [OF] RAPID NAUGHTY AZUL/NARANJO MATTE (TALLA: L) [OF]</t>
  </si>
  <si>
    <t>CASCO INTEGRAL LS2 FF353 [OF] RAPID NAUGHTY AZUL/NARANJO MATTE (TALLA: XL) [OF]</t>
  </si>
  <si>
    <t>CASCO INTEGRAL LS2 FF353 [OF] RAPID NAUGHTY BLANCO/ROJO MATTE (TALLA: XL) [OF]</t>
  </si>
  <si>
    <t>CASCO INTEGRAL LS2 FF353 [OF] RAPID NAUGHTY BLANCO/ROJO MATTE (TALLA: XXL) [OF]</t>
  </si>
  <si>
    <t>CASCO INTEGRAL LS2 FF353 [OF] RAPID GALE NEGRO/ROJO/VERDE MATTE (TALLA: L) [OF]</t>
  </si>
  <si>
    <t>CASCO INTEGRAL LS2 FF353 [OF] RAPID NAUGHTY AZUL/NARANJO MATTE (TALLA: M) [OF]</t>
  </si>
  <si>
    <t>CASCO INTEGRAL M-61 CROWN NEG/AMAR MATE (XL) [PZ] XL</t>
  </si>
  <si>
    <t>CASCO INTEGRAL M-62 PLAIN NEG/AMARILLO MATTE XL [PZ]</t>
  </si>
  <si>
    <t>CASCO INTEGRAL M-62 PLAIN NEG/AZUL MATTE L [PZ] L</t>
  </si>
  <si>
    <t>CASCO INTEGRAL M-62 PLAIN NEG/ROJO MATTE XL [PZ] XL</t>
  </si>
  <si>
    <t>CASCO INTEGRAL M-62 TUNNEL NEGRO GRIS MATTE XL [PZ]</t>
  </si>
  <si>
    <t>CASCO JET AZUL (XL) [PZ] XL</t>
  </si>
  <si>
    <t>CASCO JET BLANCO (XL) [PZ] XL</t>
  </si>
  <si>
    <t>CASCO JET NEGRO (XL) [PZ] XL</t>
  </si>
  <si>
    <t>CASCO JET NEGRO MATE (XL) [PZ]</t>
  </si>
  <si>
    <t>CASCO JET ROSADO (XL) [PZ] XL</t>
  </si>
  <si>
    <t>CASCO JET TIPO CUERO AVESTRUZ NEGRO/ROJO (L) [PZ]</t>
  </si>
  <si>
    <t>CASCO VIKINGO C/ANTIPARRAS [PZ] L</t>
  </si>
  <si>
    <t>CATALINAS</t>
  </si>
  <si>
    <t>CATALINA (33D) CB-250 [PZ]</t>
  </si>
  <si>
    <t>CATALINA (36D) BICIMOTO 49CC (ST-50) [PZ]</t>
  </si>
  <si>
    <t>CATALINA (36D) EXPRESS-100 [PZ]</t>
  </si>
  <si>
    <t>CATALINA (38D) CG-125 [PZ]</t>
  </si>
  <si>
    <t>CATALINA (38D) GN-125H [PZ]</t>
  </si>
  <si>
    <t>CATALINA (38D) PULSAR-200NS [PZ]</t>
  </si>
  <si>
    <t>CATALINA (39) XRE-300 [PZ]</t>
  </si>
  <si>
    <t>CATALINA (39D) GPZ-400 [PZ]</t>
  </si>
  <si>
    <t>CATALINA (39D) GS-500 [PZ]</t>
  </si>
  <si>
    <t>CATALINA (39D) PULSAR-180 ''4 PERNOS'' [PZ]</t>
  </si>
  <si>
    <t>CATALINA (39D) PULSAR-200NS [PZ]</t>
  </si>
  <si>
    <t>CATALINA (39D) V-MEN-125 [PZ]</t>
  </si>
  <si>
    <t>CATALINA (40D) FZ-16 [PZ]</t>
  </si>
  <si>
    <t>CATALINA (40D) XTZ-250 [PZ]</t>
  </si>
  <si>
    <t>CATALINA (40D) YBR-125 [PZ]</t>
  </si>
  <si>
    <t>CATALINA (41D) CBR-500/CBR-500R/CB-500/CB-500F/CB-500X [PZ]</t>
  </si>
  <si>
    <t>CATALINA (41D) GN-125H [PZ]</t>
  </si>
  <si>
    <t>CATALINA (41D) GS-150R [PZ]</t>
  </si>
  <si>
    <t>CATALINA (41D) KEEWAY SUPERLIGHT-200 [PZ]</t>
  </si>
  <si>
    <t>CATALINA (41D) RENEGADE-200 [PZ]</t>
  </si>
  <si>
    <t>CATALINA (41D) XTZ-150 [PZ]</t>
  </si>
  <si>
    <t>CATALINA (42D) CG-150T/JOB/INVICTA/PULSAR-135 [PZ]</t>
  </si>
  <si>
    <t>CATALINA (42D) CG-150T/JOB/INVICTA/PULSAR-135/GL-1 (PIÑON 15T+CATALINA 42T+428HX132) [PZ]</t>
  </si>
  <si>
    <t>CATALINA (42D) DR-250/DR-650 [PZ]</t>
  </si>
  <si>
    <t>CATALINA (42D) PULSAR-180 [PZ]</t>
  </si>
  <si>
    <t>CATALINA (42D) RENEGADE-200 [PZ]</t>
  </si>
  <si>
    <t>CATALINA (42D) TIPO CG-125 [PZ]</t>
  </si>
  <si>
    <t>CATALINA (43D) CBF-150 INVICTA/CB1-125/GL-150 [PZ]</t>
  </si>
  <si>
    <t>CATALINA (43D) DR-650 [PZ]</t>
  </si>
  <si>
    <t>CATALINA (43D) GN-125/RKS-125/EN-125 [PZ]</t>
  </si>
  <si>
    <t>CATALINA (43D) GPX-250/GPZ-250/ NINJA [PZ]</t>
  </si>
  <si>
    <t>CATALINA (43D) MT-07/MT-10 [OF]</t>
  </si>
  <si>
    <t>CATALINA (43D) XL-200 BRASIL [PZ]</t>
  </si>
  <si>
    <t>CATALINA (44D) CG-125 TITAN/LF150-10F [PZ]</t>
  </si>
  <si>
    <t>CATALINA (44D) XR-250/CRF-230/CRF-250L [PZ]</t>
  </si>
  <si>
    <t>CATALINA (44D) YD-110 CRUX/YBR-125 [PZ]</t>
  </si>
  <si>
    <t>CATALINA (45D) CB-190 [PZ]</t>
  </si>
  <si>
    <t>CATALINA (45D) DR-200/SX-200 (PIÑON 15T+CATALINA 45T+520HX120) [PZ]</t>
  </si>
  <si>
    <t>CATALINA (45D) DR-200/SX-200 [PZ]</t>
  </si>
  <si>
    <t>CATALINA (45D) FZ-250/FAZER-250/R15 V3 [PZ]</t>
  </si>
  <si>
    <t>CATALINA (45D) GIXXER-150 [PZ]</t>
  </si>
  <si>
    <t>CATALINA (45D) GN-125H [PZ]</t>
  </si>
  <si>
    <t>CATALINA (45D) NK-150 [PZ]</t>
  </si>
  <si>
    <t>CATALINA (45D) TENERE-600/XT-600/VIRAGO-250/XV-250 [PZ]</t>
  </si>
  <si>
    <t>CATALINA (46D) (CENTRO CG) [PZ]</t>
  </si>
  <si>
    <t>CATALINA (46D) AKT AK-125 [PZ]</t>
  </si>
  <si>
    <t>CATALINA (46D) TVS APACHE [PZ]</t>
  </si>
  <si>
    <t>CATALINA (46D) XTZ-250 (PASO 428) [PZ]</t>
  </si>
  <si>
    <t>CATALINA (47D) DL-650 V-STROM/TRANSALP-650 [PZ]</t>
  </si>
  <si>
    <t>CATALINA (47D) YZF-R15 [PZ]</t>
  </si>
  <si>
    <t>CATALINA (48D) GXT-200/TS-125ER [PZ]</t>
  </si>
  <si>
    <t>CATALINA (48D) XR-150L/XR-190L [PZ]</t>
  </si>
  <si>
    <t>CATALINA (48D) XTZ-125 [PZ]</t>
  </si>
  <si>
    <t>CATALINA (50D) DSR-200 [PZ]</t>
  </si>
  <si>
    <t>CATALINA (50D) DSR-200/DSR-230/DSR2-50 [PZ]</t>
  </si>
  <si>
    <t>CATALINA (54D) XR-125L/NXR-150 BROS [PZ]</t>
  </si>
  <si>
    <t>EMBRAGUES</t>
  </si>
  <si>
    <t>CENTRO EMBRAGUE CG-125 [PZ]</t>
  </si>
  <si>
    <t>CEPILLO LIMPIA CADENA UNIVERSAL [PZ]</t>
  </si>
  <si>
    <t>CEPILLO LIMPIEZA [PZ]</t>
  </si>
  <si>
    <t>CERA LIQUIDA ''SENFINECO'' 380ML [OF]</t>
  </si>
  <si>
    <t>CHAPAS DE CONTACTO</t>
  </si>
  <si>
    <t>CHAPA CONTACTO AKT AK-110 [PZ]</t>
  </si>
  <si>
    <t>CHAPA CONTACTO AKT AK-125TT/AK-150TT [PZ]</t>
  </si>
  <si>
    <t>CHAPA CONTACTO ATV 4 CABLES [PZ]</t>
  </si>
  <si>
    <t>CHAPA CONTACTO AX-100 [PZ]</t>
  </si>
  <si>
    <t>CHAPA CONTACTO BAJAJ DISCOVER-125 [PZ]</t>
  </si>
  <si>
    <t>CHAPA CONTACTO BAJAJ PLATINO-125 [PZ]</t>
  </si>
  <si>
    <t>CHAPA CONTACTO BEST-125 [PZ]</t>
  </si>
  <si>
    <t>CHAPA CONTACTO BOXER CT-100 [PZ]</t>
  </si>
  <si>
    <t>CHAPA CONTACTO CB-190R [PZ]</t>
  </si>
  <si>
    <t>CHAPA CONTACTO CBF-150 INVICTA &amp; NEW INVICTA ''HQ'' [PZ]</t>
  </si>
  <si>
    <t>CHAPA CONTACTO CBX-250 TWISTER [PZ]</t>
  </si>
  <si>
    <t>CHAPA CONTACTO CGL-125 ''VINI'' [IM]</t>
  </si>
  <si>
    <t>CHAPA CONTACTO DR-200 [PZ]</t>
  </si>
  <si>
    <t>CHAPA CONTACTO ELITE-125/SCOOTER-125 [PZ]</t>
  </si>
  <si>
    <t>CHAPA CONTACTO FZ-16/FZN-150 (2.0)/YZF R-15 [PZ]</t>
  </si>
  <si>
    <t>CHAPA CONTACTO GIXXER-150/EN-125/APRILIA-150 [PZ]</t>
  </si>
  <si>
    <t>CHAPA CONTACTO GN-125 [PZ]</t>
  </si>
  <si>
    <t>CHAPA CONTACTO GXT-200 (4 CABLES) [PZ]</t>
  </si>
  <si>
    <t>CHAPA CONTACTO GY/WX125 [PZ]</t>
  </si>
  <si>
    <t>CHAPA CONTACTO MB-100 [PZ]</t>
  </si>
  <si>
    <t>CHAPA CONTACTO NK-150 [PZ]</t>
  </si>
  <si>
    <t>CHAPA CONTACTO PULSAR-125NS [PZ]</t>
  </si>
  <si>
    <t>CHAPA CONTACTO PULSAR-200NS [PZ]</t>
  </si>
  <si>
    <t>CHAPA CONTACTO SCOOTER 2 PERNOS [PZ]</t>
  </si>
  <si>
    <t>CHAPA CONTACTO SCOOTER 3 PERNOS [PZ]</t>
  </si>
  <si>
    <t>CHAPA CONTACTO T-110 CRYPTON [PZ]</t>
  </si>
  <si>
    <t>CHAPA CONTACTO TIPO GN-125H (4 CABLES) [PZ]</t>
  </si>
  <si>
    <t>CHAPA CONTACTO TIPO MB-100 (2 CABLES) ''VINI'' [IM]</t>
  </si>
  <si>
    <t>CHAPA CONTACTO TIPO MB-100 (2 CABLES) [PZ]</t>
  </si>
  <si>
    <t>CHAPA CONTACTO TX-200 [PZ]</t>
  </si>
  <si>
    <t>CHAPA CONTACTO XTZ-125 [PZ]</t>
  </si>
  <si>
    <t>CHAPA CONTACTO YBR-125/XTZ-125 [PZ]</t>
  </si>
  <si>
    <t>CHAPA CONTACTO YBR-Z [PZ]</t>
  </si>
  <si>
    <t>CHAPA CONTACTO YW-100 BWS [PZ]</t>
  </si>
  <si>
    <t>CHAPA CONTACTO YW-125 BWS [PZ]</t>
  </si>
  <si>
    <t>TELECOMANDOS</t>
  </si>
  <si>
    <t>CHAPA LUCES (DER) FZ-16 [PZ]</t>
  </si>
  <si>
    <t>CHAPA LUCES (DER) GIXXER-150 ''VINI'' [IM]</t>
  </si>
  <si>
    <t>CHAPA LUCES (DER) GN-125 ''VINI'' [IM]</t>
  </si>
  <si>
    <t>CHAPA LUCES (DER) GS-150</t>
  </si>
  <si>
    <t>CHAPA LUCES (DER) HJ125-7 [PZ]</t>
  </si>
  <si>
    <t>CHAPA LUCES (DER) KA-150 [PZ]</t>
  </si>
  <si>
    <t>CHAPA LUCES (DER) MOTO CHINA [PZ]</t>
  </si>
  <si>
    <t>CHAPA LUCES (DER) MOTO XTZ-250 [PZ]</t>
  </si>
  <si>
    <t>CHAPA LUCES (DER) NK-150 [PZ]</t>
  </si>
  <si>
    <t>CHAPA LUCES (DER) PULSAR-200 NS [PZ]</t>
  </si>
  <si>
    <t>CHAPA LUCES (DER) PULSAR-200NS ''VINI'' [IM]</t>
  </si>
  <si>
    <t>CHAPA LUCES (DER) RENEGADE-200 [PZ]</t>
  </si>
  <si>
    <t>CHAPA LUCES (DER) SCOOTER-125/150 [PZ]</t>
  </si>
  <si>
    <t>CHAPA LUCES (DER) UNIVERSAL [PZ]</t>
  </si>
  <si>
    <t>CHAPA LUCES (IZQ) ATV [PZ]</t>
  </si>
  <si>
    <t>CHAPA LUCES (IZQ) CBX-200 [PZ]</t>
  </si>
  <si>
    <t>CHAPA LUCES (IZQ) CBX-250 TWISTER [PZ]</t>
  </si>
  <si>
    <t>CHAPA LUCES (IZQ) CBX-250 [PZ]</t>
  </si>
  <si>
    <t>CHAPA LUCES (IZQ) CG-100/MB-100 [PZ]</t>
  </si>
  <si>
    <t>CHAPA LUCES (IZQ) CG-125 TITAN [PZ]</t>
  </si>
  <si>
    <t>CHAPA LUCES (IZQ) CG-125T/CARGO [PZ]</t>
  </si>
  <si>
    <t>CHAPA LUCES (IZQ) CG-150TITAN/JOB [PZ]</t>
  </si>
  <si>
    <t>CHAPA LUCES (IZQ) FZ-16 [PZ]</t>
  </si>
  <si>
    <t>CHAPA LUCES (IZQ) GIXXER-150 ''VINI'' [IM]</t>
  </si>
  <si>
    <t>CHAPA LUCES (IZQ) GN-125 ''VINI'' [IM]</t>
  </si>
  <si>
    <t>CHAPA LUCES (IZQ) GN-125H C/MANILLAR [PZ]</t>
  </si>
  <si>
    <t>CHAPA LUCES (IZQ) GS-125 [PZ]</t>
  </si>
  <si>
    <t>CHAPA LUCES (IZQ) HJ125-7 [PZ]</t>
  </si>
  <si>
    <t>CHAPA LUCES (IZQ) JL150GY-3 [PZ]</t>
  </si>
  <si>
    <t>CHAPA LUCES (IZQ) JL250-A [PZ]</t>
  </si>
  <si>
    <t>CHAPA LUCES (IZQ) KA-150 [PZ]</t>
  </si>
  <si>
    <t>CHAPA LUCES (IZQ) NK-150 [PZ]</t>
  </si>
  <si>
    <t>CHAPA LUCES (IZQ) NX-400 FALCON [PZ]</t>
  </si>
  <si>
    <t>CHAPA LUCES (IZQ) NXR-125 [PZ]</t>
  </si>
  <si>
    <t>CHAPA LUCES (IZQ) NXR-150 BROSS [PZ]</t>
  </si>
  <si>
    <t>CHAPA LUCES (IZQ) PULSAR-200NS ''VINI'' [IM]</t>
  </si>
  <si>
    <t>CHAPA LUCES (IZQ) SCOOTER-125/150 [PZ]</t>
  </si>
  <si>
    <t>CHAPA LUCES (IZQ) TIPO CG CHINA [PZ]</t>
  </si>
  <si>
    <t>CHAPA LUCES (IZQ) TITAN 00/04 [PZ]</t>
  </si>
  <si>
    <t>CHAPA LUCES (IZQ) TITAN 94/99 [PZ]</t>
  </si>
  <si>
    <t>CHAPA LUCES (IZQ) TITAN/NXR-125 [PZ]</t>
  </si>
  <si>
    <t>CHAPA LUCES (IZQ) UNIVERSAL [PZ]</t>
  </si>
  <si>
    <t>CHAPA LUCES (IZQ) XLR-125 [PZ]</t>
  </si>
  <si>
    <t>CHAPA LUCES (IZQ) XR-125L [PZ]</t>
  </si>
  <si>
    <t>CHAPA LUCES (IZQ) XR-200 (BRASIL) [PZ]</t>
  </si>
  <si>
    <t>CHAPA LUCES (IZQ) YBR-125 ''VINI'' [IM]</t>
  </si>
  <si>
    <t>CHAPA LUCES FZ-16 [PZ] DERECHA</t>
  </si>
  <si>
    <t>CHAPA LUCES FZ-16 [PZ] IZQUIERDA</t>
  </si>
  <si>
    <t>CHAPA LUCES GXT-200 [PZ] DERECHA</t>
  </si>
  <si>
    <t>CHAPA LUCES GXT-200 [PZ] IZQUIERDA</t>
  </si>
  <si>
    <t>CHAPA LUCES UNIVERSAL [PZ]</t>
  </si>
  <si>
    <t>SOLENOIDES</t>
  </si>
  <si>
    <t>CHAPA PARTIDA DR-200/INTRUDER/GXT-200 [PZ]</t>
  </si>
  <si>
    <t>CHAPA PARTIDA FZ-16/FZN-150 2.0 [PZ]</t>
  </si>
  <si>
    <t>CHAPA PARTIDA GN-125H/RK-150/AN-125/EN-125/RKS [PZ]</t>
  </si>
  <si>
    <t>CHAPA PARTIDA NXR-150 [PZ]</t>
  </si>
  <si>
    <t>CHAPA PARTIDA PULSAR-200NS [PZ]</t>
  </si>
  <si>
    <t>CHAPA PARTIDA UNIVERSAL 2 CABLES [PZ]</t>
  </si>
  <si>
    <t>CHAPA PARTIDA UNIVERSAL [PZ]</t>
  </si>
  <si>
    <t>CHAPA PARTIDA UNIVERSAL/LF150-10F ''VINI'' [IM]</t>
  </si>
  <si>
    <t>CHAPA PARTIDA UNIVERSAL/LF150GY-4 ''VINI'' [IM]</t>
  </si>
  <si>
    <t>CHAPA PARTIDA XCD-125/DISCOVER-1352CABLES [PZ]</t>
  </si>
  <si>
    <t>CHAPA PARTIDA XR-250 TORNADO [PZ]</t>
  </si>
  <si>
    <t>CHAPA PARTIDA YBR-125/YS-250 FAZER [PZ]</t>
  </si>
  <si>
    <t>CHAPAS. JGO. BICIMOTO 49CC (ST-50) [PZ]</t>
  </si>
  <si>
    <t>CHAPAS. JGO. BOXER CT-100 [PZ]</t>
  </si>
  <si>
    <t>CHAPAS. JGO. CBF-150 INVICTA [PZ]</t>
  </si>
  <si>
    <t>CHAPAS. JGO. CBT [PZ]</t>
  </si>
  <si>
    <t>CHAPAS. JGO. CG-125 [PZ]</t>
  </si>
  <si>
    <t>CHAPAS. JGO. EXPRESS-100 [PZ]</t>
  </si>
  <si>
    <t>CHAPAS. JGO. FZ-16 [PZ]</t>
  </si>
  <si>
    <t>CHAPAS. JGO. GIXXER-150 [PZ]</t>
  </si>
  <si>
    <t>CHAPAS. JGO. GXT-200 ''MOTARD'' [PZ]</t>
  </si>
  <si>
    <t>CHAPAS. JGO. NK-150 [PZ]</t>
  </si>
  <si>
    <t>CHAPAS. JGO. PULSAR-125/PULSAR-135 [PZ]</t>
  </si>
  <si>
    <t>CHAPAS. JGO. RKS-150/RKS-200 (6 PERNOS) [PZ]</t>
  </si>
  <si>
    <t>CHAPAS. JGO. SCOOTER 2 TOMAS [PZ]</t>
  </si>
  <si>
    <t>CHAPAS. JGO. SCOOTER [PZ]</t>
  </si>
  <si>
    <t>CHAPAS</t>
  </si>
  <si>
    <t>CHAPAS. JGO. SCOOTER-125/150 [PZ]</t>
  </si>
  <si>
    <t>CHAPAS. JGO. XR-150L [PZ]</t>
  </si>
  <si>
    <t>CHAPAS. JGO. XTZ-125 [PZ]</t>
  </si>
  <si>
    <t>CIGUEÑALES</t>
  </si>
  <si>
    <t>CHAVETA CIGUEÑAL CG-125 [PZ]</t>
  </si>
  <si>
    <t>CHICHARA 1/2'' (SIN DADOS) [PZ]</t>
  </si>
  <si>
    <t>CIGUEÑAL COMPLETO CB1-125 [PZ]</t>
  </si>
  <si>
    <t>CIGUEÑAL COMPLETO CG-200 [PZ]</t>
  </si>
  <si>
    <t>CIGUEÑAL COMPLETO CG-250 [PZ]</t>
  </si>
  <si>
    <t>CIGUEÑAL COMPLETO FZ-16 [PZ]</t>
  </si>
  <si>
    <t>CIGUEÑAL COMPLETO GIXXER-150 [PZ]</t>
  </si>
  <si>
    <t>CIGUEÑAL COMPLETO JL110/TA110 [PZ]</t>
  </si>
  <si>
    <t>CIGUEÑAL COMPLETO RENEGADE-200 [PZ]</t>
  </si>
  <si>
    <t>CIGUEÑAL COMPLETO XR-125L [PZ]</t>
  </si>
  <si>
    <t>CILINDROS</t>
  </si>
  <si>
    <t>CILINDRO XL-/XR-200 BRASIL (STD) 63.5MM [PZ]</t>
  </si>
  <si>
    <t>CILINDRO YBR-125 (STD) 54MM [PZ]</t>
  </si>
  <si>
    <t>ESCAPES</t>
  </si>
  <si>
    <t>CINTA PROTECTORA ESCAPE (AMARILLO) [PZ]</t>
  </si>
  <si>
    <t>CINTA PROTECTORA ESCAPE (AZUL) [PZ]</t>
  </si>
  <si>
    <t>CINTA PROTECTORA ESCAPE (BEIGE) [PZ]</t>
  </si>
  <si>
    <t>CINTA PROTECTORA ESCAPE (BLANCO) [PZ]</t>
  </si>
  <si>
    <t>CINTA PROTECTORA ESCAPE (ROJO) [PZ]</t>
  </si>
  <si>
    <t>CINTA PROTECTORA ESCAPE [PZ]</t>
  </si>
  <si>
    <t>COLLARIN TUBO ESCAPE XR-250R [PZ]</t>
  </si>
  <si>
    <t>ELECTRICOS</t>
  </si>
  <si>
    <t>CONECTOR MACHO 2 PIN [PZ]</t>
  </si>
  <si>
    <t>CONECTORES</t>
  </si>
  <si>
    <t>CONECTOR MACHO 4 PIN [PZ]</t>
  </si>
  <si>
    <t>CONECTOR MACHO 6 PIN [PZ]</t>
  </si>
  <si>
    <t>CONECTOR MACHO RECTANGULAR 2 PINES [PZ]</t>
  </si>
  <si>
    <t>CONECTOR PLASTICO PARA CABLES [PZ]</t>
  </si>
  <si>
    <t>CORREA BATERÍA UNIVERSAL [PZ]</t>
  </si>
  <si>
    <t>CORREAS DE TRANSMISIÓN</t>
  </si>
  <si>
    <t>CORREA TRANSMISION 743-20-30 ELITE/NEW ELITE ''VINI'' [IM]</t>
  </si>
  <si>
    <t>CORREA TRANSMISION 743-20-30 ELITE/NEW ELITE [PZ]</t>
  </si>
  <si>
    <t>CORREA TRANSMISION 757-17-29 YW-100 BWS [PZ]</t>
  </si>
  <si>
    <t>CORREA TRANSMISION 781-20-30 KYMCO AGILITY-125/150 [PZ]</t>
  </si>
  <si>
    <t>CORREA TRANSMISION 809-21-26 YW-125 BWS/CYGNUS [PZ]</t>
  </si>
  <si>
    <t>CORREA TRANSMISION 828-18-30 AT-115C (NOUVO) [PZ]</t>
  </si>
  <si>
    <t>CORREA TRANSMISION 835-20-30 ''VINI'' [IM]</t>
  </si>
  <si>
    <t>CORREA TRANSMISION 835-20-30 [IM]</t>
  </si>
  <si>
    <t>CORREA TRANSMISION 842-20-30 ''VINI'' [IM]</t>
  </si>
  <si>
    <t>CORREA TRANSMISION 842-20-30 [PZ]</t>
  </si>
  <si>
    <t>CORREA TRANSMISION 906-22.5-30 KEEWAY CITYBLADE[PZ]</t>
  </si>
  <si>
    <t>CORREA TRANSMISION AN-125 ''VINI'' [IM]</t>
  </si>
  <si>
    <t>CORREA TRANSMISION HONDA-NAVI [PZ]</t>
  </si>
  <si>
    <t>CORREA TRANSMISION VS-125 [PZ]</t>
  </si>
  <si>
    <t>CORREA TRANSMISION YW-125 BWS ''VINI'' [IM]</t>
  </si>
  <si>
    <t>CORREA TRANSMISION YW-125 BWS [PZ]</t>
  </si>
  <si>
    <t>CUBETAS DE DIRECCIÓN</t>
  </si>
  <si>
    <t>CUBETAS DIRECCION. JGO. AN-125/CRYSTAL-125 [PZ]</t>
  </si>
  <si>
    <t>CUBETAS DIRECCION. JGO. AX-100 ''VINI'' [IM]</t>
  </si>
  <si>
    <t>CUBETAS DIRECCION. JGO. CB1-125 (26-45-12/34-54-13) [PZ]</t>
  </si>
  <si>
    <t>CUBETAS DIRECCION. JGO. CBF-150 INVICTA [PZ]</t>
  </si>
  <si>
    <t>CUBETAS DIRECCION. JGO. CBF-150 INVICTA/CB-190 ''VINI'' [IM]</t>
  </si>
  <si>
    <t>CUBETAS DIRECCION. JGO. CG-125 [PZ]</t>
  </si>
  <si>
    <t>CUBETAS DIRECCION. JGO. DSR-200 [PZ]</t>
  </si>
  <si>
    <t>CUBETAS DIRECCION. JGO. DY-125 [PZ]</t>
  </si>
  <si>
    <t>CUBETAS DIRECCION. JGO. FZ-16 [PZ]</t>
  </si>
  <si>
    <t>CUBETAS DIRECCION. JGO. GIXXER-150 [PZ]</t>
  </si>
  <si>
    <t>CUBETAS DIRECCION. JGO. GN-125H [PZ]</t>
  </si>
  <si>
    <t>CUBETAS DIRECCION. JGO. GN-125H/GIXXER-150/RKS/RENEGADE-200 ''VINI'' [IM]</t>
  </si>
  <si>
    <t>CUBETAS DIRECCION. JGO. GS-150R [PZ]</t>
  </si>
  <si>
    <t>CUBETAS DIRECCION. JGO. GXT-200 (30-55-17/25-52-16.25) [PZ]</t>
  </si>
  <si>
    <t>CUBETAS DIRECCION. JGO. PULSAR-200NS [PZ]</t>
  </si>
  <si>
    <t>CUBETAS DIRECCION. JGO. XR-125L/XR-150L/XR-190L/XR-250 TORNADO ''RIFFEL'' (47-26-15) [PZ]</t>
  </si>
  <si>
    <t>CUBETAS DIRECCION. JGO. XTZ-125 ''VINI''</t>
  </si>
  <si>
    <t>CUBETAS DIRECCION. JGO. XTZ-125 [PZ]</t>
  </si>
  <si>
    <t>CUBETAS DIRECCION. JGO. XTZ-150 [PZ]</t>
  </si>
  <si>
    <t>CUBETAS DIRECCION. JGO. YBR-125/FZ-16/YD-110 CRUX [PZ]</t>
  </si>
  <si>
    <t>CUBETAS DIRECCION. JGO. YZF-R15 (ANTIGUA)(41-24-12) ''VINI'' [IM]</t>
  </si>
  <si>
    <t>CUBETAS DIRECCION. JGO. YZF-R15 NUEVA ''VINI'' [IM]</t>
  </si>
  <si>
    <t>CUBETAS DIRECCION. JGO. YZF-R15 [PZ]</t>
  </si>
  <si>
    <t>CUBRE ASIENTO (TIPO CUERO) [PZ]</t>
  </si>
  <si>
    <t>CUBRE CABLE TERMORETRACTIL (150 PCS) [PZ]</t>
  </si>
  <si>
    <t>CUBRE CABLE TERMORETRACTIL (385 PCS) [PZ]</t>
  </si>
  <si>
    <t>CUBRE CABLE TERMORETRACTIL (580 PCS) [PZ]</t>
  </si>
  <si>
    <t>CUBRE CABLE TERMORETRACTIL C/ METAL [PZ]</t>
  </si>
  <si>
    <t>TAPAS PLASTICAS</t>
  </si>
  <si>
    <t>CUBRE CADENA Y GUARDAFANGO FZ-16 [PZ]</t>
  </si>
  <si>
    <t>CUBRE CALZADO IMPERMEABLE LLUVIA ''TALLA L'' [PZ]</t>
  </si>
  <si>
    <t>CUBRE CALZADO IMPERMEABLE LLUVIA ''TALLA XL'' [PZ]</t>
  </si>
  <si>
    <t>CUBRE CALZADO IMPERMEABLE UNIVERSAL [PZ]</t>
  </si>
  <si>
    <t>CUBRE MANILLA GOMA MORADO [PZ]</t>
  </si>
  <si>
    <t>CUBRE MANILLA GOMA NARANJA [PZ]</t>
  </si>
  <si>
    <t>CUBRE MANUBRIO [PZ]</t>
  </si>
  <si>
    <t>CUBRE PIERNAS TIPO CUERO [PZ]</t>
  </si>
  <si>
    <t>CUBRE PUÑOS UNIVERSAL [OF]</t>
  </si>
  <si>
    <t>CUBRE RAYOS. JGO. 72 PCS. [PZ]</t>
  </si>
  <si>
    <t>CUERNOS PARA CASCO [PZ]</t>
  </si>
  <si>
    <t>CULATAS</t>
  </si>
  <si>
    <t>CULATA COMPLETA CB1-125 [PZ]</t>
  </si>
  <si>
    <t>CULATA COMPLETA GXT-200 [PZ]</t>
  </si>
  <si>
    <t>CULATA COMPLETA SCOOTER-150 [PZ]</t>
  </si>
  <si>
    <t>CUÑETE: ACEITE MOTOR ''LIQUI MOLY'' 10W/40 SINTÉTICO (STREET) [OF]</t>
  </si>
  <si>
    <t>CUÑETE: ACEITE MOTOR ''LIQUI MOLY'' 20W/50 SINTÉTICO (STREET) [OF]</t>
  </si>
  <si>
    <t>DADO HEXAGONAL (43-46MM) [PZ]</t>
  </si>
  <si>
    <t>DAMPERS</t>
  </si>
  <si>
    <t>DAMPER CATALINA AVENGER-220 [PZ]</t>
  </si>
  <si>
    <t>DAMPER CATALINA JGO. CB1/INVICTA/CB-190/NEW-STORM/LF150-10F [PZ=EVEREST] [IM=VINI] ''EVEREST''</t>
  </si>
  <si>
    <t>DAMPER CATALINA JGO. CB1/INVICTA/CB-190/NEW-STORM/LF150-10F [PZ=EVEREST] [IM=VINI] ''VINI''</t>
  </si>
  <si>
    <t>DAMPER CATALINA JGO. CB1/INVICTA/CB-190/NEW-STORM/LF150-10F [PZ]</t>
  </si>
  <si>
    <t>DAMPER CATALINA JGO. CG-125 (BUJES) [PZ]</t>
  </si>
  <si>
    <t>DAMPER CATALINA JGO. CG-125 [PZ]</t>
  </si>
  <si>
    <t>DAMPER CATALINA JGO. CGL-125 [PZ]</t>
  </si>
  <si>
    <t>DAMPER CATALINA JGO. CGL-125/FZ-16/YBR-125 ''VINI'' [IM]</t>
  </si>
  <si>
    <t>DAMPER CATALINA JGO. CGL-200 [PZ]</t>
  </si>
  <si>
    <t>DAMPER CATALINA JGO. DOMINAR-400 [PZ]</t>
  </si>
  <si>
    <t>DAMPER CATALINA JGO. EN-125/GN-125H/HJ125-7 [PZ]</t>
  </si>
  <si>
    <t>DAMPER CATALINA JGO. FZ-16 [PZ]</t>
  </si>
  <si>
    <t>DAMPER CATALINA JGO. FZ-25/R-15 V3 [PZ]</t>
  </si>
  <si>
    <t>DAMPER CATALINA JGO. GIXXER-150 [PZ]</t>
  </si>
  <si>
    <t>DAMPER CATALINA JGO. GN-125/HJ125-7/EN-125/TTX-150 ''VINI'' [IM]</t>
  </si>
  <si>
    <t>DAMPER CATALINA JGO. PULSAR-200NS [PZ]</t>
  </si>
  <si>
    <t>DAMPER CATALINA JGO. RENEGADE-200 [PZ]</t>
  </si>
  <si>
    <t>DAMPER CATALINA JGO. V-MEN-125 ''VINI'' [IM]</t>
  </si>
  <si>
    <t>DAMPER CATALINA JGO. WY-125/150 [PZ]</t>
  </si>
  <si>
    <t>DAMPER CATALINA UNIDAD KA-150 [PZ]</t>
  </si>
  <si>
    <t>DAMPER CATALINA UNIDAD XL-125/185/CTX-200 [PZ]</t>
  </si>
  <si>
    <t>DEPOSITOS</t>
  </si>
  <si>
    <t>DEPOSITO LIQUIDO FRENO (AZUL) [PZ]</t>
  </si>
  <si>
    <t>DEPOSITO LIQUIDO FRENO (NEGRO) [PZ]</t>
  </si>
  <si>
    <t>DEPOSITO LIQUIDO FRENO (ROJO) [PZ]</t>
  </si>
  <si>
    <t>DEPOSITO LIQUIDO FRENO ATV [PZ]</t>
  </si>
  <si>
    <t>DESLIZADOR CADENA DSR-200 [PZ]</t>
  </si>
  <si>
    <t>DESLIZADOR CADENA GXT-200 [PZ]</t>
  </si>
  <si>
    <t>DESLIZADORES</t>
  </si>
  <si>
    <t>DESLIZADOR CADENA RKS-150 [PZ]</t>
  </si>
  <si>
    <t>DESLIZADOR CADENA UNIVERSAL (VERDE) [PZ]</t>
  </si>
  <si>
    <t>DESLIZADOR CADENA XR-250 TORNADO ''VINI'' [IM]</t>
  </si>
  <si>
    <t>MAQUINARIA</t>
  </si>
  <si>
    <t>DESMONTADORA NEUMATICOS HIDRAULICA [OF]</t>
  </si>
  <si>
    <t>DESTORNILLADOR IMPACTO [PZ]</t>
  </si>
  <si>
    <t>DISCOS DE EMBRAGUE</t>
  </si>
  <si>
    <t>DISCO EMBRAGUE AG-200 (4) [PZ]</t>
  </si>
  <si>
    <t>DISCO EMBRAGUE CB1-125 TUF [PZ]</t>
  </si>
  <si>
    <t>DISCO EMBRAGUE CBF-150 INVICTA [PZ]</t>
  </si>
  <si>
    <t>DISCO EMBRAGUE DT-200R/FZR-400 (3XK) [PZ]</t>
  </si>
  <si>
    <t>DISCO EMBRAGUE FZ-16 ''ICHIBAN'' (MS6)/(377) [PZ]</t>
  </si>
  <si>
    <t>DISCO EMBRAGUE FZ-16/XR-250 TORNADO [PZ]</t>
  </si>
  <si>
    <t>DISCO EMBRAGUE GN-125/GXT-200 [PZ]</t>
  </si>
  <si>
    <t>DISCO EMBRAGUE GPZ-400 [PZ]</t>
  </si>
  <si>
    <t>DISCO EMBRAGUE PULSAR-125 [PZ]</t>
  </si>
  <si>
    <t>DISCO EMBRAGUE PULSAR-180/KTM-390 [PZ]</t>
  </si>
  <si>
    <t>DISCO EMBRAGUE XR-300E (1)/BENELLI RK6 (8)/XL-250 [PZ]</t>
  </si>
  <si>
    <t>DISCOS DE FRENO</t>
  </si>
  <si>
    <t>DISCO FRENO DELANTERO AGILITY-125 [PZ]</t>
  </si>
  <si>
    <t>DISCO FRENO DELANTERO AKT AK-110S [PZ]</t>
  </si>
  <si>
    <t>DISCO FRENO DELANTERO AKT AK-200 [PZ]</t>
  </si>
  <si>
    <t>DISCO FRENO DELANTERO AKT-125/MAX-150/TK-150 [PZ]</t>
  </si>
  <si>
    <t>DISCO FRENO DELANTERO AN-125 [PZ]</t>
  </si>
  <si>
    <t>DISCO FRENO DELANTERO BAJAJ DISCOVER-125/XCD-125 [PZ]</t>
  </si>
  <si>
    <t>DISCO FRENO DELANTERO BWS-125 (DER) [PZ]</t>
  </si>
  <si>
    <t>DISCO FRENO DELANTERO CB-125F TWISTER/CBF-150 INVICTA [PZ]</t>
  </si>
  <si>
    <t>DISCO FRENO DELANTERO CB-160 [PZ]</t>
  </si>
  <si>
    <t>DISCO FRENO DELANTERO CB-190R [PZ]</t>
  </si>
  <si>
    <t>DISCO FRENO DELANTERO CB-190R/CBX-250 [PZ]</t>
  </si>
  <si>
    <t>DISCO FRENO DELANTERO CBF-150 INVICTA/NEW-STORM/CB-125F TWISTER [PZ]</t>
  </si>
  <si>
    <t>DISCO FRENO DELANTERO CBR-250 [PZ]</t>
  </si>
  <si>
    <t>DISCO FRENO DELANTERO DR-200 [PZ]</t>
  </si>
  <si>
    <t>DISCO FRENO DELANTERO DR-600 [PZ]</t>
  </si>
  <si>
    <t>DISCO FRENO DELANTERO DSF-200 [PZ]</t>
  </si>
  <si>
    <t>DISCO FRENO DELANTERO DUKE-200/PULSAR-200NS [PZ]</t>
  </si>
  <si>
    <t>DISCO FRENO DELANTERO EN-125 [PZ]</t>
  </si>
  <si>
    <t>DISCO FRENO DELANTERO FZ-16 ''ICHIMAX'' [PZ]</t>
  </si>
  <si>
    <t>DISCO FRENO DELANTERO FZ-16 ''VINI'' [IM]</t>
  </si>
  <si>
    <t>DISCO FRENO DELANTERO FZ-16 (5 PERNOS) [PZ]</t>
  </si>
  <si>
    <t>DISCO FRENO DELANTERO FZ-25 [PZ]</t>
  </si>
  <si>
    <t>DISCO FRENO DELANTERO GIXXER-150 [PZ]</t>
  </si>
  <si>
    <t>DISCO FRENO DELANTERO GN-125 [PZ]</t>
  </si>
  <si>
    <t>DISCO FRENO DELANTERO GN-125/EN-125/XTREET-140R [PZ]</t>
  </si>
  <si>
    <t>DISCO FRENO DELANTERO GN-125H/HJ-125/RK-150 ''VINI'' [IM]</t>
  </si>
  <si>
    <t>DISCO FRENO DELANTERO GSX-150 ''VINI'' [IM]</t>
  </si>
  <si>
    <t>DISCO FRENO DELANTERO GXT-200/DR-200 [PZ]</t>
  </si>
  <si>
    <t>DISCO FRENO DELANTERO JL125 [PZ]</t>
  </si>
  <si>
    <t>DISCO FRENO DELANTERO KA-150 [PZ]</t>
  </si>
  <si>
    <t>DISCO FRENO DELANTERO KA-150/AKT EVO-125/150R3 [PZ]</t>
  </si>
  <si>
    <t>DISCO FRENO DELANTERO KEEWAY SUPERLIGHT-200 [PZ]</t>
  </si>
  <si>
    <t>DISCO FRENO DELANTERO KEEWAY SUPERLIGHT-200/TVS APACHE [PZ]</t>
  </si>
  <si>
    <t>DISCO FRENO DELANTERO KYMCO CK-110 [PZ]</t>
  </si>
  <si>
    <t>DISCO FRENO DELANTERO NINJA-250/300 [PZ]</t>
  </si>
  <si>
    <t>DISCO FRENO DELANTERO NXR-150/XR-125L/XR-150L VINI [IM]</t>
  </si>
  <si>
    <t>DISCO FRENO DELANTERO PIT BIKE 190MM [PZ]</t>
  </si>
  <si>
    <t>DISCO FRENO DELANTERO PULSAR-125NS/PULSAR-135LS [PZ]</t>
  </si>
  <si>
    <t>DISCO FRENO DELANTERO PULSAR-200NS [PZ]</t>
  </si>
  <si>
    <t>DISCO FRENO DELANTERO PULSAR-220/PULSAR TD-150 [PZ]</t>
  </si>
  <si>
    <t>DISCO FRENO DELANTERO SCOOTER-150 [PZ]</t>
  </si>
  <si>
    <t>DISCO FRENO DELANTERO STRATO-150 [PZ]</t>
  </si>
  <si>
    <t>DISCO FRENO DELANTERO TX-200 [PZ]</t>
  </si>
  <si>
    <t>DISCO FRENO DELANTERO VS-125 [PZ]</t>
  </si>
  <si>
    <t>DISCO FRENO DELANTERO WY125-7/HJ125-7/GN-125H [PZ]</t>
  </si>
  <si>
    <t>DISCO FRENO DELANTERO XR-125L/XR-150L/NXR-150 [PZ]</t>
  </si>
  <si>
    <t>DISCO FRENO DELANTERO XR-250 TORNADO [PZ]</t>
  </si>
  <si>
    <t>DISCO FRENO DELANTERO XRE-300 [PZ]</t>
  </si>
  <si>
    <t>DISCO FRENO DELANTERO XTZ-125 [PZ]</t>
  </si>
  <si>
    <t>DISCO FRENO DELANTERO XTZ-250 [PZ]</t>
  </si>
  <si>
    <t>DISCO FRENO DELANTERO YBR-125 ''VINI'' [IM]</t>
  </si>
  <si>
    <t>DISCO FRENO DELANTERO YBR-125 [PZ]</t>
  </si>
  <si>
    <t>DISCO FRENO DELANTERO YW-100 BWS ''VINI'' [IM]</t>
  </si>
  <si>
    <t>DISCO FRENO DELANTERO YW-100 BWS [PZ]</t>
  </si>
  <si>
    <t>DISCO FRENO DELANTERO YW-125 BWS ''VINI'' [IM]</t>
  </si>
  <si>
    <t>DISCO FRENO DELANTERO YW-125 BWS (IZQ) [PZ]</t>
  </si>
  <si>
    <t>DISCO FRENO DELANTERO Z-250 [PZ]</t>
  </si>
  <si>
    <t>DISCO FRENO TRASERO AKT AK-200 [PZ]</t>
  </si>
  <si>
    <t>DISCO FRENO TRASERO CB-190 [PZ]</t>
  </si>
  <si>
    <t>DISCO FRENO TRASERO CB-190R [PZ]</t>
  </si>
  <si>
    <t>DISCO FRENO TRASERO CBF-150 INVICTA ''VINI'' [IM]</t>
  </si>
  <si>
    <t>DISCO FRENO TRASERO CBF-150 INVICTA [PZ]</t>
  </si>
  <si>
    <t>DISCO FRENO TRASERO DR-650/XF-650 [PZ]</t>
  </si>
  <si>
    <t>DISCO FRENO TRASERO DUKE-200 [PZ]</t>
  </si>
  <si>
    <t>DISCO FRENO TRASERO FZ-25 [PZ]</t>
  </si>
  <si>
    <t>DISCO FRENO TRASERO GIXXER-150 [PZ]</t>
  </si>
  <si>
    <t>DISCO FRENO TRASERO PULSAR-160NS/PULSAR-200NS [OF]</t>
  </si>
  <si>
    <t>DISCO FRENO TRASERO PULSAR-200NS [PZ]</t>
  </si>
  <si>
    <t>DISCO FRENO TRASERO PULSAR-220 [PZ]</t>
  </si>
  <si>
    <t>DISCO FRENO TRASERO TX-200/RKV-150/RKV-200/BENELLI TNT-150 FI [PZ]</t>
  </si>
  <si>
    <t>DISCO FRENO TRASERO XRE-300 [PZ]</t>
  </si>
  <si>
    <t>DISCO FRENO TRASERO XTZ-250 ''VINI'' [IM]</t>
  </si>
  <si>
    <t>DISCO FRENO TRASERO XTZ-250 [PZ]</t>
  </si>
  <si>
    <t>DISCO FRENO TRASERO YZF-R3/MT-03/FZ-25 [PZ]</t>
  </si>
  <si>
    <t>DISCO FRENO TRASERO Z-250 [PZ]</t>
  </si>
  <si>
    <t>DISCOS EMBRAGUE GIXXER-150/GN-125/GXT-200/RKV/RKS/DR-200 DI/SF/BENELLI-180 [PZ]</t>
  </si>
  <si>
    <t>DISCOS EMBRAGUE. JGO. CB1-125 [PZ]</t>
  </si>
  <si>
    <t>DISCOS EMBRAGUE. JGO. CG-125 [PZ]</t>
  </si>
  <si>
    <t>DISCOS EMBRAGUE. JGO. CG-125/CG-150/CG-200/INVICTA/CB-190/RK-150/TX-200/TTX-250 ''VINI'' [IM]</t>
  </si>
  <si>
    <t>DISCOS EMBRAGUE. JGO. FZ-16/YZF-R15/CBR-250 ''VINI'' [IM]</t>
  </si>
  <si>
    <t>DISCOS EMBRAGUE. JGO. FZ-16/YZF-R15/CBR-250 [PZ]</t>
  </si>
  <si>
    <t>DISCOS EMBRAGUE. JGO. GN-125/GXT-200/RKV/RKS [PZ]</t>
  </si>
  <si>
    <t>DISCOS EMBRAGUE. JGO. GN-125/GXT-200/RKV/RKS/DR-200/BENELLI-180''VINI'' [IM]</t>
  </si>
  <si>
    <t>DISCOS EMBRAGUE. JGO. GS-150/GXT-200 [PZ]</t>
  </si>
  <si>
    <t>DISCOS EMBRAGUE. JGO. HJ-110 [PZ]</t>
  </si>
  <si>
    <t>DISCOS EMBRAGUE. JGO. YBR-125 [PZ]</t>
  </si>
  <si>
    <t>MOTOCICLETA</t>
  </si>
  <si>
    <t>DR-160S MOTOCICLETA: NUEVA</t>
  </si>
  <si>
    <t>MARCA: HAOJUE</t>
  </si>
  <si>
    <t>MODELO: DR-160S</t>
  </si>
  <si>
    <t>COMBUSTIBLE: GASOLINA</t>
  </si>
  <si>
    <t>COLOR: NEGRO-ROJO</t>
  </si>
  <si>
    <t>PESO BRUTO VEHICULAR: 156 KG</t>
  </si>
  <si>
    <t>AÑO DE FABRICACIÓN: 2023</t>
  </si>
  <si>
    <t>ESTADO: NUEVA SIN USO</t>
  </si>
  <si>
    <t>Nº DE CHASIS: LC6PCKGJ1N0001516</t>
  </si>
  <si>
    <t>Nº DE MOTOR: 160FMJH2A009940</t>
  </si>
  <si>
    <t>EJES</t>
  </si>
  <si>
    <t>EJE BASCULANTE CB-190R ''VINI'' [IM]</t>
  </si>
  <si>
    <t>EJE BASCULANTE CB1-125 ''VINI'' [IM]</t>
  </si>
  <si>
    <t>EJE BASCULANTE XR-250 TORNADO ''VINI'' [IM]</t>
  </si>
  <si>
    <t>EJE BASCULANTE XTZ-125 ''VINI'' [IM]</t>
  </si>
  <si>
    <t>EJE BASCULANTE YBR-125/XR-190L ''VINI'' [IM]</t>
  </si>
  <si>
    <t>EJE DELANTERO CG-125 (12X21) [PZ]</t>
  </si>
  <si>
    <t>EJE DELANTERO CG-125/XR-125L/XR-150L/XR-190L 12X20 [PZ]</t>
  </si>
  <si>
    <t>EJE DELANTERO CHOPPER (15X29.5) [PZ]</t>
  </si>
  <si>
    <t>EJE DELANTERO GN-125 [PZ]</t>
  </si>
  <si>
    <t>EJES DE LEVAS</t>
  </si>
  <si>
    <t>EJE LEVAS AN-125 [PZ]</t>
  </si>
  <si>
    <t>EJE LEVAS CB-125F TWISTER ''VINI'' [IM]</t>
  </si>
  <si>
    <t>EJE LEVAS CB-190R ''VINI'' [IM]</t>
  </si>
  <si>
    <t>EJE LEVAS CB1-125 ''VINI'' [IM]</t>
  </si>
  <si>
    <t>EJE LEVAS CB1-125 [PZ]</t>
  </si>
  <si>
    <t>EJE LEVAS CBF-150 INVICTA/XR-150L [PZ]</t>
  </si>
  <si>
    <t>EJE LEVAS CBP-250/RE-250 [PZ]</t>
  </si>
  <si>
    <t>EJE LEVAS FZ-16 (PERFORMANCE) ''VINI HOT PARTS'' [IM]</t>
  </si>
  <si>
    <t>EJE LEVAS FZ-16 2.0 ''VINI'' [IM]</t>
  </si>
  <si>
    <t>EJE LEVAS FZ-16 [PZ]</t>
  </si>
  <si>
    <t>EJE LEVAS GIXXER-150 ''VINI HOT PARTS'' [IM]</t>
  </si>
  <si>
    <t>EJE LEVAS GIXXER-150 ''VINI'' [IM]</t>
  </si>
  <si>
    <t>EJE LEVAS GN-125/GXT-200/EN-125 ''VINI'' [IM]</t>
  </si>
  <si>
    <t>EJE LEVAS GN-125/GXT-200/EN-125 [PZ]</t>
  </si>
  <si>
    <t>EJE LEVAS GXT-200/DR-200 [PZ]</t>
  </si>
  <si>
    <t>EJE LEVAS GXT-200/GN-125 [PZ]</t>
  </si>
  <si>
    <t>EJE LEVAS INVICTA/XR-150L ''VINI HOT PARTS'' [IM]</t>
  </si>
  <si>
    <t>EJE LEVAS KA-150 ''COMPLETO'' [PZ]</t>
  </si>
  <si>
    <t>EJE LEVAS PIT-BIKE 110/125 CC [PZ]</t>
  </si>
  <si>
    <t>EJE LEVAS PULSAR-135 [PZ]</t>
  </si>
  <si>
    <t>EJE LEVAS PULSAR-200NS ''VINI HOT PARTS'' [IM]</t>
  </si>
  <si>
    <t>EJE LEVAS PULSAR-200NS ''VINI'' [IM]</t>
  </si>
  <si>
    <t>EJE LEVAS PULSAR-200NS/PULSAR-200RS [PZ]</t>
  </si>
  <si>
    <t>EJE LEVAS PULSAR-220F/S [PZ]</t>
  </si>
  <si>
    <t>EJE LEVAS XL-250S/R [PZ]</t>
  </si>
  <si>
    <t>EJE LEVAS XR-200 (BRASIL) [PZ]</t>
  </si>
  <si>
    <t>EJE LEVAS XR-200 BRASIL (KBB) ''VINI'' [IM]</t>
  </si>
  <si>
    <t>EJE LEVAS XR-250 TORNADO/CBX-250 ''VINI HOT PARTS'' [IM]</t>
  </si>
  <si>
    <t>EJE LEVAS XTZ-250/FZ-25/YS-250 FAZER/YBR-250 ''VINI'' [IM]</t>
  </si>
  <si>
    <t>EJE LEVAS YBR-125 ''VINI'' [IM]</t>
  </si>
  <si>
    <t>EJE LEVAS YBR-125/XTZ-125 ''VINI HOT PARTS'' [IM]</t>
  </si>
  <si>
    <t>EJE LEVAS YBR-125/XTZ-125 [PZ]</t>
  </si>
  <si>
    <t>EJE LEVAS YZF-R15 ''VINI'' [IM]</t>
  </si>
  <si>
    <t>EJE LEVAS YZF-R15 [PZ]</t>
  </si>
  <si>
    <t>EJE OSCILANTE CHOPPER (14X32) [PZ]</t>
  </si>
  <si>
    <t>EJE OSCILANTE GN-125 (14X25) [PZ]</t>
  </si>
  <si>
    <t>EJE PEDAL CAMBIOS CB-190R ''VINI'' [IM]</t>
  </si>
  <si>
    <t>EJE PEDAL CAMBIOS CBF-150 INVICTA/XR-150L ''VINI'' [IM]</t>
  </si>
  <si>
    <t>EJE PEDAL CAMBIOS CG-125 ''VINI'' [IM]</t>
  </si>
  <si>
    <t>EJE PEDAL CAMBIOS GN-125H ''VINI'' [IM]</t>
  </si>
  <si>
    <t>EJE PEDAL CAMBIOS PULSAR-160NS ''VINI'' [IM]</t>
  </si>
  <si>
    <t>EJE PEDAL PARTIDA SCOOTER (LARGO) [PZ]</t>
  </si>
  <si>
    <t>EJE PEDAL PARTIDA SCOOTER-125 GY6 ''VINI'' [IM]</t>
  </si>
  <si>
    <t>EJE PEDAL PARTIDA SCOOTER-125 GY6 146MM. ''VINI'' [IM]</t>
  </si>
  <si>
    <t>EJE PEDAL PARTIDA SCOOTER-125 GY6 170MM ''VINI'' [IM]</t>
  </si>
  <si>
    <t>EJE PEDAL PARTIDA SCOOTER-125/150 [PZ]</t>
  </si>
  <si>
    <t>EJE PEDAL PARTIDA YBR-125 ''VINI'' [IM]</t>
  </si>
  <si>
    <t>EJE PIÑON ATAQUE COMPLETO KA-150 [PZ]</t>
  </si>
  <si>
    <t>EJE PIÑON ATAQUE LX180NK (COMPLETO) [PZ]</t>
  </si>
  <si>
    <t>EJE PRIMARIO CG-125 [PZ]</t>
  </si>
  <si>
    <t>EJE PRIMARIO KA-150 ''COMPLETO'' [PZ]</t>
  </si>
  <si>
    <t>EJE PRIMARIO LX-180NK (COMPLETO) [PZ]</t>
  </si>
  <si>
    <t>EJE RUEDA 10X18 [PZ]</t>
  </si>
  <si>
    <t>EJE RUEDA 10X25 [PZ]</t>
  </si>
  <si>
    <t>EJE RUEDA 12X19 [PZ]</t>
  </si>
  <si>
    <t>EJE RUEDA 15X25 [PZ]</t>
  </si>
  <si>
    <t>EJE RUEDA DELANTERA CG-125 [PZ]</t>
  </si>
  <si>
    <t>EJE RUEDA DELANTERA GS-125 [PZ]</t>
  </si>
  <si>
    <t>EJE RUEDA TRASERA CG-125 (15X25) [PZ]</t>
  </si>
  <si>
    <t>EJE TRASERO CHOPPER (15X28.5) [PZ]</t>
  </si>
  <si>
    <t>EJE TRASERO GN-125 (15X26.5) [PZ]</t>
  </si>
  <si>
    <t>EMBRAGUE CENTRIFUGO BICIMOTO (ST-50) [PZ]</t>
  </si>
  <si>
    <t>EMBRAGUE CENTRIFUGO ELITE-125 (GY6) [PZ]</t>
  </si>
  <si>
    <t>EMBRAGUE CENTRIFUGO ELITE-125/SCOOTER-125/150 [PZ]</t>
  </si>
  <si>
    <t>EMBRAGUE CENTRIFUGO POCKET/ATV [PZ]</t>
  </si>
  <si>
    <t>EMBRAGUE CENTRIFUGO SCOOTER-125/150 GY6 ''VINI'' [IM]</t>
  </si>
  <si>
    <t>EMBRAGUE CENTRIFUGO YW-100 BWS/JOG-100 ''VINI'' [IM]</t>
  </si>
  <si>
    <t>EMBRAGUE CENTRIFUGO YW-125 BWS ''VINI'' [IM]</t>
  </si>
  <si>
    <t>EMBRAGUE COMPLETO (COLUMNA 5 PERNOS) ZONGSHENG GY-200 [PZ]</t>
  </si>
  <si>
    <t>EMBRAGUE COMPLETO 110C.C. [PZ]</t>
  </si>
  <si>
    <t>EMBRAGUE COMPLETO 49C.C. [PZ]</t>
  </si>
  <si>
    <t>EMBRAGUE COMPLETO BICIMOTO 49CC (ST-50) [PZ]</t>
  </si>
  <si>
    <t>EMBRAGUE COMPLETO CB-190R [PZ]</t>
  </si>
  <si>
    <t>EMBRAGUE COMPLETO CB1-125 TUF [PZ]</t>
  </si>
  <si>
    <t>EMBRAGUE COMPLETO CB1-TUF ''VINI'' [IM]</t>
  </si>
  <si>
    <t>EMBRAGUE COMPLETO CBF-125/NEW-STORM [PZ]</t>
  </si>
  <si>
    <t>EMBRAGUE COMPLETO CG-125/HJ125-7 ''VINI'' [IM]</t>
  </si>
  <si>
    <t>EMBRAGUE COMPLETO FZ-16 ''VINI'' [IM]</t>
  </si>
  <si>
    <t>EMBRAGUE COMPLETO FZ-16 [PZ]</t>
  </si>
  <si>
    <t>EMBRAGUE COMPLETO GN-125H ''VINI'' [IM]</t>
  </si>
  <si>
    <t>EMBRAGUE COMPLETO PULSAR-135 [PZ]</t>
  </si>
  <si>
    <t>EMBRAGUE COMPLETO PULSAR-220 [PZ]</t>
  </si>
  <si>
    <t>EMBRAGUE COMPLETO XR-250 TORNADO ''VINI'' [IM]</t>
  </si>
  <si>
    <t>EMBRAGUE COMPLETO XTZ-125 [PZ]</t>
  </si>
  <si>
    <t>EMBRAGUE COMPLETO XTZ-250/FZ-25/YS-250 FAZER/YBR-250 ''VINI'' [IM]</t>
  </si>
  <si>
    <t>EMBRAGUE COMPLETO YBR-125 (5 DISCOS) ''VINI'' [IM]</t>
  </si>
  <si>
    <t>EMBRAGUE COMPLETO YBR-125 [PZ]</t>
  </si>
  <si>
    <t>EMBRAGUE COMPLETO YBR-125/XTZ-125 (4 DISCOS) ''VINI'' [IM]</t>
  </si>
  <si>
    <t>EMBRAGUE COMPLETO YBR-125/XTZ-125 [PZ]</t>
  </si>
  <si>
    <t>EMBRAGUES DE PARTIDA</t>
  </si>
  <si>
    <t>EMBRAGUE PARTIDA CB-190R/XR-190/XR-250 TORNADO [PZ]</t>
  </si>
  <si>
    <t>EMBRAGUE PARTIDA CBF-150 INVICTA/TORNADO/XR-150 ''VINI'' [IM]</t>
  </si>
  <si>
    <t>EMBRAGUE PARTIDA CBF-150 INVICTA/XR-150L C/PIÑON [PZ]</t>
  </si>
  <si>
    <t>EMBRAGUE PARTIDA CBX-250/XR-200/TORNADO [PZ]</t>
  </si>
  <si>
    <t>EMBRAGUE PARTIDA CG-100 PASSION-PRO/BICIMOTO ST-50 [PZ]</t>
  </si>
  <si>
    <t>EMBRAGUE PARTIDA CG-100/EXPRESS-100/BICIMOTO ''VINI'' [IM]</t>
  </si>
  <si>
    <t>EMBRAGUE PARTIDA CG-100/EXPRESS-100/BICIMOTO [PZ]</t>
  </si>
  <si>
    <t>EMBRAGUE PARTIDA FZ-16 ''VINI'' [IM]</t>
  </si>
  <si>
    <t>EMBRAGUE PARTIDA FZ-16 [PZ]</t>
  </si>
  <si>
    <t>EMBRAGUE PARTIDA GN-125H/RKS-150/TX-150 ''VINI'' [IM]</t>
  </si>
  <si>
    <t>EMBRAGUE PARTIDA GXT-200/DR-200/RACER 250RR/TTX-250 LIMITED/TTX-300 ''VINI'' [IM]</t>
  </si>
  <si>
    <t>EMBRAGUE PARTIDA NXR-150 [PZ]</t>
  </si>
  <si>
    <t>EMBRAGUE PARTIDA PULSAR-135 [PZ]</t>
  </si>
  <si>
    <t>EMBRAGUE PARTIDA PULSAR-180 [PZ]</t>
  </si>
  <si>
    <t>EMBRAGUE PARTIDA PULSAR-200NS ''VINI'' [IM]</t>
  </si>
  <si>
    <t>EMBRAGUE PARTIDA RENEGADE-200 (C/PIÑON 57D) [PZ]</t>
  </si>
  <si>
    <t>EMBRAGUE PARTIDA RENEGADE-200/AK-125/TTX-250/CG-150/CG-200 ''VINI'' [IM]</t>
  </si>
  <si>
    <t>EMBRAGUE PARTIDA SCOOTER 125/150 [PZ]</t>
  </si>
  <si>
    <t>EMBRAGUE PARTIDA SCOOTER-125 ''VINI'' [IM]</t>
  </si>
  <si>
    <t>EMBRAGUE PARTIDA SCOOTER-150 ''VINI'' [IM]</t>
  </si>
  <si>
    <t>EMBRAGUE PARTIDA XTZ-250/FZ-25/YBR-250/REGAL RAPTOR-400 (SOLO CANASTILLO) ''VINI'' [IM]</t>
  </si>
  <si>
    <t>EMBRAGUE PARTIDA YBA-125 ENTICER [PZ]</t>
  </si>
  <si>
    <t>EMBRAGUE PARTIDA YBR-125/XTZ-125 ''VINI'' [IM]</t>
  </si>
  <si>
    <t>EMBRAGUE PARTIDA YBR-125/XTZ-125 [PZ]</t>
  </si>
  <si>
    <t>EMBRAGUE PARTIDA YW-125 BWS [PZ]</t>
  </si>
  <si>
    <t>EMBRAGUE PARTIDA YZF-R15 [PZ]</t>
  </si>
  <si>
    <t>EMPAQUETADURAS</t>
  </si>
  <si>
    <t>EMPAQUETADURA BASE CILINDRO CG-200 [PZ]</t>
  </si>
  <si>
    <t>EMPAQUETADURA BASE CILINDRO DSR-200/MAX-150 [PZ]</t>
  </si>
  <si>
    <t>EMPAQUETADURA BASE CILINDRO ELITE-125 [PZ]</t>
  </si>
  <si>
    <t>EMPAQUETADURA BASE CILINDRO GIXXER-150 [PZ]</t>
  </si>
  <si>
    <t>EMPAQUETADURA BASE CILINDRO XR-250 TORNADO [PZ]</t>
  </si>
  <si>
    <t>EMPAQUETADURA BASE CILINDRO XR-250R [PZ]</t>
  </si>
  <si>
    <t>EMPAQUETADURA BASE CILINDRO XR-250R/XLR-250R [PZ]</t>
  </si>
  <si>
    <t>EMPAQUETADURA BASE CILINDRO YBR-125/XTZ-125 [PZ]</t>
  </si>
  <si>
    <t>EMPAQUETADURA BASE CILINDRO YW-125 BWS [PZ]</t>
  </si>
  <si>
    <t>EMPAQUETADURA CULATA DUKE-250/DOMINAR-250 [PZ]</t>
  </si>
  <si>
    <t>EMPAQUETADURA CULATA RENEGADE-200 [PZ]</t>
  </si>
  <si>
    <t>EMPAQUETADURA CULATA XR-250 TORNADO/CBX-250 [PZ]</t>
  </si>
  <si>
    <t>EMPAQUETADURA CULATA YBR-125/XTZ-125 [PZ]</t>
  </si>
  <si>
    <t>EMPAQUETADURA CULATA YW-125 BWS [PZ]</t>
  </si>
  <si>
    <t>EMPAQUETADURA ESCAPE CB1-125 [PZ]</t>
  </si>
  <si>
    <t>EMPAQUETADURA ESCAPE CG-125 [PZ]</t>
  </si>
  <si>
    <t>EMPAQUETADURA MOTOR CENTRO CG-125 [PZ]</t>
  </si>
  <si>
    <t>EMPAQUETADURA MOTOR EMBRAGUE DUKE-200 [PZ]</t>
  </si>
  <si>
    <t>EMPAQUETADURA MOTOR EMBRAGUE FZ-25/YS-250 FAZER/XTZ-250</t>
  </si>
  <si>
    <t>EMPAQUETADURA MOTOR EMBRAGUE GXT-200/DR-200 [PZ]</t>
  </si>
  <si>
    <t>EMPAQUETADURA MOTOR EMBRAGUE XBLADE-160 [PZ]</t>
  </si>
  <si>
    <t>EMPAQUETADURA MOTOR EMBRAGUE XR-250 TORNADO/CBX-250/XRE-300</t>
  </si>
  <si>
    <t>EMPAQUETADURA MOTOR EMBRAGUE XR-400R [PZ]</t>
  </si>
  <si>
    <t>EMPAQUETADURA MOTOR EMBRAGUE XTZ-250/YBR-250 [PZ]</t>
  </si>
  <si>
    <t>EMPAQUETADURA MOTOR EMBRAGUE YZF-R15 [PZ]</t>
  </si>
  <si>
    <t>EMPAQUETADURA MOTOR VOLANTE CB-190 [PZ]</t>
  </si>
  <si>
    <t>EMPAQUETADURA MOTOR VOLANTE CB1-125 [PZ]</t>
  </si>
  <si>
    <t>EMPAQUETADURA MOTOR VOLANTE DUKE-200 [PZ]</t>
  </si>
  <si>
    <t>EMPAQUETADURA MOTOR VOLANTE NINJA-250/NINJA-300 [PZ]</t>
  </si>
  <si>
    <t>EMPAQUETADURA MOTOR VOLANTE NX-400 FALCON [PZ]</t>
  </si>
  <si>
    <t>EMPAQUETADURA MOTOR VOLANTE XBLADE-160/CB-190R [PZ]</t>
  </si>
  <si>
    <t>EMPAQUETADURA MOTOR VOLANTE XL-200/XR-200 BRASIL [PZ]</t>
  </si>
  <si>
    <t>EMPAQUETADURA MOTOR VOLANTE XR-250 TORNADO [PZ]</t>
  </si>
  <si>
    <t>EMPAQUETADURA MOTOR VOLANTE XRE-300 [PZ]</t>
  </si>
  <si>
    <t>EMPAQUETADURA TAPA CULATA CB-125/CB-125T [PZ]</t>
  </si>
  <si>
    <t>EMPAQUETADURA TAPA CULATA CB-190R/XR-190L [PZ]</t>
  </si>
  <si>
    <t>EMPAQUETADURA TAPA CULATA CG-150T/JOB/INVICTA [PZ]</t>
  </si>
  <si>
    <t>EMPAQUETADURA TAPA CULATA DOMINAR-400 [PZ]</t>
  </si>
  <si>
    <t>EMPAQUETADURA TAPA CULATA GIXXER-150 [PZ]</t>
  </si>
  <si>
    <t>EMPAQUETADURA TAPA CULATA GN-125 [PZ]</t>
  </si>
  <si>
    <t>EMPAQUETADURA TAPA CULATA NV-400/VT-500 [PZ]</t>
  </si>
  <si>
    <t>EMPAQUETADURA TAPA CULATA XR-250 TORNADO [PZ]</t>
  </si>
  <si>
    <t>EMPAQUETADURA TAPA CULATA XR-250 TORNADO/CBX-250 [PZ]</t>
  </si>
  <si>
    <t>EMPAQUETADURA TAPA CULATA XRE-300 C/RETENES [PZ]</t>
  </si>
  <si>
    <t>EMPAQUETADURA TAPA CULATA XRE-300 [PZ]</t>
  </si>
  <si>
    <t>EMPAQUETADURA TAPA CULATA YZF-R15 [PZ]</t>
  </si>
  <si>
    <t>EMPAQUETADURAS. JGO COMPLETO CG-100 PASSION [PZ]</t>
  </si>
  <si>
    <t>EMPAQUETADURAS. JGO. ''A'' AX-4 [PZ]</t>
  </si>
  <si>
    <t>EMPAQUETADURAS. JGO. ''A'' CB-190/XR-190 [PZ]</t>
  </si>
  <si>
    <t>EMPAQUETADURAS. JGO. ''A'' CB1-125 [PZ]</t>
  </si>
  <si>
    <t>EMPAQUETADURAS. JGO. ''A'' CBF-125/ NEW-STORM [PZ]</t>
  </si>
  <si>
    <t>EMPAQUETADURAS. JGO. ''A'' CBF-125/NEW-STORM [PZ]</t>
  </si>
  <si>
    <t>EMPAQUETADURAS. JGO. ''A'' CBF-150 INVICTA/CG150/JOB [PZ]</t>
  </si>
  <si>
    <t>EMPAQUETADURAS. JGO. ''A'' CBX-250 TWISTER SIN TAPA [PZ]</t>
  </si>
  <si>
    <t>EMPAQUETADURAS. JGO. ''A'' CG-125 [PZ]</t>
  </si>
  <si>
    <t>EMPAQUETADURAS. JGO. ''A'' CG-125KS/ES TITAN [PZ]</t>
  </si>
  <si>
    <t>EMPAQUETADURAS. JGO. ''A'' CG-250 [PZ]</t>
  </si>
  <si>
    <t>EMPAQUETADURAS. JGO. ''A'' CGL-125 [PZ]</t>
  </si>
  <si>
    <t>EMPAQUETADURAS. JGO. ''A'' CR-250R [PZ]</t>
  </si>
  <si>
    <t>EMPAQUETADURAS. JGO. ''A'' CRF-230 /YS250/LX250 [PZ]</t>
  </si>
  <si>
    <t>EMPAQUETADURAS. JGO. ''A'' ELITE-125 [PZ]</t>
  </si>
  <si>
    <t>EMPAQUETADURAS. JGO. ''A'' EN-125/GS-125 [PZ]</t>
  </si>
  <si>
    <t>EMPAQUETADURAS. JGO. ''A'' FZ-250 FAZER [PZ]</t>
  </si>
  <si>
    <t>EMPAQUETADURAS. JGO. ''A'' GIXXER-150 [PZ]</t>
  </si>
  <si>
    <t>EMPAQUETADURAS. JGO. ''A'' GN-125 [PZ]</t>
  </si>
  <si>
    <t>EMPAQUETADURAS. JGO. ''A'' GS-150R [PZ]</t>
  </si>
  <si>
    <t>EMPAQUETADURAS. JGO. ''A'' GZ-150 [PZ]</t>
  </si>
  <si>
    <t>EMPAQUETADURAS. JGO. ''A'' KLR-250 [PZ]</t>
  </si>
  <si>
    <t>EMPAQUETADURAS. JGO. ''A'' MATRIX-150 [PZ]</t>
  </si>
  <si>
    <t>EMPAQUETADURAS. JGO. ''A'' NX-400 FALCON/XR-400R [PZ]</t>
  </si>
  <si>
    <t>EMPAQUETADURAS. JGO. ''A'' PULSAR-135LS [PZ]</t>
  </si>
  <si>
    <t>EMPAQUETADURAS. JGO. ''A'' PULSAR-180UG [PZ]</t>
  </si>
  <si>
    <t>EMPAQUETADURAS. JGO. ''A'' PULSAR-200NS [PZ]</t>
  </si>
  <si>
    <t>EMPAQUETADURAS. JGO. ''A'' RENEGADE-200 [PZ]</t>
  </si>
  <si>
    <t>EMPAQUETADURAS. JGO. ''A'' SCOOTER-125 [PZ]</t>
  </si>
  <si>
    <t>EMPAQUETADURAS. JGO. ''A'' SCOOTER-150 [PZ]</t>
  </si>
  <si>
    <t>EMPAQUETADURAS. JGO. ''A'' STORM-125 [PZ]</t>
  </si>
  <si>
    <t>EMPAQUETADURAS. JGO. ''A'' TRX-250 [PZ]</t>
  </si>
  <si>
    <t>EMPAQUETADURAS. JGO. ''A'' U.M. 200 (C/CADENA DIST) [PZ]</t>
  </si>
  <si>
    <t>EMPAQUETADURAS. JGO. ''A'' XL-200/XR-200 (BRASIL) [PZ]</t>
  </si>
  <si>
    <t>EMPAQUETADURAS. JGO. ''A'' XR-125L C/VARILLAS [PZ]</t>
  </si>
  <si>
    <t>EMPAQUETADURAS. JGO. ''A'' XR-150L [PZ]</t>
  </si>
  <si>
    <t>EMPAQUETADURAS. JGO. ''A'' XR-190 [PZ]</t>
  </si>
  <si>
    <t>EMPAQUETADURAS. JGO. ''A'' XR-20R (JAPON) [PZ]</t>
  </si>
  <si>
    <t>EMPAQUETADURAS. JGO. ''A'' XR-250 (1986-2004) [PZ]</t>
  </si>
  <si>
    <t>EMPAQUETADURAS. JGO. ''A'' XR-250 TORNADO [PZ]</t>
  </si>
  <si>
    <t>EMPAQUETADURAS. JGO. ''A'' XR-250R (86/95) XLR-250R [PZ]</t>
  </si>
  <si>
    <t>EMPAQUETADURAS. JGO. ''A'' XT-225/TTR-230 [PZ]</t>
  </si>
  <si>
    <t>EMPAQUETADURAS. JGO. ''A'' XTREET-230 [PZ]</t>
  </si>
  <si>
    <t>EMPAQUETADURAS. JGO. ''A'' XTZ-125 [PZ]</t>
  </si>
  <si>
    <t>EMPAQUETADURAS. JGO. ''A'' XTZ-250/YBR-250 [PZ]</t>
  </si>
  <si>
    <t>EMPAQUETADURAS. JGO. ''A'' XV-250 VIRAGO [PZ]</t>
  </si>
  <si>
    <t>EMPAQUETADURAS. JGO. ''A'' YBR-125/XTZ-125 [PZ]</t>
  </si>
  <si>
    <t>EMPAQUETADURAS. JGO. ''A'' YBR-125/XTZ-125/YBA-125 [PZ]</t>
  </si>
  <si>
    <t>EMPAQUETADURAS. JGO. ''A'' YW-100 BWS [PZ]</t>
  </si>
  <si>
    <t>EMPAQUETADURAS. JGO. ''A'' YW-125 BWS [PZ]</t>
  </si>
  <si>
    <t>EMPAQUETADURAS. JGO. ''A'' YZF-R15 [PZ]</t>
  </si>
  <si>
    <t>EMPAQUETADURAS. JGO. COMPLETO AX4 [PZ]</t>
  </si>
  <si>
    <t>EMPAQUETADURAS. JGO. COMPLETO BWS-125 [PZ]</t>
  </si>
  <si>
    <t>EMPAQUETADURAS. JGO. COMPLETO CB-160F [PZ]</t>
  </si>
  <si>
    <t>EMPAQUETADURAS. JGO. COMPLETO CB-190R/XR-190L [PZ]</t>
  </si>
  <si>
    <t>EMPAQUETADURAS. JGO. COMPLETO CB1-125 TWISTER [PZ]</t>
  </si>
  <si>
    <t>EMPAQUETADURAS. JGO. COMPLETO CBF-125 NEW-STORM [PZ]</t>
  </si>
  <si>
    <t>EMPAQUETADURAS. JGO. COMPLETO CBF-125 [PZ]</t>
  </si>
  <si>
    <t>EMPAQUETADURAS. JGO. COMPLETO CBF-150 INVICTA/XR-150L/RK-150 [PZ]</t>
  </si>
  <si>
    <t>EMPAQUETADURAS. JGO. COMPLETO CBF-150/XR-150L [PZ]</t>
  </si>
  <si>
    <t>EMPAQUETADURAS. JGO. COMPLETO CBF125/NEW STORM [PZ]</t>
  </si>
  <si>
    <t>EMPAQUETADURAS. JGO. COMPLETO CBP-250 [PZ]</t>
  </si>
  <si>
    <t>EMPAQUETADURAS. JGO. COMPLETO CBR-250 [PZ]</t>
  </si>
  <si>
    <t>EMPAQUETADURAS. JGO. COMPLETO CBX-250/TORNADO [PZ]</t>
  </si>
  <si>
    <t>EMPAQUETADURAS. JGO. COMPLETO CG-125/KS/TITAN [PZ]</t>
  </si>
  <si>
    <t>EMPAQUETADURAS. JGO. COMPLETO CG-150T/JOB/INVICTA [PZ]</t>
  </si>
  <si>
    <t>EMPAQUETADURAS. JGO. COMPLETO CG-150T/JOB/INVICTA/RK-150 [OF]</t>
  </si>
  <si>
    <t>EMPAQUETADURAS. JGO. COMPLETO CG-200 [PZ]</t>
  </si>
  <si>
    <t>EMPAQUETADURAS. JGO. COMPLETO CG-250 (C/VARILLAS) [PZ]</t>
  </si>
  <si>
    <t>EMPAQUETADURAS. JGO. COMPLETO CG-250 [PZ]</t>
  </si>
  <si>
    <t>EMPAQUETADURAS. JGO. COMPLETO CM-200T/JL250A [PZ]</t>
  </si>
  <si>
    <t>EMPAQUETADURAS. JGO. COMPLETO CRF-230F/YS250/LX250 [PZ]</t>
  </si>
  <si>
    <t>EMPAQUETADURAS. JGO. COMPLETO DOMINAR-400 [PZ]</t>
  </si>
  <si>
    <t>EMPAQUETADURAS. JGO. COMPLETO DR-200 [PZ]</t>
  </si>
  <si>
    <t>EMPAQUETADURAS. JGO. COMPLETO DUKE-200 [PZ]</t>
  </si>
  <si>
    <t>EMPAQUETADURAS. JGO. COMPLETO DUKE-390 [PZ]</t>
  </si>
  <si>
    <t>EMPAQUETADURAS. JGO. COMPLETO EXPRESS-100 [PZ]</t>
  </si>
  <si>
    <t>EMPAQUETADURAS. JGO. COMPLETO FZ-16 [PZ]</t>
  </si>
  <si>
    <t>EMPAQUETADURAS. JGO. COMPLETO FZ-25/YS-250 FAZER/XTZ-250 [PZ]</t>
  </si>
  <si>
    <t>EMPAQUETADURAS. JGO. COMPLETO GIXXER-150 [PZ]</t>
  </si>
  <si>
    <t>EMPAQUETADURAS. JGO. COMPLETO GN-250 [PZ]</t>
  </si>
  <si>
    <t>EMPAQUETADURAS. JGO. COMPLETO GS-125 [PZ]</t>
  </si>
  <si>
    <t>EMPAQUETADURAS. JGO. COMPLETO GS-150R [PZ]</t>
  </si>
  <si>
    <t>EMPAQUETADURAS. JGO. COMPLETO GXT-200QM200-2V [PZ]</t>
  </si>
  <si>
    <t>EMPAQUETADURAS. JGO. COMPLETO JL110/PIT-BIKE [PZ]</t>
  </si>
  <si>
    <t>EMPAQUETADURAS. JGO. COMPLETO JL150T-14B/ (GY6) [PZ]</t>
  </si>
  <si>
    <t>EMPAQUETADURAS. JGO. COMPLETO JL250GY [PZ]</t>
  </si>
  <si>
    <t>EMPAQUETADURAS. JGO. COMPLETO KLR-250 [PZ]</t>
  </si>
  <si>
    <t>EMPAQUETADURAS. JGO. COMPLETO KLR-650 [PZ]</t>
  </si>
  <si>
    <t>EMPAQUETADURAS. JGO. COMPLETO KLX-150 [PZ]</t>
  </si>
  <si>
    <t>EMPAQUETADURAS. JGO. COMPLETO NX-400/XR-400 [PZ]</t>
  </si>
  <si>
    <t>EMPAQUETADURAS. JGO. COMPLETO NXR-125 [PZ]</t>
  </si>
  <si>
    <t>EMPAQUETADURAS. JGO. COMPLETO PITBIKE-125 [PZ]</t>
  </si>
  <si>
    <t>EMPAQUETADURAS. JGO. COMPLETO PULSAR-160NS [PZ]</t>
  </si>
  <si>
    <t>EMPAQUETADURAS. JGO. COMPLETO PULSAR-180 [PZ]</t>
  </si>
  <si>
    <t>EMPAQUETADURAS. JGO. COMPLETO PULSAR-200NS/DUKE-200 [PZ]</t>
  </si>
  <si>
    <t>EMPAQUETADURAS. JGO. COMPLETO PULSAR-220 [PZ]</t>
  </si>
  <si>
    <t>EMPAQUETADURAS. JGO. COMPLETO PULSAR-220F [PZ]</t>
  </si>
  <si>
    <t>EMPAQUETADURAS. JGO. COMPLETO RE-200 TORITO [PZ]</t>
  </si>
  <si>
    <t>EMPAQUETADURAS. JGO. COMPLETO RENEGADE-200 [PZ] ANTIGUA</t>
  </si>
  <si>
    <t>EMPAQUETADURAS. JGO. COMPLETO RENEGADE-200 [PZ] NUEVA</t>
  </si>
  <si>
    <t>EMPAQUETADURAS. JGO. COMPLETO SCOOTER-125 [PZ]</t>
  </si>
  <si>
    <t>EMPAQUETADURAS. JGO. COMPLETO SCOOTER-150 [PZ]</t>
  </si>
  <si>
    <t>EMPAQUETADURAS. JGO. COMPLETO STORM-125 [PZ]</t>
  </si>
  <si>
    <t>EMPAQUETADURAS. JGO. COMPLETO TX-200 [PZ]</t>
  </si>
  <si>
    <t>EMPAQUETADURAS. JGO. COMPLETO XL-185 [PZ]</t>
  </si>
  <si>
    <t>EMPAQUETADURAS. JGO. COMPLETO XR-125L [PZ]</t>
  </si>
  <si>
    <t>EMPAQUETADURAS. JGO. COMPLETO XR-190 [PZ]</t>
  </si>
  <si>
    <t>EMPAQUETADURAS. JGO. COMPLETO XR-200R (JAPON) [PZ]</t>
  </si>
  <si>
    <t>EMPAQUETADURAS. JGO. COMPLETO XR-250 (1996-2004) [PZ]</t>
  </si>
  <si>
    <t>EMPAQUETADURAS. JGO. COMPLETO XRE-300 [PZ]</t>
  </si>
  <si>
    <t>EMPAQUETADURAS. JGO. COMPLETO XTZ-250/FZ-25 [PZ]</t>
  </si>
  <si>
    <t>EMPAQUETADURAS. JGO. COMPLETO XV-250 VIRAGO [PZ]</t>
  </si>
  <si>
    <t>EMPAQUETADURAS. JGO. COMPLETO YW-100 BWS [PZ]</t>
  </si>
  <si>
    <t>EMPAQUETADURAS. JGO. COMPLETO YZF-R15 [PZ]</t>
  </si>
  <si>
    <t>EMPAQUETADURAS. JGO. XTZ-125/YBA-125 ENTICER/YBR-125 [PZ]</t>
  </si>
  <si>
    <t>ESCAPE ''SC PROJECT'' ACERO INOXIDABLE ''TORNASOL'' [PZ]</t>
  </si>
  <si>
    <t>ESCAPE ACERO INOXIDABLE PUNTA DOBLE [PZ]</t>
  </si>
  <si>
    <t>ESCAPE ACERO INOXIDABLE PUNTA FIBRA CARBONO 3D [PZ]</t>
  </si>
  <si>
    <t>ESCAPE ACERO INOXIDABLE PUNTA REVOLVER [PZ]</t>
  </si>
  <si>
    <t>ESPEJOS</t>
  </si>
  <si>
    <t>ESPEJO DERECHO 10MM DT-125E (HILO IZQ) NO PEDIR [PZ]</t>
  </si>
  <si>
    <t>ESPEJO DERECHO 10MM VS-125 [PZ]</t>
  </si>
  <si>
    <t>ESPEJO DERECHO DR-160 [PZ]</t>
  </si>
  <si>
    <t>ESPEJO DERECHO KA-150/NK-150 [PZ]</t>
  </si>
  <si>
    <t>ESPEJO DERECHO KD-150J [PZ]</t>
  </si>
  <si>
    <t>ESPEJO DERECHO REX-150 [PZ]</t>
  </si>
  <si>
    <t>ESPEJO DERECHO TR-150S [PZ]</t>
  </si>
  <si>
    <t>ESPEJO IZQUIERDO 10MM VS-125 [PZ]</t>
  </si>
  <si>
    <t>ESPEJO IZQUIERDO DR-160 [PZ]</t>
  </si>
  <si>
    <t>ESPEJO IZQUIERDO KA-150/NK-150 [PZ]</t>
  </si>
  <si>
    <t>ESPEJO IZQUIERDO KD-150J [PZ]</t>
  </si>
  <si>
    <t>ESPEJO IZQUIERDO REX-150 [PZ]</t>
  </si>
  <si>
    <t>ESPEJO IZQUIERDO TR-150S [PZ]</t>
  </si>
  <si>
    <t>ESPEJO IZQUIERDO YZF-R15 [PZ]</t>
  </si>
  <si>
    <t>ESPEJOS. JGO. 08MM AX-100 ''VINI'' [IM]</t>
  </si>
  <si>
    <t>ESPEJOS. JGO. 08MM CHOPPER NEGRO (HILO IZQ) [PZ]</t>
  </si>
  <si>
    <t>ESPEJOS. JGO. 08MM CHOPPER NEGRO [PZ]</t>
  </si>
  <si>
    <t>ESPEJOS. JGO. 08MM ELITE-125 (HILO IZQ) [PZ]</t>
  </si>
  <si>
    <t>ESPEJOS. JGO. 08MM KEEWAY [PZ]</t>
  </si>
  <si>
    <t>ESPEJOS. JGO. 08MM RECTANGULAR [PZ]</t>
  </si>
  <si>
    <t>ESPEJOS. JGO. 08MM TIPO NAKED ''HQ'' [PZ]</t>
  </si>
  <si>
    <t>ESPEJOS. JGO. 08MM UNIVERSAL [PZ]</t>
  </si>
  <si>
    <t>ESPEJOS. JGO. 10MM AX-4 ''VINI'' [IM]</t>
  </si>
  <si>
    <t>ESPEJOS. JGO. 10MM BENELLI TNT-25/TNT-150/TNT-180/RKS-125/RKS-150/RK-150 ''HQ'' [PZ]</t>
  </si>
  <si>
    <t>ESPEJOS. JGO. 10MM CB-190R/CB-125F TWISTER (HILO INV) ''HQ'' [PZ]</t>
  </si>
  <si>
    <t>ESPEJOS. JGO. 10MM CB-190R/CB-125F TWISTER (HILO INV) [PZ]</t>
  </si>
  <si>
    <t>ESPEJOS. JGO. 10MM CG/TITAN NEGRO [PZ]</t>
  </si>
  <si>
    <t>ESPEJOS. JGO. 10MM FZ-16 ''VINI'' [IM]</t>
  </si>
  <si>
    <t>ESPEJOS. JGO. 10MM FZ-16/YBR-125 (HILO IZQ) [PZ]</t>
  </si>
  <si>
    <t>ESPEJOS. JGO. 10MM FZ-25 (HILO IZQ) [PZ]</t>
  </si>
  <si>
    <t>ESPEJOS. JGO. 10MM GIXXER-150 [PZ]</t>
  </si>
  <si>
    <t>ESPEJOS. JGO. 10MM GN-125/JL125-7 ''VINI'' [IM]</t>
  </si>
  <si>
    <t>ESPEJOS. JGO. 10MM GN-125/JL125-7 [PZ]</t>
  </si>
  <si>
    <t>ESPEJOS. JGO. 10MM GXT-200 ''HQ'' [PZ]</t>
  </si>
  <si>
    <t>ESPEJOS. JGO. 10MM HJ125-7/EN-125 ''VINI'' [IM]</t>
  </si>
  <si>
    <t>ESPEJOS. JGO. 10MM HJ125-7/EN-125 [PZ]</t>
  </si>
  <si>
    <t>ESPEJOS. JGO. 10MM KTM DUKE-200 [PZ]</t>
  </si>
  <si>
    <t>ESPEJOS. JGO. 10MM MT-03 [PZ]</t>
  </si>
  <si>
    <t>ESPEJOS. JGO. 10MM NEGRO CON SEÑALIZADORES (REDOND [PZ]</t>
  </si>
  <si>
    <t>ESPEJOS. JGO. 10MM NEW INVICTA-150 (HILO IZQ) [PZ]</t>
  </si>
  <si>
    <t>ESPEJOS. JGO. 10MM NINJA-300/NINJA-400 [PZ]</t>
  </si>
  <si>
    <t>ESPEJOS. JGO. 10MM OVALADO NEGRO [PZ]</t>
  </si>
  <si>
    <t>ESPEJOS. JGO. 10MM PULSAR-200NS ''VINI'' [IM]</t>
  </si>
  <si>
    <t>ESPEJOS. JGO. 10MM PULSAR-200NS [PZ]</t>
  </si>
  <si>
    <t>ESPEJOS. JGO. 10MM RECTANGULAR NEGRO [PZ]</t>
  </si>
  <si>
    <t>ESPEJOS. JGO. 10MM TIPO CG-100 (NEGRO) [PZ]</t>
  </si>
  <si>
    <t>ESPEJOS. JGO. 10MM TIPO ENDURO REDONDO ''VINI'' [IM]</t>
  </si>
  <si>
    <t>ESPEJOS. JGO. 10MM TIPO OVALADO ''JY-115'' ''VINI'' [IM]</t>
  </si>
  <si>
    <t>ESPEJOS. JGO. 10MM UNIVERSAL OVALADO NEGRO''VINI'' [IM]</t>
  </si>
  <si>
    <t>ESPEJOS. JGO. 10MM UNIVERSAL REDONDOS [PZ]</t>
  </si>
  <si>
    <t>ESPEJOS. JGO. 10MM UNIVERSAL [PZ]</t>
  </si>
  <si>
    <t>ESPEJOS. JGO. 10MM UNIVERSALES ''REDONDO'' [PZ]</t>
  </si>
  <si>
    <t>ESPEJOS. JGO. 10MM UNIVERSALES (HILO IZQ) [PZ]</t>
  </si>
  <si>
    <t>ESPEJOS. JGO. 10MM UNIVERSALES (NEGRO) [PZ]</t>
  </si>
  <si>
    <t>ESPEJOS. JGO. 10MM UNIVERSALES [PZ]</t>
  </si>
  <si>
    <t>ESPEJOS. JGO. 10MM XR-150L (HILO INV) ''HQ'' [PZ]</t>
  </si>
  <si>
    <t>ESPEJOS. JGO. 10MM XTZ-125 [PZ]</t>
  </si>
  <si>
    <t>ESPEJOS. JGO. 10MM YBR-125 (HILO IZQ) [PZ]</t>
  </si>
  <si>
    <t>ESPEJOS. JGO. CARENADO UNIVERSALES (ADAPTABLES) [PZ]</t>
  </si>
  <si>
    <t>ESPEJOS. JGO. CARENADO UNIVERSALES [PZ]</t>
  </si>
  <si>
    <t>ESPEJOS. JGO. PUNTA MANUBRIO (ROJO) [PZ]</t>
  </si>
  <si>
    <t>ESPEJOS. JGO. PUNTA MANUBRIO [PZ]</t>
  </si>
  <si>
    <t>ESPEJOS. JGO. PUNTA MANUBRIO [PZ] AZUL</t>
  </si>
  <si>
    <t>ESPEJOS. JGO. PUNTA MANUBRIO [PZ] NEGRO</t>
  </si>
  <si>
    <t>ESPEJOS. JGO. UNIVERSAL C/ADAPTADORES (AZUL) [PZ]</t>
  </si>
  <si>
    <t>ESPEJOS. JGO. UNIVERSAL C/ADAPTADORES (CROMADO) [PZ]</t>
  </si>
  <si>
    <t>ESPEJOS. JGO. UNIVERSAL C/ADAPTADORES (DORADO) [PZ]</t>
  </si>
  <si>
    <t>ESPEJOS. JGO. UNIVERSAL C/ADAPTADORES (NEGRO) [PZ]</t>
  </si>
  <si>
    <t>ESPEJOS. JGO. UNIVERSAL C/ADAPTADORES (ROJO) [PZ]</t>
  </si>
  <si>
    <t>ESPEJOS. JGO. UNIVERSAL C/ADAPTADORES [PZ]</t>
  </si>
  <si>
    <t>ESPEJOS. JGO. YZF-R15 (VERSION 2.0) [PZ]</t>
  </si>
  <si>
    <t>ESPEJOS. JGO. YZF-R15 (VERSION 3.0) [PZ]</t>
  </si>
  <si>
    <t>ESPUMA MANILLAS/PUÑOS UNIVERSAL [PZ] AZUL</t>
  </si>
  <si>
    <t>ESPUMA MANILLAS/PUÑOS UNIVERSAL [PZ] ROJO</t>
  </si>
  <si>
    <t>ESPUMA MANILLAS/PUÑOS UNIVERSAL [PZ] VERDE</t>
  </si>
  <si>
    <t>ESTANQUES</t>
  </si>
  <si>
    <t>ESTANQUE BENCINA KA-150 ''NEGRO'' [PZ]</t>
  </si>
  <si>
    <t>ESTANQUE YBR-125 [PZ] ROJO</t>
  </si>
  <si>
    <t>ESTATORES</t>
  </si>
  <si>
    <t>ESTATOR 06 BOBINAS C-100/BICIMOTO 49CC (ST-50)/EXPRESS-100 [PZ]</t>
  </si>
  <si>
    <t>ESTATOR 06 BOBINAS C-100/BICIMOTO [PZ]</t>
  </si>
  <si>
    <t>ESTATOR 06 BOBINAS SCOOTER-125 [PZ]</t>
  </si>
  <si>
    <t>ESTATOR 07 BOBINAS YBR-125 ''VINI'' [IM]</t>
  </si>
  <si>
    <t>ESTATOR 08 BOBINAS CB1-125 [OF]</t>
  </si>
  <si>
    <t>ESTATOR 08 BOBINAS CBF-125/CB1-125 (2 PERNOS) [PZ]</t>
  </si>
  <si>
    <t>ESTATOR 08 BOBINAS CBF-125/CB1-125 (3 PERNOS) [PZ]</t>
  </si>
  <si>
    <t>ESTATOR 08 BOBINAS CBF-150 ''VINI'' [IM]</t>
  </si>
  <si>
    <t>ESTATOR 08 BOBINAS CG-125 CHINA/REX-150 ''VINI'' [IM]</t>
  </si>
  <si>
    <t>ESTATOR 08 BOBINAS CG-125 [PZ]</t>
  </si>
  <si>
    <t>ESTATOR 08 BOBINAS CG-125/TTX-250/REX-150 ''VINI'' [IM]</t>
  </si>
  <si>
    <t>ESTATOR 08 BOBINAS ELITE-125 [PZ]</t>
  </si>
  <si>
    <t>ESTATOR 08 BOBINAS EXPRESS-100 [PZ]</t>
  </si>
  <si>
    <t>ESTATOR 08 BOBINAS HONDA ECO DELUXE [PZ]</t>
  </si>
  <si>
    <t>ESTATOR 08 BOBINAS HONDA SPLENDOR-100 [PZ]</t>
  </si>
  <si>
    <t>ESTATOR 08 BOBINAS PULSAR-135 [PZ]</t>
  </si>
  <si>
    <t>ESTATOR 08 BOBINAS PULSAR-150 [PZ]</t>
  </si>
  <si>
    <t>ESTATOR 08 BOBINAS YBR-125 ''VINI'' [IM]</t>
  </si>
  <si>
    <t>ESTATOR 11 BOBINAS SCOOTER-125 [PZ]</t>
  </si>
  <si>
    <t>ESTATOR 12 BOBINAS CRYSTAL-125 ''HAYPO'' [PZ]</t>
  </si>
  <si>
    <t>ESTATOR 12 BOBINAS FZ-16 ''VINI'' [IM]</t>
  </si>
  <si>
    <t>ESTATOR 12 BOBINAS FZ-16 2.0/FZ-25 [PZ]</t>
  </si>
  <si>
    <t>ESTATOR 12 BOBINAS FZ-16/2.0 ''VINI'' [IM]</t>
  </si>
  <si>
    <t>ESTATOR 12 BOBINAS GIXXER-150 ''VINI'' [IM]</t>
  </si>
  <si>
    <t>ESTATOR 12 BOBINAS PULSAR-150NS ''VINI'' [IM]</t>
  </si>
  <si>
    <t>ESTATOR 12 BOBINAS PULSAR-200NS ''VINI'' [IM]</t>
  </si>
  <si>
    <t>ESTATOR 12 BOBINAS PULSAR-200NS [PZ]</t>
  </si>
  <si>
    <t>ESTATOR 12 BOBINAS RE-250/TEKKEN 250/R25 MOTORRAD [PZ]</t>
  </si>
  <si>
    <t>ESTATOR 12 BOBINAS XR-150L ''VINI'' [IM]</t>
  </si>
  <si>
    <t>ESTATOR 12 BOBINAS XR-190L ''HONDA'' [OF]</t>
  </si>
  <si>
    <t>ESTATOR 12 BOBINAS YAMAHA [PZ]</t>
  </si>
  <si>
    <t>ESTATOR 18 BOBINAS CB-190R ''VINI'' [IM]</t>
  </si>
  <si>
    <t>ESTATOR 18 BOBINAS GN-125H [PZ]</t>
  </si>
  <si>
    <t>ESTATOR 18 BOBINAS GXT-200 [PZ]</t>
  </si>
  <si>
    <t>ESTATOR 18 BOBINAS NEW-STORM [PZ]</t>
  </si>
  <si>
    <t>ESTATOR 18 BOBINAS PULSAR-200NSFI (INYECTADA)/DUKE-200</t>
  </si>
  <si>
    <t>ESTATOR 18 BOBINAS SUZUKI-125 [PZ]</t>
  </si>
  <si>
    <t>EVITA SOLDADURA ACELERADOR (BRONCE) [PZ]</t>
  </si>
  <si>
    <t>EVITA SOLDADURA EMBRAGUE (BRONCE) [PZ]</t>
  </si>
  <si>
    <t>EVITA SOLDADURA EMBRAGUE (DORADO C/PUNTA) [PZ]</t>
  </si>
  <si>
    <t>EVITA SOLDADURA EMBRAGUE (GALVANIZADO) [PZ]</t>
  </si>
  <si>
    <t>EXTRACTOR EJE RUEDA [PZ]</t>
  </si>
  <si>
    <t>EXTRACTOR PIÑON CIGUEÑAL [PZ]</t>
  </si>
  <si>
    <t>EXTRACTOR TUERCA EMBRAGUE SCOOTER [PZ]</t>
  </si>
  <si>
    <t>EXTRACTOR TUERCA EMBRAGUE UNIVERSAL [PZ]</t>
  </si>
  <si>
    <t>EXTRACTOR VOLANTE CBF-150 INVICTA [PZ]</t>
  </si>
  <si>
    <t>EXTRACTOR VOLANTE UNIVERSAL [PZ]</t>
  </si>
  <si>
    <t>EXTRACTOR VOLANTE WY-125 [PZ]</t>
  </si>
  <si>
    <t>EXTRACTOR VOLANTE [PZ]</t>
  </si>
  <si>
    <t>EXTREMO DIRECCION. JGO ATV ''UNIVERSAL'' [PZ]</t>
  </si>
  <si>
    <t>EXTREMO DIRECCION. JGO. ATV ''UNIVERSAL'' [PZ]</t>
  </si>
  <si>
    <t>FILLER [PZ]</t>
  </si>
  <si>
    <t>FILTROS</t>
  </si>
  <si>
    <t>FILTRO ACEITE ''K&amp;N'' BOMBARDIER [PZ]</t>
  </si>
  <si>
    <t>FILTRO ACEITE ''K&amp;N'' DR/SX-200 [PZ]</t>
  </si>
  <si>
    <t>FILTRO ACEITE ''K&amp;N'' DUCATI 821 HIPERMOTARD [PZ]</t>
  </si>
  <si>
    <t>FILTRO ACEITE ''K&amp;N'' GPZ-400/600 [PZ]</t>
  </si>
  <si>
    <t>FILTRO ACEITE ''K&amp;N'' HARLEY SPORTSTER/HERITAJE [PZ]</t>
  </si>
  <si>
    <t>FILTRO ACEITE APRILIA [PZ]</t>
  </si>
  <si>
    <t>FILTRO ACEITE BENELLI TNT-25 [PZ]</t>
  </si>
  <si>
    <t>FILTRO ACEITE BENELLI TNT-302/TNT-300/TRK-502/RK6 [PZ]</t>
  </si>
  <si>
    <t>FILTRO ACEITE BMW F-650/F-800R [PZ]</t>
  </si>
  <si>
    <t>FILTRO ACEITE BMW G-310 ''PROTECH'' [PZ]</t>
  </si>
  <si>
    <t>FILTRO ACEITE BMW R-1200GS [PZ]</t>
  </si>
  <si>
    <t>FILTRO ACEITE CB-400F/550F/750F/GPZ-400/NINJA-250 [PZ]</t>
  </si>
  <si>
    <t>FILTRO ACEITE CF-400 (MM9) [PZ]</t>
  </si>
  <si>
    <t>FILTRO ACEITE CRF-250/450 [PZ]</t>
  </si>
  <si>
    <t>FILTRO ACEITE DR-200 ''VINI'' [IM]</t>
  </si>
  <si>
    <t>FILTRO ACEITE DR-200/ATV [PZ]</t>
  </si>
  <si>
    <t>FILTRO ACEITE DR-250/650/800/LS-650 [PZ]</t>
  </si>
  <si>
    <t>FILTRO ACEITE DRZ-400/LTZ-400/LTR-450/KLX-400 [PZ]</t>
  </si>
  <si>
    <t>FILTRO ACEITE FZ-16/FZN-150/XTZ-150/PULSAR-160NS/PULSAR-125NS/BENELLI TNT-150 [PZ]</t>
  </si>
  <si>
    <t>FILTRO ACEITE GIXXER-150 [PZ]</t>
  </si>
  <si>
    <t>FILTRO ACEITE GN-125H/EN-125/GIXXER/GT-250R/VS-125/BENELLI-180S/PULSAR-180 [PZ]</t>
  </si>
  <si>
    <t>FILTRO ACEITE GS-750 [PZ]</t>
  </si>
  <si>
    <t>FILTRO ACEITE GSXR-750/V-STROM 1000 [PZ]</t>
  </si>
  <si>
    <t>FILTRO ACEITE GSXR-750/V-STROM 250/650/1000/RZ3-CORSA [PZ]</t>
  </si>
  <si>
    <t>FILTRO ACEITE GT-650R (HYOSUNG) [PZ]</t>
  </si>
  <si>
    <t>FILTRO ACEITE GXT LARGO [PZ]</t>
  </si>
  <si>
    <t>FILTRO ACEITE KAWASAKI ANTIGUA [PZ]</t>
  </si>
  <si>
    <t>FILTRO ACEITE KTM DUKE-200 [PZ]</t>
  </si>
  <si>
    <t>FILTRO ACEITE KX-250/RMZ-250 [PZ]</t>
  </si>
  <si>
    <t>FILTRO ACEITE MT-03 (ANTIGUA)/XT-250/XT-660/XV-250 VIRAGO/400/550/750 [PZ]</t>
  </si>
  <si>
    <t>FILTRO ACEITE NC-250 [PZ]</t>
  </si>
  <si>
    <t>FILTRO ACEITE NINJA-250/GPZ-400 [PZ]</t>
  </si>
  <si>
    <t>FILTRO ACEITE NINJA-650 [PZ]</t>
  </si>
  <si>
    <t>FILTRO ACEITE NK-400 [PZ]</t>
  </si>
  <si>
    <t>FILTRO ACEITE PULSAR-125NS/150NS/160NS [PZ]</t>
  </si>
  <si>
    <t>FILTRO ACEITE PULSAR-180 ''HIBARI'' [PZ]</t>
  </si>
  <si>
    <t>FILTRO ACEITE PULSAR-200NS/PULSAR-200RS/DOMINAR-250/DOMINAR-400/DUKE-200/DUKE-390 [PZ]</t>
  </si>
  <si>
    <t>FILTRO ACEITE R1200GS 2013/2018 [PZ]</t>
  </si>
  <si>
    <t>FILTRO ACEITE SX-125/200 LT-160/ DR-200/ KN-132 [PZ]</t>
  </si>
  <si>
    <t>FILTRO ACEITE UNIVERSAL ''SENFINECO'' (MM9) [OF]</t>
  </si>
  <si>
    <t>FILTRO ACEITE VF-400/VF-750F [PZ]</t>
  </si>
  <si>
    <t>FILTRO ACEITE VS-125/GN-125H/AN-125/BENELLI-180S [PZ]</t>
  </si>
  <si>
    <t>FILTRO ACEITE XR-250 TORNADO/XRE-300/NX 250/NX 650/CBX TWISTER 250/CB 500 2 CILIN (HIBARI) [PZ]</t>
  </si>
  <si>
    <t>FILTRO ACEITE XR-250R/XLR-250R/CBX-250/XRE-300/CBR-250/CBR-300</t>
  </si>
  <si>
    <t>FILTRO ACEITE XR-250R/XLR-250R/CBX-250/XRE-300/CBR-250/CBR-300 C/O´RINES [PZ]</t>
  </si>
  <si>
    <t>FILTRO ACEITE XR-250R/XLR-250R/CBX-250/XRE-300/CBR-250/CBR-300 [PZ]</t>
  </si>
  <si>
    <t>FILTRO ACEITE XS-250/XS-750 (1L9) [PZ]</t>
  </si>
  <si>
    <t>FILTRO ACEITE XT-250/XV-250 VIRAGO/400/750/2HO [PZ]</t>
  </si>
  <si>
    <t>FILTRO ACEITE YZ-250F/YZF-R15/ZONGSHEN RX1/FZ-25 ''VINI'' [IM]</t>
  </si>
  <si>
    <t>FILTRO ACEITE YZF-250 (00/02)/YZF-R15 (MALLA) [PZ]</t>
  </si>
  <si>
    <t>FILTRO ACEITE YZF-R15/FZ-25 [PZ]</t>
  </si>
  <si>
    <t>FILTRO AIRE ''K&amp;N'' CBR-250 [PZ]</t>
  </si>
  <si>
    <t>FILTRO AIRE ''K&amp;N'' NINJA-250 [PZ]</t>
  </si>
  <si>
    <t>FILTRO AIRE ''K&amp;N'' PULSAR-200NS [PZ]</t>
  </si>
  <si>
    <t>FILTRO AIRE ''K&amp;N'' YZF-R15 [PZ]</t>
  </si>
  <si>
    <t>FILTRO AIRE AT-115 NOUVO [PZ]</t>
  </si>
  <si>
    <t>FILTRO AIRE BENELLI-180S [PZ]</t>
  </si>
  <si>
    <t>FILTRO AIRE BICIMOTO 49CC (ST-50) [PZ]</t>
  </si>
  <si>
    <t>FILTRO AIRE CB-190R [PZ]</t>
  </si>
  <si>
    <t>FILTRO AIRE CBF-125 STUNNER [PZ]</t>
  </si>
  <si>
    <t>FILTRO AIRE CBF-150 INVICTA ''VINI'' [IM]</t>
  </si>
  <si>
    <t>FILTRO AIRE CBF-150 INVICTA/NEW-INVICTA (HIBARI) [PZ]</t>
  </si>
  <si>
    <t>FILTRO AIRE CBR-250 ''HIBARI'' [PZ]</t>
  </si>
  <si>
    <t>FILTRO AIRE CBR-250/CBR-300 [PZ]</t>
  </si>
  <si>
    <t>FILTRO AIRE CBX-250 TWISTER [PZ]</t>
  </si>
  <si>
    <t>FILTRO AIRE CG-125 (ELEMENTO) [PZ]</t>
  </si>
  <si>
    <t>FILTRO AIRE CG-150 TITAN [PZ]</t>
  </si>
  <si>
    <t>FILTRO AIRE CONICO ''35MM ROJO'' [PZ]</t>
  </si>
  <si>
    <t>FILTRO AIRE CONICO ''35MM'' [PZ]</t>
  </si>
  <si>
    <t>FILTRO AIRE CONICO ''38/39/40MM'' ''VINI HOT PARTS'' [IM]</t>
  </si>
  <si>
    <t>FILTRO AIRE CYGNUS RAY-ZR [PZ]</t>
  </si>
  <si>
    <t>FILTRO AIRE DISCOVER 100/125 [PZ]</t>
  </si>
  <si>
    <t>FILTRO AIRE DL-650 V-STROM [PZ]</t>
  </si>
  <si>
    <t>FILTRO AIRE DR-160 [PZ]</t>
  </si>
  <si>
    <t>FILTRO AIRE DR-200/ GXT-200 [PZ]</t>
  </si>
  <si>
    <t>FILTRO AIRE DR-650 [PZ]</t>
  </si>
  <si>
    <t>FILTRO AIRE DUKE-250/DUKE-390 [PZ]</t>
  </si>
  <si>
    <t>FILTRO AIRE ELITE-125 [PZ]</t>
  </si>
  <si>
    <t>FILTRO AIRE ELITE-125FI [PZ]</t>
  </si>
  <si>
    <t>FILTRO AIRE FZ-16 ''HIBARI'' [PZ]</t>
  </si>
  <si>
    <t>FILTRO AIRE FZ-16 ''VINI'' [IM]</t>
  </si>
  <si>
    <t>FILTRO AIRE FZ-16 [PZ]</t>
  </si>
  <si>
    <t>FILTRO AIRE FZ-25/YS-250 FAZER [PZ]</t>
  </si>
  <si>
    <t>FILTRO AIRE FZ-600/FZ6-N/FZ6-S [PZ]</t>
  </si>
  <si>
    <t>FILTRO AIRE FZ-S/FZ 2.0 [PZ]</t>
  </si>
  <si>
    <t>FILTRO AIRE FZN-150 (2.0) [PZ]</t>
  </si>
  <si>
    <t>FILTRO AIRE GIXXER-150 [PZ]</t>
  </si>
  <si>
    <t>FILTRO AIRE GN-125/EN-125/XTREET-180(ELEMENTO) [PZ]</t>
  </si>
  <si>
    <t>FILTRO AIRE GN-125H/GSX-150 (ELEMENTO) [PZ]</t>
  </si>
  <si>
    <t>FILTRO AIRE GPZ-400/GPZ-600 [PZ]</t>
  </si>
  <si>
    <t>FILTRO AIRE GS-150R [PZ]</t>
  </si>
  <si>
    <t>FILTRO AIRE GXT-200 [PZ]</t>
  </si>
  <si>
    <t>FILTRO AIRE GY200 [PZ]</t>
  </si>
  <si>
    <t>FILTRO AIRE GZ-150 [PZ]</t>
  </si>
  <si>
    <t>FILTRO AIRE HJ-150-9 COOL/KD-150J/REX-150/VINTAGE CAFÉ [PZ]</t>
  </si>
  <si>
    <t>FILTRO AIRE HONDA-NAVI [PZ]</t>
  </si>
  <si>
    <t>FILTRO AIRE JL125 [PZ]</t>
  </si>
  <si>
    <t>FILTRO AIRE KA-150 [PZ]</t>
  </si>
  <si>
    <t>FILTRO AIRE KLX-150 ''KAWASAKI'' [PZ]</t>
  </si>
  <si>
    <t>FILTRO AIRE KTM DUKE-200 [PZ]</t>
  </si>
  <si>
    <t>FILTRO AIRE KTM DUKE-250/390 [PZ]</t>
  </si>
  <si>
    <t>FILTRO AIRE MT-03/YZF-R3 [PZ]</t>
  </si>
  <si>
    <t>FILTRO AIRE MT-09 [PZ]</t>
  </si>
  <si>
    <t>FILTRO AIRE NEW-ELITE-125 (CARBURADA) [PZ]</t>
  </si>
  <si>
    <t>FILTRO AIRE NEW-STORM/CB1-125/GL-150/SHADOW-150/XTREET-250X/CB-125F TWISTER [PZ]</t>
  </si>
  <si>
    <t>FILTRO AIRE NK-150 [OF]</t>
  </si>
  <si>
    <t>FILTRO AIRE NK-150 [PZ]</t>
  </si>
  <si>
    <t>FILTRO AIRE NXR-150 BROS/XR-125L/LF150GY-4 ''VINI'' [IM]</t>
  </si>
  <si>
    <t>FILTRO AIRE NXR-150 BROS/XR-125L/LF150GY-4 [PZ]</t>
  </si>
  <si>
    <t>FILTRO AIRE PULSAR [PZ]</t>
  </si>
  <si>
    <t>FILTRO AIRE PULSAR-125NS/PULSAR-135 ''HIBARI'' [PZ]</t>
  </si>
  <si>
    <t>FILTRO AIRE PULSAR-180/220F/S ''HIBARI'' [PZ]</t>
  </si>
  <si>
    <t>FILTRO AIRE PULSAR-180/220F/S 125/135/150 [PZ]</t>
  </si>
  <si>
    <t>FILTRO AIRE PULSAR-200NS ''HIBARI'' [PZ]</t>
  </si>
  <si>
    <t>FILTRO AIRE PULSAR-200NS FI/PULSAR-160NS/RS-200/DOMINAR-250/400 (INYECTADA) [PZ]</t>
  </si>
  <si>
    <t>FILTRO AIRE PULSAR-200NS [PZ]</t>
  </si>
  <si>
    <t>FILTRO AIRE RK-150 [PZ]</t>
  </si>
  <si>
    <t>FILTRO AIRE SCOOTER (TRIANGULAR) [PZ]</t>
  </si>
  <si>
    <t>FILTRO AIRE SCOOTER 125/150 (REDONDO) [PZ]</t>
  </si>
  <si>
    <t>FILTRO AIRE SH-125/150 SUZUKI/KGF (SCOOTER) [PZ]</t>
  </si>
  <si>
    <t>FILTRO AIRE STORM 125 [PZ]</t>
  </si>
  <si>
    <t>FILTRO AIRE STORM-125/CGL-125 [PZ]</t>
  </si>
  <si>
    <t>FILTRO AIRE SUZUKI [PZ]</t>
  </si>
  <si>
    <t>FILTRO AIRE TR150-S [PZ]</t>
  </si>
  <si>
    <t>FILTRO AIRE UNIVERSAL (CONICO) 48MM [PZ]</t>
  </si>
  <si>
    <t>FILTRO AIRE UNIVERSAL 35MM [PZ]</t>
  </si>
  <si>
    <t>FILTRO AIRE UNIVERSAL 39MM (CURVO) [PZ]</t>
  </si>
  <si>
    <t>FILTRO AIRE UNIVERSAL 45MM [PZ]</t>
  </si>
  <si>
    <t>FILTRO AIRE UNIVERSAL 48MM (AZUL) [PZ]</t>
  </si>
  <si>
    <t>FILTRO AIRE UNIVERSAL 50MM [PZ]</t>
  </si>
  <si>
    <t>FILTRO AIRE VS-125 [PZ]</t>
  </si>
  <si>
    <t>FILTRO AIRE XBLADE-160 [PZ]</t>
  </si>
  <si>
    <t>FILTRO AIRE XF-650 FREEWIND [PZ]</t>
  </si>
  <si>
    <t>FILTRO AIRE XR-125L/XR-150L (DESDE EL 2013) [PZ]</t>
  </si>
  <si>
    <t>FILTRO AIRE XR-190L [PZ]</t>
  </si>
  <si>
    <t>FILTRO AIRE XR-250 TORNADO ''HIBARI'' [PZ]</t>
  </si>
  <si>
    <t>FILTRO AIRE XR-250 TORNADO [OF]</t>
  </si>
  <si>
    <t>FILTRO AIRE XR-250/XR-400/XR-600 [PZ]</t>
  </si>
  <si>
    <t>FILTRO AIRE XRE-300 ''HIBARI'' [PZ]</t>
  </si>
  <si>
    <t>FILTRO AIRE XRE-300 [PZ]</t>
  </si>
  <si>
    <t>FILTRO AIRE XTZ-125 [PZ]</t>
  </si>
  <si>
    <t>FILTRO AIRE XTZ-250 LANDER [PZ]</t>
  </si>
  <si>
    <t>FILTRO AIRE YBR-125 ''HIBARI'' (2010 ADELANTE) [PZ]</t>
  </si>
  <si>
    <t>FILTRO AIRE YBR-125 (01/09) [PZ]</t>
  </si>
  <si>
    <t>FILTRO AIRE YBR-125 [PZ]</t>
  </si>
  <si>
    <t>FILTRO AIRE YD-110 CRUX [PZ]</t>
  </si>
  <si>
    <t>FILTRO AIRE YW-100 BWS [PZ]</t>
  </si>
  <si>
    <t>FILTRO AIRE YW-125 BWS-125 [PZ]</t>
  </si>
  <si>
    <t>FILTRO AIRE YZF-R15 [PZ]</t>
  </si>
  <si>
    <t>FILTRO AIRE YZF-R3/MT-03 [PZ]</t>
  </si>
  <si>
    <t>FILTRO AIRE ZN-125T-22 [PZ]</t>
  </si>
  <si>
    <t>FILTRO BENCINA GN-125H [PZ]</t>
  </si>
  <si>
    <t>FILTRO BENCINA PULSAR-200RS/200NS/DOMINAR-250/DUKE-200/250/390 [PZ]</t>
  </si>
  <si>
    <t>FILTRO DE AIRE ALTO FLUJO APRILIA RS-660 ''DNA'' [PZ]</t>
  </si>
  <si>
    <t>FILTRO DE AIRE ALTO FLUJO APRILIA RSV4 SERIES ''DNA'' [PZ]</t>
  </si>
  <si>
    <t>FILTRO DE AIRE ALTO FLUJO BENELLI TNT-300/TNT-302S/TNT-302R ''DNA'' [PZ]</t>
  </si>
  <si>
    <t>FILTRO DE AIRE ALTO FLUJO BENELLI TNT-600 ''DNA'' [PZ]</t>
  </si>
  <si>
    <t>FILTRO DE AIRE ALTO FLUJO BENELLI TRK-502/TRK-502X ''DNA'' [PZ]</t>
  </si>
  <si>
    <t>FILTRO DE AIRE ALTO FLUJO BMW F-750GS/F-850GS/F-900 ''DNA'' [PZ]</t>
  </si>
  <si>
    <t>FILTRO DE AIRE ALTO FLUJO BMW F-800 ''DNA'' [PZ]</t>
  </si>
  <si>
    <t>FILTRO DE AIRE ALTO FLUJO BMW G-310R/G-310GS ''DNA'' [PZ]</t>
  </si>
  <si>
    <t>FILTRO DE AIRE ALTO FLUJO BMW R-1200GS/R-1250GS ''DNA'' [PZ]</t>
  </si>
  <si>
    <t>FILTRO DE AIRE ALTO FLUJO BMW S-1000R/S-1000RR/S-1000XR ''DNA'' [PZ]</t>
  </si>
  <si>
    <t>FILTRO DE AIRE ALTO FLUJO BMW S-1000R/S-1000RR/S-1000XR (2019-2022)''DNA'' [PZ]</t>
  </si>
  <si>
    <t>FILTRO DE AIRE ALTO FLUJO CF MOTO NK-250/NK-300/250SR/300SR ''DNA'' [PZ]</t>
  </si>
  <si>
    <t>FILTRO DE AIRE ALTO FLUJO CF MOTO NK-400/NK-650 ''DNA'' [PZ]</t>
  </si>
  <si>
    <t>FILTRO DE AIRE ALTO FLUJO HONDA CB-650 SERIES ''DNA'' [PZ]</t>
  </si>
  <si>
    <t>FILTRO DE AIRE ALTO FLUJO HONDA CBR-1000RR (2010-2015) ''DNA'' [PZ]</t>
  </si>
  <si>
    <t>FILTRO DE AIRE ALTO FLUJO HONDA CBR-1000RR (2017-2019) ''DNA'' [PZ]</t>
  </si>
  <si>
    <t>FILTRO DE AIRE ALTO FLUJO HONDA CBR-250/CBR-300 ''DNA'' [PZ]</t>
  </si>
  <si>
    <t>FILTRO DE AIRE ALTO FLUJO HONDA CBR-500R/CB-500X/CB-500F (2013-2018) ''DNA'' [PZ]</t>
  </si>
  <si>
    <t>FILTRO DE AIRE ALTO FLUJO HONDA CBR-500R/CB-500X/CB-500F (2019-2022) ''DNA'' [PZ]</t>
  </si>
  <si>
    <t>FILTRO DE AIRE ALTO FLUJO HONDA CBR-600RR ''DNA'' [PZ]</t>
  </si>
  <si>
    <t>FILTRO DE AIRE ALTO FLUJO HONDA NC-750 (2021-2023) ''DNA'' [PZ]</t>
  </si>
  <si>
    <t>FILTRO DE AIRE ALTO FLUJO KAWASAKI NINJA-250/NINJA-300 ''DNA'' [PZ]</t>
  </si>
  <si>
    <t>FILTRO DE AIRE ALTO FLUJO KAWASAKI NINJA-400/Z-400 ''DNA'' [PZ]</t>
  </si>
  <si>
    <t>FILTRO DE AIRE ALTO FLUJO KAWASAKI NINJA-650/VERSYS-650ABS/Z-650ABS ''DNA'' [PZ]</t>
  </si>
  <si>
    <t>FILTRO DE AIRE ALTO FLUJO KAWASAKI VERSYS-650/ER-6F/ER-6N (2007-2014) ''DNA'' [PZ]</t>
  </si>
  <si>
    <t>FILTRO DE AIRE ALTO FLUJO KAWASAKI Z-1000/VERSYS-1000 ''DNA'' [PZ]</t>
  </si>
  <si>
    <t>FILTRO DE AIRE ALTO FLUJO KAWASAKI Z-800 (2013-2016) ''DNA'' [PZ]</t>
  </si>
  <si>
    <t>FILTRO DE AIRE ALTO FLUJO KAWASAKI Z-900 (2017-2022) ''DNA'' [PZ]</t>
  </si>
  <si>
    <t>FILTRO DE AIRE ALTO FLUJO KAWASAKI ZX-10R (2016-2022) ''DNA'' [PZ]</t>
  </si>
  <si>
    <t>FILTRO DE AIRE ALTO FLUJO KAWASAKI ZX-6R ''DNA'' [PZ]</t>
  </si>
  <si>
    <t>FILTRO DE AIRE ALTO FLUJO KTM DUKE-200/250/390/HUSQVARNA SVARTPILEN 200/250/401 ''DNA'' [PZ]</t>
  </si>
  <si>
    <t>FILTRO DE AIRE ALTO FLUJO KTM DUKE-200/390/RC-200/390 ''DNA'' [PZ]</t>
  </si>
  <si>
    <t>FILTRO DE AIRE ALTO FLUJO KTM-790/890/1050/1090/1190/1290 ADVENTURE ''DNA'' [PZ]</t>
  </si>
  <si>
    <t>FILTRO DE AIRE ALTO FLUJO P-Y3S15-01 ''DNA'' [PZ]</t>
  </si>
  <si>
    <t>FILTRO DE AIRE ALTO FLUJO PULSAR-200RS FI/PULSAR-200RS/DOMINAR-250/DOMINAR-400 ''DNA'' [PZ]</t>
  </si>
  <si>
    <t>FILTRO DE AIRE ALTO FLUJO ROYAL ENFIELD HIMALAYAN-411 ''DNA'' [PZ]</t>
  </si>
  <si>
    <t>FILTRO DE AIRE ALTO FLUJO ROYALD ENFIELD CONTINENTAL GT-650/INTERCEPTOR-650 ''DNA'' [PZ]</t>
  </si>
  <si>
    <t>FILTRO DE AIRE ALTO FLUJO SUZUKI GSX-S-750 ''DNA'' [PZ]</t>
  </si>
  <si>
    <t>FILTRO DE AIRE ALTO FLUJO SUZUKI GSXR-1000 (2017-2022) ''DNA'' [PZ]</t>
  </si>
  <si>
    <t>FILTRO DE AIRE ALTO FLUJO SUZUKI GSXR-600/GSXR-750 ''DNA'' [PZ]</t>
  </si>
  <si>
    <t>FILTRO DE AIRE ALTO FLUJO SUZUKI GSXS-1000 (2016-2020)/GSXR-1000 (2009-2016) ''DNA'' [PZ]</t>
  </si>
  <si>
    <t>FILTRO DE AIRE ALTO FLUJO SUZUKI V-STROM-1000 (2014-2019) ''DNA'' [PZ]</t>
  </si>
  <si>
    <t>FILTRO DE AIRE ALTO FLUJO SUZUKI V-STROM-250/GSX-250R ''DNA'' [PZ]</t>
  </si>
  <si>
    <t>FILTRO DE AIRE ALTO FLUJO SUZUKI V-STROM-650 (2004-2022)/V-STROM-1000 (2002-2013) ''DNA'' [PZ]</t>
  </si>
  <si>
    <t>FILTRO DE AIRE ALTO FLUJO TRIUMPH DAYTONA-675/STREET TRIPLE ''DNA'' [PZ]</t>
  </si>
  <si>
    <t>FILTRO DE AIRE ALTO FLUJO TRIUMPH DAYTONA-675/STREET TRIPLE-675 (2009-2012) ''DNA'' [PZ]</t>
  </si>
  <si>
    <t>FILTRO DE AIRE ALTO FLUJO TRIUMPH SPEED TRIPLE-1050 ''DNA'' [PZ]</t>
  </si>
  <si>
    <t>FILTRO DE AIRE ALTO FLUJO TRIUMPH STREET TRIPLE-765 ''DNA'' [PZ]</t>
  </si>
  <si>
    <t>FILTRO DE AIRE ALTO FLUJO TRIUMPH TIGER EXPLORER-1200 ''DNA'' [PZ]</t>
  </si>
  <si>
    <t>FILTRO DE AIRE ALTO FLUJO TRIUMPH TIGER-800 ''DNA'' [PZ]</t>
  </si>
  <si>
    <t>FILTRO DE AIRE ALTO FLUJO TRIUMPH TIGER-850/TIGER-900 ''DNA'' [PZ]</t>
  </si>
  <si>
    <t>FILTRO DE AIRE ALTO FLUJO TRIUMPH TRIDENT-660/TIGER SPORT-660 ''DNA'' [PZ]</t>
  </si>
  <si>
    <t>FILTRO DE AIRE ALTO FLUJO YAMAHA MT-07 ''DNA'' [PZ]</t>
  </si>
  <si>
    <t>FILTRO DE AIRE ALTO FLUJO YAMAHA MT-09 ''DNA'' [PZ]</t>
  </si>
  <si>
    <t>FILTRO DE AIRE ALTO FLUJO YAMAHA XJ6 (2009-2016) ''DNA'' [PZ]</t>
  </si>
  <si>
    <t>FILTRO DE AIRE ALTO FLUJO YAMAHA XTZ-1200 ''DNA'' [PZ]</t>
  </si>
  <si>
    <t>FILTRO DE AIRE ALTO FLUJO YAMAHA YZF-R1 (2009-2014) ''DNA'' [PZ]</t>
  </si>
  <si>
    <t>FILTRO DE AIRE ALTO FLUJO YAMAHA YZF-R1 2015-2022 ''DNA'' [PZ]</t>
  </si>
  <si>
    <t>FILTRO DE AIRE ALTO FLUJO YAMAHA YZF-R15 V2 ''DNA'' [PZ]</t>
  </si>
  <si>
    <t>FILTRO DE AIRE ALTO FLUJO YAMAHA YZF-R6 ''DNA'' [PZ]</t>
  </si>
  <si>
    <t>FLASHS</t>
  </si>
  <si>
    <t>FLASH 12V PULSAR-200NS [PZ]</t>
  </si>
  <si>
    <t>FLASH 12V SCOOTER 125/150/LF150GY-4 [PZ]</t>
  </si>
  <si>
    <t>FLASH 12V SCOOTER-125 GY6 ''VINI'' [IM]</t>
  </si>
  <si>
    <t>FLASH 12V UNIVERSAL C/BOCINA [PZ]</t>
  </si>
  <si>
    <t>FLASH 12V UNIVERSAL LED ''VINI'' [IM]</t>
  </si>
  <si>
    <t>FLASH 12V UNIVERSAL LED [PZ]</t>
  </si>
  <si>
    <t>FLASH 12V UNIVERSAL REDONDO [PZ]</t>
  </si>
  <si>
    <t>FLASH INTERMITENTE RENEGADE-200 [PZ]</t>
  </si>
  <si>
    <t>FLASH INTERMITENTE SPEED 125 CLASIC [PZ]</t>
  </si>
  <si>
    <t>FLASH PULSAR-200NS [PZ]</t>
  </si>
  <si>
    <t>FLEXIBLE EMBRAGUE UNIVERSAL [PZ]</t>
  </si>
  <si>
    <t>FLEXIBLES</t>
  </si>
  <si>
    <t>FLEXIBLE FRENO DELANTERO 1.20MTS [PZ]</t>
  </si>
  <si>
    <t>FLEXIBLE FRENO DELANTERO CBX-250 [PZ]</t>
  </si>
  <si>
    <t>FLOTADOR ESTANQUE BENCINA AN-125 [PZ]</t>
  </si>
  <si>
    <t>FLOTADORES</t>
  </si>
  <si>
    <t>FLOTADOR ESTANQUE BENCINA UNIVERSAL [PZ]</t>
  </si>
  <si>
    <t>FLOTADOR ESTANQUE BENCINA YBR-125 [PZ]</t>
  </si>
  <si>
    <t>FLUSHING DE MOTOR ''SENFINECO'' 100ML [OF]</t>
  </si>
  <si>
    <t>FLUSHING DE MOTOR ''SENFINECO'' 443ML [OF]</t>
  </si>
  <si>
    <t>FOCO AUXILIAR (NEBLINERO) 9 LED OVALADO [PZ]</t>
  </si>
  <si>
    <t>FOCO AUXILIAR (NEBLINERO) C/PARLANTE Y BLUETOOTH [PZ] AZUL</t>
  </si>
  <si>
    <t>FOCO AUXILIAR (NEBLINERO) C/PARLANTE Y BLUETOOTH [PZ] DORADO</t>
  </si>
  <si>
    <t>FOCO AUXILIAR (NEBLINERO) C/PARLANTE Y BLUETOOTH [PZ] PLATEADO</t>
  </si>
  <si>
    <t>FOCO AUXILIAR (NEBLINERO) C/PARLANTE Y BLUETOOTH [PZ] ROJO</t>
  </si>
  <si>
    <t>FOCO AUXILIAR (NEBLINERO) [PZ]</t>
  </si>
  <si>
    <t>FOCO AUXILIAR (NEBLINERO) [PZ] NEGRO</t>
  </si>
  <si>
    <t>FOCOS</t>
  </si>
  <si>
    <t>FOCO AUXILIAR UNIVERSAL (3235) [PZ]</t>
  </si>
  <si>
    <t>FOCO AUXILIAR UNIVERSAL 3 LED (BLANCO) (E03) [PZ]</t>
  </si>
  <si>
    <t>FOCO DELANTERO CB-125 TWISTER [OF]</t>
  </si>
  <si>
    <t>FOCO DELANTERO CB-125F TWISTER [PZ]</t>
  </si>
  <si>
    <t>FOCO DELANTERO CB-190 [PZ]</t>
  </si>
  <si>
    <t>FOCO DELANTERO CB-250 TWSITER C/MASCARA [PZ]</t>
  </si>
  <si>
    <t>FOCO DELANTERO CB1-125 [PZ]</t>
  </si>
  <si>
    <t>FOCO DELANTERO CB1-125 [PZ] NEGRO</t>
  </si>
  <si>
    <t>FOCO DELANTERO CBF-150 INVICTA (2009-2013) [PZ]</t>
  </si>
  <si>
    <t>FOCO DELANTERO CBF-150 NEW-INVICTA [PZ]</t>
  </si>
  <si>
    <t>FOCO DELANTERO CBX-250 [PZ]</t>
  </si>
  <si>
    <t>FOCO DELANTERO CHOPPER C/REJILLA [PZ]</t>
  </si>
  <si>
    <t>FOCO DELANTERO CHOPPER [PZ]</t>
  </si>
  <si>
    <t>FOCO DELANTERO DSR-200 [PZ]</t>
  </si>
  <si>
    <t>FOCO DELANTERO FASTWIND-220/JL250-A [PZ]</t>
  </si>
  <si>
    <t>FOCO DELANTERO FZ 2.0 [PZ]</t>
  </si>
  <si>
    <t>FOCO DELANTERO FZ-16 C/MASCARA [PZ] ROJO</t>
  </si>
  <si>
    <t>FOCO DELANTERO FZ-16 [PZ]</t>
  </si>
  <si>
    <t>FOCO DELANTERO FZ-25 C/TAPAS CUBRE FOCO [PZ]</t>
  </si>
  <si>
    <t>FOCO DELANTERO FZ-25 [PZ]</t>
  </si>
  <si>
    <t>FOCO DELANTERO GIXXER-150 [PZ]</t>
  </si>
  <si>
    <t>FOCO DELANTERO GN-125H [PZ]</t>
  </si>
  <si>
    <t>FOCO DELANTERO GXT-200 MOTARD [PZ]</t>
  </si>
  <si>
    <t>FOCO DELANTERO HONDA-NAVI [PZ]</t>
  </si>
  <si>
    <t>FOCO DELANTERO KA-150 [PZ]</t>
  </si>
  <si>
    <t>FOCO DELANTERO KA-150 [PZ] NEGRO</t>
  </si>
  <si>
    <t>FOCO DELANTERO LATERAL CHOPPER [PZ]</t>
  </si>
  <si>
    <t>FOCO DELANTERO NK-150 C/MASCARA [PZ] BLANCO</t>
  </si>
  <si>
    <t>FOCO DELANTERO NK-150 [PZ]</t>
  </si>
  <si>
    <t>FOCO DELANTERO PULSAR-200NS [PZ]</t>
  </si>
  <si>
    <t>FOCO DELANTERO RK-150 [PZ]</t>
  </si>
  <si>
    <t>FOCO DELANTERO RKV-150 [PZ]</t>
  </si>
  <si>
    <t>FOCO DELANTERO ST-70 [OF]</t>
  </si>
  <si>
    <t>FOCO DELANTERO TIPO CAFE RACER (C/MALLA) [PZ]</t>
  </si>
  <si>
    <t>FOCO DELANTERO TIPO CHOPPER [PZ]</t>
  </si>
  <si>
    <t>FOCO DELANTERO UNIVERSAL CROMADO [PZ]</t>
  </si>
  <si>
    <t>FOCO DELANTERO V-MEN-125 [PZ]</t>
  </si>
  <si>
    <t>FOCO DELANTERO XR-150 C/MASCARA [PZ]</t>
  </si>
  <si>
    <t>FOCO DELANTERO XRE-300/TTX-250/TTX-300 [PZ]</t>
  </si>
  <si>
    <t>FOCO DELANTERO XTZ-125 C/MASCARA [PZ]</t>
  </si>
  <si>
    <t>FOCO DELANTERO XTZ-125 [PZ]</t>
  </si>
  <si>
    <t>FOCO DELANTERO YBR-125Z C/MASCARA [PZ] AZUL</t>
  </si>
  <si>
    <t>FOCO DELANTERO YBR-125Z [PZ]</t>
  </si>
  <si>
    <t>FOCO DELANTERO YZF-R15 ''VINI'' [PZ]</t>
  </si>
  <si>
    <t>SEÑALIZADORES</t>
  </si>
  <si>
    <t>FOCO SEÑALIZADOR CB-190 (DEL/DER) [PZ]</t>
  </si>
  <si>
    <t>FOCO SEÑALIZADOR CB-190 (DEL/IZQ) [PZ]</t>
  </si>
  <si>
    <t>FOCO SEÑALIZADOR CBF-150 INVICTA [PZ]</t>
  </si>
  <si>
    <t>FOCO SEÑALIZADOR CBF-150 NEW-INVICTA [PZ] DEL/DER-TRA/IZQ</t>
  </si>
  <si>
    <t>FOCO SEÑALIZADOR CBF-150 NEW-INVICTA [PZ] DEL/IZQ-TRA/DER</t>
  </si>
  <si>
    <t>FOCO SEÑALIZADOR CBX-250 (DER) [PZ]</t>
  </si>
  <si>
    <t>FOCO SEÑALIZADOR CBX-250 (IZQ) [PZ]</t>
  </si>
  <si>
    <t>FOCO SEÑALIZADOR CG-150T/JOB [PZ]</t>
  </si>
  <si>
    <t>FOCO SEÑALIZADOR DELANTERO IZQUIERDO TX-200/TX-150 [PZ]</t>
  </si>
  <si>
    <t>FOCO SEÑALIZADOR DSR-200 (DEL/IZQ) [PZ]</t>
  </si>
  <si>
    <t>FOCO SEÑALIZADOR EN-125 [PZ]</t>
  </si>
  <si>
    <t>FOCO SEÑALIZADOR FZ-16 DEL/DER. [PZ]</t>
  </si>
  <si>
    <t>FOCO SEÑALIZADOR FZ-16 DEL/IZQ. [PZ]</t>
  </si>
  <si>
    <t>FOCO SEÑALIZADOR GIXXER-150 [PZ]</t>
  </si>
  <si>
    <t>FOCO SEÑALIZADOR GN-125/JL125-7 [PZ]</t>
  </si>
  <si>
    <t>FOCO SEÑALIZADOR GY-200 [PZ]</t>
  </si>
  <si>
    <t>FOCO SEÑALIZADOR HONDA-NAVI [PZ]</t>
  </si>
  <si>
    <t>FOCO SEÑALIZADOR JL150-16 CROMADO [PZ]</t>
  </si>
  <si>
    <t>FOCO SEÑALIZADOR KA-150 (DEL/DER) [PZ]</t>
  </si>
  <si>
    <t>FOCO SEÑALIZADOR KA-150/NK-150 (TRA/DER) [PZ]</t>
  </si>
  <si>
    <t>FOCO SEÑALIZADOR KA-150/NK-150 (TRA/IZQ) [PZ]</t>
  </si>
  <si>
    <t>FOCO SEÑALIZADOR KA-150/NK-150 [PZ] DEL/DER-TRA/IZQ</t>
  </si>
  <si>
    <t>FOCO SEÑALIZADOR KA-150/NK-150 [PZ] DEL/IZQ-TRA/DER</t>
  </si>
  <si>
    <t>FOCO SEÑALIZADOR MOTOMEL SPEED-125 (TRA/DER) [PZ]</t>
  </si>
  <si>
    <t>FOCO SEÑALIZADOR MOTOMEL SPEED-125 (TRA/IZQ) [PZ]</t>
  </si>
  <si>
    <t>FOCO SEÑALIZADOR NX-400 FALCON/XRE-300 (DEL/DER) (TRA/IZQ) [PZ]</t>
  </si>
  <si>
    <t>FOCO SEÑALIZADOR NX-400 FALCON/XRE-300 (DEL/IZQ) (TRA/DER) [PZ]</t>
  </si>
  <si>
    <t>FOCO SEÑALIZADOR PULSAR-160NS/PULSAR-200NS [PZ] DERECHO</t>
  </si>
  <si>
    <t>FOCO SEÑALIZADOR PULSAR-160NS/PULSAR-200NS [PZ] IZQUIERDO</t>
  </si>
  <si>
    <t>FOCO SEÑALIZADOR RENEGADE (DEL/DER) [PZ]</t>
  </si>
  <si>
    <t>FOCO SEÑALIZADOR RENEGADE (REDONDO) [PZ]</t>
  </si>
  <si>
    <t>FOCO SEÑALIZADOR RENEGADE-200 [PZ]</t>
  </si>
  <si>
    <t>FOCO SEÑALIZADOR STORM-125 [PZ]</t>
  </si>
  <si>
    <t>FOCO SEÑALIZADOR STORM-125/XR-125L [PZ]</t>
  </si>
  <si>
    <t>FOCO SEÑALIZADOR TA125-5 [PZ]</t>
  </si>
  <si>
    <t>FOCO SEÑALIZADOR TRASERO FZ-16 [PZ] TRASERO-DERECHO</t>
  </si>
  <si>
    <t>FOCO SEÑALIZADOR TRASERO FZ-16 [PZ] TRASERO-IZQUIERDO</t>
  </si>
  <si>
    <t>FOCO SEÑALIZADOR UNIVERSAL (FS-5342-6) [PZ]</t>
  </si>
  <si>
    <t>FOCO SEÑALIZADOR UNIVERSAL (REDONDO) [PZ]</t>
  </si>
  <si>
    <t>FOCO SEÑALIZADOR UNIVERSAL JL200-II [PZ]</t>
  </si>
  <si>
    <t>FOCO SEÑALIZADOR UNIVERSAL MICA BLANCA [PZ]</t>
  </si>
  <si>
    <t>FOCO SEÑALIZADOR UNIVERSAL NEGRO [PZ]</t>
  </si>
  <si>
    <t>FOCO SEÑALIZADOR UNIVERSAL [PZ]</t>
  </si>
  <si>
    <t>FOCO SEÑALIZADOR XL-125/185S [PZ]</t>
  </si>
  <si>
    <t>FOCO SEÑALIZADOR XLR-250R [PZ]</t>
  </si>
  <si>
    <t>FOCO SEÑALIZADOR XR-150L/XR-190L/CB-125F TWISTER [PZ] DERECHO</t>
  </si>
  <si>
    <t>FOCO SEÑALIZADOR XR-150L/XR-190L/CB-125F TWISTER [PZ] IZQUIERDO</t>
  </si>
  <si>
    <t>FOCO SEÑALIZADOR YBR-125 (IZQ) [PZ]</t>
  </si>
  <si>
    <t>FOCO TRASERO LED PULSAR-200NS [PZ]</t>
  </si>
  <si>
    <t>FOCO TRASERO 3 LED (ROJO STROBOSCOPICO) [PZ]</t>
  </si>
  <si>
    <t>FOCO TRASERO CB1-125 [PZ]</t>
  </si>
  <si>
    <t>FOCO TRASERO CBF-150 INVICTA [PZ]</t>
  </si>
  <si>
    <t>FOCO TRASERO CBX-250 TWISTER [PZ]</t>
  </si>
  <si>
    <t>FOCO TRASERO CG-125 [PZ]</t>
  </si>
  <si>
    <t>FOCO TRASERO CHOPPER [PZ]</t>
  </si>
  <si>
    <t>FOCO TRASERO FZ-16 2.0 [PZ]</t>
  </si>
  <si>
    <t>FOCO TRASERO FZ-16 [PZ]</t>
  </si>
  <si>
    <t>FOCO TRASERO FZ-16/DT-125LC/XT-250T [PZ]</t>
  </si>
  <si>
    <t>FOCO TRASERO GN-125H [PZ]</t>
  </si>
  <si>
    <t>FOCO TRASERO HONDA-NAVI [PZ]</t>
  </si>
  <si>
    <t>FOCO TRASERO KA-150 [PZ]</t>
  </si>
  <si>
    <t>FOCO TRASERO LED C/SEÑALIZADOR [PZ]</t>
  </si>
  <si>
    <t>FOCO TRASERO MB-100 [PZ]</t>
  </si>
  <si>
    <t>FOCO TRASERO NK-150 [PZ]</t>
  </si>
  <si>
    <t>FOCO TRASERO PULSAR-200NS [PZ]</t>
  </si>
  <si>
    <t>FOCO TRASERO REDONDO C/PORTA PATENTE [PZ]</t>
  </si>
  <si>
    <t>FOCO TRASERO RENEGADE-200 LIMITED/TIPO CHOPPER [PZ]</t>
  </si>
  <si>
    <t>FOCO TRASERO STORM-125 [PZ]</t>
  </si>
  <si>
    <t>FOCO TRASERO TK150 [PZ]</t>
  </si>
  <si>
    <t>FOCO TRASERO UNIVERSAL (HARLEY) [PZ]</t>
  </si>
  <si>
    <t>FOCO TRASERO UNIVERSAL (TIPO HARLEY ) . [PZ]</t>
  </si>
  <si>
    <t>FOCO TRASERO UNIVERSAL [PZ]</t>
  </si>
  <si>
    <t>FOCO TRASERO XR-150L [PZ]</t>
  </si>
  <si>
    <t>FOCO TRASERO XR-250R (96/04) [PZ]</t>
  </si>
  <si>
    <t>FOCO TRASERO XRE-300 [PZ]</t>
  </si>
  <si>
    <t>FOCO TRASERO YBR-125 [PZ]</t>
  </si>
  <si>
    <t>FOCOS SEÑALIZADORES JGO. (REDONDO CROMADO) [PZ]</t>
  </si>
  <si>
    <t>FOCOS SEÑALIZADORES METALICOS (NEGRO) [PZ]</t>
  </si>
  <si>
    <t>FOCOS SEÑALIZADORES. JGO. CB1-125/TWISTER-125 [PZ]</t>
  </si>
  <si>
    <t>FOCOS SEÑALIZADORES. JGO. CBF-150 NEW INVICTA [PZ]</t>
  </si>
  <si>
    <t>FOCOS SEÑALIZADORES. JGO. CBX-250 [PZ]</t>
  </si>
  <si>
    <t>FOCOS SEÑALIZADORES. JGO. DELANTERO BICIMOTO 49CC (ST-50) [PZ]</t>
  </si>
  <si>
    <t>FOCOS SEÑALIZADORES. JGO. DELANTERO FZ-16 2.0 [PZ]</t>
  </si>
  <si>
    <t>FOCOS SEÑALIZADORES. JGO. DELANTERO FZ-16 [PZ]</t>
  </si>
  <si>
    <t>FOCOS SEÑALIZADORES. JGO. DELANTERO GIXXER-150 [PZ]</t>
  </si>
  <si>
    <t>FOCOS SEÑALIZADORES. JGO. DSR-200 [PZ]</t>
  </si>
  <si>
    <t>FOCOS SEÑALIZADORES. JGO. HONDA-NAVI [PZ]</t>
  </si>
  <si>
    <t>FOCOS SEÑALIZADORES. JGO. LED (TIPO FLECHA) [PZ]</t>
  </si>
  <si>
    <t>FOCOS SEÑALIZADORES. JGO. LED CALAVERA [PZ]</t>
  </si>
  <si>
    <t>FOCOS SEÑALIZADORES. JGO. LED UNIVERSAL [PZ]</t>
  </si>
  <si>
    <t>FOCOS SEÑALIZADORES. JGO. MOTARD-200 [PZ]</t>
  </si>
  <si>
    <t>FOCOS SEÑALIZADORES. JGO. PULSAR-150TD/PULSAR-180 [PZ]</t>
  </si>
  <si>
    <t>FOCOS SEÑALIZADORES. JGO. PULSAR-160NS/PULSAR-200NS [PZ]</t>
  </si>
  <si>
    <t>FOCOS SEÑALIZADORES. JGO. RK-150/RKS-150/RKS-125 [PZ]</t>
  </si>
  <si>
    <t>FOCOS SEÑALIZADORES. JGO. RKV-150/RKV-200 [PZ]</t>
  </si>
  <si>
    <t>FOCOS SEÑALIZADORES. JGO. TRASERO BICIMOTO 49CC (ST-50) [PZ]</t>
  </si>
  <si>
    <t>FOCOS SEÑALIZADORES. JGO. TRASERO FZ-16 [PZ]</t>
  </si>
  <si>
    <t>FOCOS SEÑALIZADORES. JGO. TRASERO GIXXER-150 [PZ]</t>
  </si>
  <si>
    <t>FOCOS SEÑALIZADORES. JGO. TRASERO XR-250 [PZ]</t>
  </si>
  <si>
    <t>FOCOS SEÑALIZADORES. JGO. TX-150/TX-200 [PZ]</t>
  </si>
  <si>
    <t>FOCOS SEÑALIZADORES. JGO. UNIVERSAL (CROMADO) [PZ]</t>
  </si>
  <si>
    <t>FOCOS SEÑALIZADORES. JGO. UNIVERSAL (NEGRO) [PZ]</t>
  </si>
  <si>
    <t>FOCOS SEÑALIZADORES. JGO. UNIVERSAL [PZ]</t>
  </si>
  <si>
    <t>FOCOS SEÑALIZADORES. JGO. XTZ-125 [PZ]</t>
  </si>
  <si>
    <t>FRONTAL QUILLA KA-150 [PZ]</t>
  </si>
  <si>
    <t>FUNDA CABLE 30 METROS 4MM [PZ]</t>
  </si>
  <si>
    <t>FUNDA CUBRE ASIENTO BICIMOTO GEL [PZ]</t>
  </si>
  <si>
    <t>FUNDA PROTECTORA RAMAL-CABLES ''10MM X 10M'' [PZ]</t>
  </si>
  <si>
    <t>FUNDA PROTECTORA RAMAL-CABLES ''25MM X 10M'' [PZ]</t>
  </si>
  <si>
    <t>FUSIBLE 10 AMPERES [PZ]</t>
  </si>
  <si>
    <t>FUSIBLE 20 AMPERES [PZ]</t>
  </si>
  <si>
    <t>GOMAS</t>
  </si>
  <si>
    <t>GOMA FILTRO AIRE AN-125 [PZ]</t>
  </si>
  <si>
    <t>GOMA PEDAL PARTIDA MORADA [PZ]</t>
  </si>
  <si>
    <t>GOMA PEDALIN. JGO. CG-125 [PZ]</t>
  </si>
  <si>
    <t>GOMA PROTECTORA PEDAL CAMBIOS [PZ]</t>
  </si>
  <si>
    <t>GOMA TAPA LATERAL REDER-200 [PZ]</t>
  </si>
  <si>
    <t>GOMAS FUELLE HORQUILLA CG-125 [PZ]</t>
  </si>
  <si>
    <t>GOMAS FUELLE HORQUILLA XR-150 [PZ]</t>
  </si>
  <si>
    <t>GOMAS FUELLE HORQUILLA. JGO. XR-125/XR-150 (NEGRO) [PZ]</t>
  </si>
  <si>
    <t>GOMAS FUELLE HORQUILLA. JGO. XR-250 22 CM. [PZ]</t>
  </si>
  <si>
    <t>GOMAS FUELLE HORQUILLA. JGO. XR-250 36 CM. [PZ]</t>
  </si>
  <si>
    <t>GRASA MULTIPROPOSITO ''WOLVER'' 50 GRS. NLGI-2 [PZ]</t>
  </si>
  <si>
    <t>GRASA MULTIPROPOSITO ROJA [PZ]</t>
  </si>
  <si>
    <t>GUANTE CALLE ''+ RED'' NEGRO/AZUL [PZ] Estandar Azul</t>
  </si>
  <si>
    <t>GUANTE CALLE ''+ RED'' NEGRO/ROJO [PZ] Estandar Rojo</t>
  </si>
  <si>
    <t>GUANTE CALLE ''HX'' (XL) NEGRO/ROJO [PZ] XL Rojo</t>
  </si>
  <si>
    <t>GUANTES</t>
  </si>
  <si>
    <t>GUANTE CALLE ''PRO-BIKER'' [PZ] AZUL-XL</t>
  </si>
  <si>
    <t>GUANTE CALLE ''PRO-BIKER'' [PZ] AZUL-XXL</t>
  </si>
  <si>
    <t>GUANTE CALLE ''PRO-BIKER'' [PZ] GRIS-XXL</t>
  </si>
  <si>
    <t>GUANTE CALLE ''PRO-BIKER'' [PZ] ROJO-XL</t>
  </si>
  <si>
    <t>GUANTE CALLE ''REMO'' (L) NEGRO/FLUOR [PZ] L Flúor</t>
  </si>
  <si>
    <t>GUANTE CALLE ''SEVEN'' FLUOR (M) [PZ] Flúor</t>
  </si>
  <si>
    <t>GUANTE CALLE ''SEVEN'' FLUOR (XL) [PZ] XL Flúor</t>
  </si>
  <si>
    <t>GUANTE CALLE ''SEVEN'' NARANJO (L) [PZ] L Naranja</t>
  </si>
  <si>
    <t>GUANTE CALLE ''SEVEN'' NARANJO (M) [PZ] M Naranja</t>
  </si>
  <si>
    <t>GUANTE CALLE ''SEVEN'' NARANJO (XL) [PZ] XL Naranja</t>
  </si>
  <si>
    <t>GUANTE CALLE ''SEVEN'' [PZ] L FLUOR</t>
  </si>
  <si>
    <t>GUANTE CALLE ''SHENGDONG'' NARANJO [PZ] Estandar Naranja</t>
  </si>
  <si>
    <t>GUANTE CALLE ''SRAM'' BLANCO/ROJO/NEGRO (M) [PZ] M Rojo</t>
  </si>
  <si>
    <t>GUANTE CALLE NEGRO [PZ]</t>
  </si>
  <si>
    <t>GUANTE CALLE UNIVERSAL [PZ] AZUL</t>
  </si>
  <si>
    <t>GUANTE CALLE UNIVERSAL [PZ] L Amarillo</t>
  </si>
  <si>
    <t>GUANTE CALLE UNIVERSAL [PZ] L Azul</t>
  </si>
  <si>
    <t>GUANTE CALLE UNIVERSAL [PZ] L Gris</t>
  </si>
  <si>
    <t>GUANTE CALLE UNIVERSAL [PZ] L Negro</t>
  </si>
  <si>
    <t>GUANTE CALLE UNIVERSAL [PZ] NEGRO</t>
  </si>
  <si>
    <t>GUANTE CALLE UNIVERSAL [PZ] Rojo</t>
  </si>
  <si>
    <t>GUANTE CALLE UNIVERSAL [PZ] ROJO</t>
  </si>
  <si>
    <t>GUANTE CALLE UNIVERSAL [PZ] XL Amarillo</t>
  </si>
  <si>
    <t>GUANTE CALLE UNIVERSAL [PZ] XL Azul</t>
  </si>
  <si>
    <t>GUANTE CALLE UNIVERSAL [PZ] XL Gris</t>
  </si>
  <si>
    <t>GUANTE CALLE UNIVERSAL [PZ] XL Negro</t>
  </si>
  <si>
    <t>GUANTE CALLE UNIVERSAL [PZ] XL Rojo</t>
  </si>
  <si>
    <t>GUANTE CALLE UNIVERSAL [PZ] XL Verde</t>
  </si>
  <si>
    <t>GUANTE CALLE UNIVERSAL [PZ] XXL Azul</t>
  </si>
  <si>
    <t>GUANTE CALLE UNIVERSAL [PZ] XXL Rojo</t>
  </si>
  <si>
    <t>GUANTE CALLE UNIVERSAL [PZ] XXL Verde</t>
  </si>
  <si>
    <t>GUANTES CALLE (AZUL) [PZ] Estandar Azul</t>
  </si>
  <si>
    <t>GUANTES CALLE (ROJO) [PZ] Estandar Rojo</t>
  </si>
  <si>
    <t>GUANTES CALLE ''ARAÑA'' (NARANJO) [PZ] Estándar Naranja</t>
  </si>
  <si>
    <t>GUANTES CALLE ''ARAÑA'' (VERDE) [PZ] Estandar Verde</t>
  </si>
  <si>
    <t>GUANTES CALLE ''CITY'' AZUL [PZ] TALLA: L</t>
  </si>
  <si>
    <t>GUANTES CALLE ''CITY'' AZUL [PZ] TALLA: XL</t>
  </si>
  <si>
    <t>GUANTES CALLE ''CITY'' ROJO [PZ] TALLA: L</t>
  </si>
  <si>
    <t>GUANTES CALLE ''CITY'' VERDE [PZ] TALLA: L</t>
  </si>
  <si>
    <t>GUANTES CALLE ''CITY'' VERDE [PZ] TALLA: XL</t>
  </si>
  <si>
    <t>GUANTES CALLE ''MAD-BIKE'' NEGRO/NARANJO (XL) [PZ] XL Naranja</t>
  </si>
  <si>
    <t>GUANTES CALLE ''MAD-BIKE'' NEGRO/NARANJO (XXL) [PZ]</t>
  </si>
  <si>
    <t>GUANTES CALLE ''OUTDOOR SPORT'' (AZUL) [PZ]</t>
  </si>
  <si>
    <t>GUANTES CALLE ''OUTDOOR SPORT'' (ROJO) [PZ]</t>
  </si>
  <si>
    <t>GUANTES CALLE ''OUTDOOR'' (AZUL) [PZ]</t>
  </si>
  <si>
    <t>GUANTES CALLE ''OUTDOOR'' (ROJO) [PZ]</t>
  </si>
  <si>
    <t>GUANTES CALLE ''OUTDOOR'' (VERDE) [PZ]</t>
  </si>
  <si>
    <t>GUANTES CALLE ''PRO-BIKER'' NEGRO [PZ]</t>
  </si>
  <si>
    <t>GUANTES CALLE ''REMO'' ROJO XL [PZ]</t>
  </si>
  <si>
    <t>GUANTES CALLE ''RIDE A BIKE''(MORADO) [PZ]</t>
  </si>
  <si>
    <t>GUANTES CALLE ''RIDE A BIKE''(VERDE) [PZ]</t>
  </si>
  <si>
    <t>GUANTES CALLE ''SHENGDONG'' VERDE [PZ]</t>
  </si>
  <si>
    <t>GUANTES CALLE ''SPORT'' (AZUL) [PZ]</t>
  </si>
  <si>
    <t>GUANTES CALLE ''SPORT'' (GRIS) [PZ]</t>
  </si>
  <si>
    <t>GUANTES CALLE ''SPORT'' (ROJO) [PZ]</t>
  </si>
  <si>
    <t>GUANTES CALLE ''TIPO TACTIL'' AZUL [PZ]</t>
  </si>
  <si>
    <t>GUANTES CALLE ''TIPO TACTIL'' NEGRO [PZ]</t>
  </si>
  <si>
    <t>GUANTES CALLE ''TIPO TACTIL'' ROJO [PZ]</t>
  </si>
  <si>
    <t>GUANTES CALLE ''VERANO'' AZUL [PZ] TALLA: L</t>
  </si>
  <si>
    <t>GUANTES CALLE ''VERANO'' AZUL [PZ] TALLA: XL</t>
  </si>
  <si>
    <t>GUANTES CALLE ''VERANO'' NEGRO [PZ] TALLA: XL</t>
  </si>
  <si>
    <t>GUANTES CALLE ''VERANO'' ROJO [PZ] TALLA: L</t>
  </si>
  <si>
    <t>GUANTES CALLE ''VERANO'' ROJO [PZ] TALLA: XL</t>
  </si>
  <si>
    <t>GUANTES CALLE CUERO ''MOTO-X'' [PZ] NEGRO</t>
  </si>
  <si>
    <t>GUANTES CALLE CUERO ''TAICHI'' [PZ]</t>
  </si>
  <si>
    <t>GUANTES CALLE UNIVERSAL [PZ]</t>
  </si>
  <si>
    <t>GUANTES FRIO ''UNIVERSAL'' [PZ]</t>
  </si>
  <si>
    <t>GUANTES FRIO PARA NIÑO [PZ]</t>
  </si>
  <si>
    <t>GUANTES FRIO UNIVERSAL ''PANGUS-AXE'' WP-01 [PZ]</t>
  </si>
  <si>
    <t>GUANTES FRIO UNIVERSAL ''PANGUS-AXE'' WP-02 [PZ]</t>
  </si>
  <si>
    <t>GUANTES MECHANIX TALLA L [PZ]</t>
  </si>
  <si>
    <t>HORQUILLAS</t>
  </si>
  <si>
    <t>GUARDA POLVO HORQUILLA XR-250 (41-54-11) [PZ]</t>
  </si>
  <si>
    <t>GUIA CADENA DIST. CG-150T/JOB/INVICTA [PZ]</t>
  </si>
  <si>
    <t>GUIA CADENA DIST. DR-200 [PZ]</t>
  </si>
  <si>
    <t>GUIA CADENA DIST. FZ-16 [PZ]</t>
  </si>
  <si>
    <t>GUIA CADENA DIST. GS-125 [PZ]</t>
  </si>
  <si>
    <t>GUIA CADENA DIST. XR-250 TORNADO/CBX-250</t>
  </si>
  <si>
    <t>GUIA CADENA TRANSMISION DSR-200/DSRX-200 [PZ]</t>
  </si>
  <si>
    <t>GUIA Y TENSOR CADENA DIST. XR-250 TORNADO/CBX-250 [PZ]</t>
  </si>
  <si>
    <t>GUIA Y TENSOR DIST. CBP-250/CB-200/XTREET-180 [PZ]</t>
  </si>
  <si>
    <t>GUIA Y TENSOR DIST. FZ-16 [PZ]</t>
  </si>
  <si>
    <t>GUIA Y TENSOR DIST. GN-125 [PZ]</t>
  </si>
  <si>
    <t>KITS DE DISTRIBUCIÓN</t>
  </si>
  <si>
    <t>GUIA Y TENSOR DIST. GXT-200 [PZ]</t>
  </si>
  <si>
    <t>GUIA Y TENSOR DIST. PULSAR-135 [PZ]</t>
  </si>
  <si>
    <t>GUIA Y TENSOR DIST. PULSAR-200NS [PZ]</t>
  </si>
  <si>
    <t>GUIA Y TENSOR DIST. PULSAR-220 [PZ]</t>
  </si>
  <si>
    <t>GUIA Y TENSOR DIST. XL-125/185 [PZ]</t>
  </si>
  <si>
    <t>GUIA Y TENSOR DIST. XR-250 TORNADO [PZ]</t>
  </si>
  <si>
    <t>GUIA Y TENSOR DOMINAR-400 [PZ]</t>
  </si>
  <si>
    <t>HEBILLA PARA CASCO UNIVERSAL [PZ]</t>
  </si>
  <si>
    <t>HERRAMIENTA MONTADOR RETENES (24X10CM) [PZ]</t>
  </si>
  <si>
    <t>HORQUILLA CAJA CAMBIO BW-125 (DER) [PZ]</t>
  </si>
  <si>
    <t>HORQUILLAS DELANTERAS. JGO. CB1-125 [PZ]</t>
  </si>
  <si>
    <t>HORQUILLAS DELANTERAS. JGO. EXPRESS-100 [PZ]</t>
  </si>
  <si>
    <t>HORQUILLAS DELANTERAS. JGO. FZ-16 [PZ]</t>
  </si>
  <si>
    <t>HORQUILLAS DELANTERAS. JGO. GN-125/TZ-150 [PZ]</t>
  </si>
  <si>
    <t>HORQUILLAS DELANTERAS. JGO. MOTO 49CC. [PZ]</t>
  </si>
  <si>
    <t>HORQUILLAS DELANTERAS. JGO. XR-125L [PZ]</t>
  </si>
  <si>
    <t>HORQUILLAS DELANTERAS. JGO. XR-150L [PZ]</t>
  </si>
  <si>
    <t>HORQUILLAS DELANTERAS. JGO. XTZ-125 [PZ]</t>
  </si>
  <si>
    <t>HORQUILLAS DELANTERAS. JGO. YBR-125 [PZ]</t>
  </si>
  <si>
    <t>HUINCHA REFLECTANTE AMARILLA ''10 CM'' [PZ] AMARILLO</t>
  </si>
  <si>
    <t>HUINCHA REFLECTANTE AMARILLA ''30 CM'' [PZ]</t>
  </si>
  <si>
    <t>HUINCHA REFLECTANTE ROJA ''10 CM'' [PZ] ROJO</t>
  </si>
  <si>
    <t>HUINCHA REFLECTANTE ROJA ''30 CM'' [PZ]</t>
  </si>
  <si>
    <t>INSULADOR CARBURADOR FIBRA (C/EMPA. Y O´RING) [PZ]</t>
  </si>
  <si>
    <t>INSULADOR CARBURADOR JL-125 [PZ]</t>
  </si>
  <si>
    <t>INSULADOR CARBURADOR RENEGADE [PZ]</t>
  </si>
  <si>
    <t>INSULADORES</t>
  </si>
  <si>
    <t>INSULADOR CARBURADOR SCOOTER-125/150 [PZ]</t>
  </si>
  <si>
    <t>INSULADOR CARBURADOR STORM-125 [PZ]</t>
  </si>
  <si>
    <t>INSULADOR CARBURADOR TX-200 [PZ]</t>
  </si>
  <si>
    <t>INSULADOR CARBURADOR XL-125/185S [PZ]</t>
  </si>
  <si>
    <t>INSULADOR CARBURADOR XR-150L [PZ]</t>
  </si>
  <si>
    <t>INSULADOR CARBURADOR YBR-125 [PZ]</t>
  </si>
  <si>
    <t>INSULADOR CARBURADOR YZF-R15 [PZ]</t>
  </si>
  <si>
    <t>INSULADOR DAX (ADAPTADOR) [PZ]</t>
  </si>
  <si>
    <t>INSULADOR UNIVERSAL [PZ]</t>
  </si>
  <si>
    <t>INSULADORES CARBURADOR. JGO. CHOPPER [PZ]</t>
  </si>
  <si>
    <t>INTERRUPTOR CON LUZ PILOTO [PZ]</t>
  </si>
  <si>
    <t>KA-150 MOTOCICLETA: NUEVA</t>
  </si>
  <si>
    <t>MODELO: KA-150</t>
  </si>
  <si>
    <t>COMBUSTIBLE: 93 OCTANOS</t>
  </si>
  <si>
    <t>COLOR: NEGRO</t>
  </si>
  <si>
    <t>PESO BRUTO VEHICULAR: 136 KG</t>
  </si>
  <si>
    <t>Nº DE CHASIS: LC6PCKBE3N0003830</t>
  </si>
  <si>
    <t>Nº DE MOTOR: 157FMJY1N04086</t>
  </si>
  <si>
    <t>Nº DE CHASIS: LC6PCKBE3N0003844</t>
  </si>
  <si>
    <t>Nº DE MOTOR: 157FMJY1N04077</t>
  </si>
  <si>
    <t>Nº DE CHASIS: LC6PCKBE7N0003815</t>
  </si>
  <si>
    <t>Nº DE MOTOR: 157FMJY1N04102</t>
  </si>
  <si>
    <t>COLOR: NARANJO</t>
  </si>
  <si>
    <t>Nº DE CHASIS: LC6PCKBEXN0003632</t>
  </si>
  <si>
    <t>Nº DE MOTOR: 157FMJY1N03991</t>
  </si>
  <si>
    <t>KD-150J MOTOCICLETA: NUEVA</t>
  </si>
  <si>
    <t>MARCA: EUROMOT</t>
  </si>
  <si>
    <t>MODELO: KD-150J</t>
  </si>
  <si>
    <t>Nº DE CHASIS: LD3PCK6J0N1316366</t>
  </si>
  <si>
    <t>Nº DE MOTOR: KD162FMJ22435952</t>
  </si>
  <si>
    <t>Nº DE CHASIS: LD3PCK6J3N1316281</t>
  </si>
  <si>
    <t>Nº DE MOTOR: KD162FMJ22435904</t>
  </si>
  <si>
    <t>KIT 2 FILTROS DE AIRE ALTO FLUJO HONDA CRF-1000 AFRICA TWIN ''DNA'' [PZ]</t>
  </si>
  <si>
    <t>KIT 2 FILTROS DE AIRE ALTO FLUJO HONDA CRF-1100 AFRICA TWIN ''DNA'' [PZ]</t>
  </si>
  <si>
    <t>KITS DE TRANSMISIÓN</t>
  </si>
  <si>
    <t>KIT CATALINA Y PIÑON CBF-150 INVICTA (43-15) [PZ]</t>
  </si>
  <si>
    <t>KITS DE CILINDRO-PISTON</t>
  </si>
  <si>
    <t>KIT CILINDRO Y PISTON CG-200 (63MM/15MM) [PZ]</t>
  </si>
  <si>
    <t>KIT CILINDRO/PISTON/EMPAQ. AN-125 (STD) [PZ]</t>
  </si>
  <si>
    <t>KIT CILINDRO/PISTON/EMPAQ. APRILIA STX-150/MOTORRAD R-150/ MOTORRAD ZX-150 (62MM/15MM) [PZ]</t>
  </si>
  <si>
    <t>KIT CILINDRO/PISTON/EMPAQ. BICIMOTO 49CC (ST-50) (STD) [PZ]</t>
  </si>
  <si>
    <t>KIT CILINDRO/PISTON/EMPAQ. BICIMOTO 49CC (ST-50) [PZ]</t>
  </si>
  <si>
    <t>KIT CILINDRO/PISTON/EMPAQ. CB-190R/XR-190L (61MM/14MM) ''VINI'' [IM]</t>
  </si>
  <si>
    <t>KIT CILINDRO/PISTON/EMPAQ. CB-250/CRF-230/DSR-200 (65.5MM/15MM) ''VINI'' [IM]</t>
  </si>
  <si>
    <t>KIT CILINDRO/PISTON/EMPAQ. CB1-125 ''VINI'' [IM]</t>
  </si>
  <si>
    <t>KIT CILINDRO/PISTON/EMPAQ. CB1-125 (STD) [PZ]</t>
  </si>
  <si>
    <t>KIT CILINDRO/PISTON/EMPAQ. CB1-125/CB-125F TWISTER (STD) [PZ]</t>
  </si>
  <si>
    <t>KIT CILINDRO/PISTON/EMPAQ. CBF-150 (64.5MM/14MM) ''VINI HOT PARTS'' [IM]</t>
  </si>
  <si>
    <t>KIT CILINDRO/PISTON/EMPAQ. CBF150 (STD) (57MM/14MM) ''VINI'' [IM]</t>
  </si>
  <si>
    <t>KIT CILINDRO/PISTON/EMPAQ. CBX-250/XR-250 TORNADO (STD) (73MM/17MM) [PZ]</t>
  </si>
  <si>
    <t>KIT CILINDRO/PISTON/EMPAQ. CG-125 (63.5MM/15MM) ''VINI HOT PARTS'' [IM]</t>
  </si>
  <si>
    <t>KIT CILINDRO/PISTON/EMPAQ. CG-125 [PZ]</t>
  </si>
  <si>
    <t>KIT CILINDRO/PISTON/EMPAQ. CG-150/RK-150 (62MM/15MM) ''HQ'' [PZ]</t>
  </si>
  <si>
    <t>KIT CILINDRO/PISTON/EMPAQ. CG-200 (65MM/15MM) ''VINI HOT PARTS'' [IM]</t>
  </si>
  <si>
    <t>KIT CILINDRO/PISTON/EMPAQ. CG-250 (VARILLAS) [PZ]</t>
  </si>
  <si>
    <t>KIT CILINDRO/PISTON/EMPAQ. CYGNUS-125 [PZ]</t>
  </si>
  <si>
    <t>KIT CILINDRO/PISTON/EMPAQ. EN-125/GS-125 (STD) [PZ]</t>
  </si>
  <si>
    <t>KIT CILINDRO/PISTON/EMPAQ. FZ 2.0 (STD) [PZ]</t>
  </si>
  <si>
    <t>KIT CILINDRO/PISTON/EMPAQ. FZ 2.0/XTZ-150 (STD) [PZ]</t>
  </si>
  <si>
    <t>KIT CILINDRO/PISTON/EMPAQ. FZ-16 (58MM/15MM) ''HQ'' [PZ]</t>
  </si>
  <si>
    <t>KIT CILINDRO/PISTON/EMPAQ. FZ-16 (58MM/15MM) ''PROTECH'' [PZ]</t>
  </si>
  <si>
    <t>KIT CILINDRO/PISTON/EMPAQ. FZ-16 (58MM/15MM) ''SEACUBE'' [PZ]</t>
  </si>
  <si>
    <t>KIT CILINDRO/PISTON/EMPAQ. FZ-16 (63.5MM/15MM) ''VINI HOT PARTS'' [IM]</t>
  </si>
  <si>
    <t>KIT CILINDRO/PISTON/EMPAQ. FZ-25/YS-250 FAZER (STD) [OF]</t>
  </si>
  <si>
    <t>KIT CILINDRO/PISTON/EMPAQ. GIXXER (58MM/14MM) ''VINI HOT PARTS'' [IM]</t>
  </si>
  <si>
    <t>KIT CILINDRO/PISTON/EMPAQ. GIXXER-150 ''VINI'' [IM]</t>
  </si>
  <si>
    <t>KIT CILINDRO/PISTON/EMPAQ. GIXXER-150 [PZ]</t>
  </si>
  <si>
    <t>KIT CILINDRO/PISTON/EMPAQ. GN-125/RKS-125/RKS-150/TX-150 (62MM/14MM) ''VINI HOT PARTS'' [IM]</t>
  </si>
  <si>
    <t>KIT CILINDRO/PISTON/EMPAQ. GN-125H [PZ]</t>
  </si>
  <si>
    <t>KIT CILINDRO/PISTON/EMPAQ. GS-150R (57MM/15MM) ''VINI'' [IM]</t>
  </si>
  <si>
    <t>KIT CILINDRO/PISTON/EMPAQ. GXT-200/DR-200/QM-200 (66MM/16MM) ''VINI'' [IM]</t>
  </si>
  <si>
    <t>KIT CILINDRO/PISTON/EMPAQ. GXT-200/QM-200 (STD) 66MM [PZ]</t>
  </si>
  <si>
    <t>KIT CILINDRO/PISTON/EMPAQ. JL200GY (STD) 63.5MM [PZ]</t>
  </si>
  <si>
    <t>KIT CILINDRO/PISTON/EMPAQ. KINLON JL-150 (STD) [PZ]</t>
  </si>
  <si>
    <t>KIT CILINDRO/PISTON/EMPAQ. MOTORRAD-200 [PZ]</t>
  </si>
  <si>
    <t>KIT CILINDRO/PISTON/EMPAQ. PULSAR-160NS ''VINI'' [IM]</t>
  </si>
  <si>
    <t>KIT CILINDRO/PISTON/EMPAQ. PULSAR-200NS ''VINI HOT PARTS'' [OF]</t>
  </si>
  <si>
    <t>KIT CILINDRO/PISTON/EMPAQ. PULSAR-200NS ''VINI'' [IM]</t>
  </si>
  <si>
    <t>KIT CILINDRO/PISTON/EMPAQ. PULSAR-200NS (STD) [PZ]</t>
  </si>
  <si>
    <t>KIT CILINDRO/PISTON/EMPAQ. SCOOTER-125 (STD) 52.4M [PZ]</t>
  </si>
  <si>
    <t>KIT CILINDRO/PISTON/EMPAQ. SCOOTER-125 GY6 ''VINI'' [IM]</t>
  </si>
  <si>
    <t>KIT CILINDRO/PISTON/EMPAQ. SCOOTER-150 (STD) 57.4M [PZ]</t>
  </si>
  <si>
    <t>KIT CILINDRO/PISTON/EMPAQ. XR-125L (STD) [PZ]</t>
  </si>
  <si>
    <t>KIT CILINDRO/PISTON/EMPAQ. YBR-125 ''VINI HOT PARTS'' [IM]</t>
  </si>
  <si>
    <t>KIT CILINDRO/PISTON/EMPAQ. YBR-125 (STD) ''VINI'' [IM]</t>
  </si>
  <si>
    <t>KIT CILINDRO/PISTON/EMPAQ. YW-125 BWS (STD) ''VINI'' [IM]</t>
  </si>
  <si>
    <t>KIT CILINDRO/PISTON/EMPAQ. YZF-R15 ''VINI'' [IM]</t>
  </si>
  <si>
    <t>KIT CILINDRO/PISTON/EMPAQ. YZF-R15 (STD) 57MM [PZ]</t>
  </si>
  <si>
    <t>KIT DADOS DE IMPACTO (DE8 A 24MM) [PZ]</t>
  </si>
  <si>
    <t>KIT DE LIMPIEZA FILTROS DE AIRE ''DNA'' [PZ]</t>
  </si>
  <si>
    <t>KIT DISTRIBUCION CB-190 ''VINI'' [IM]</t>
  </si>
  <si>
    <t>KIT DISTRIBUCION CB1-125 (25H-90L) ''VINI'' [IM]</t>
  </si>
  <si>
    <t>KIT DISTRIBUCION CB1-125 [PZ]</t>
  </si>
  <si>
    <t>KIT DISTRIBUCION CBF-150 INVICTA/XR-150 ''VINI'' [IM]</t>
  </si>
  <si>
    <t>KIT DISTRIBUCION CG-100 (CON CADENA) [PZ]</t>
  </si>
  <si>
    <t>KIT DISTRIBUCION CG-100/EXPRESS-100/BICIMOTO 49CC ''VINI'' [IM]</t>
  </si>
  <si>
    <t>KIT DISTRIBUCION CG-125 CHINA ''VINI'' [IM]</t>
  </si>
  <si>
    <t>KIT DISTRIBUCION FZN-150 ''VINI'' [IM]</t>
  </si>
  <si>
    <t>KIT DISTRIBUCION GIXXER-150 ''VINI'' [IM]</t>
  </si>
  <si>
    <t>KIT DISTRIBUCION GN-125 ''VINI'' [IM]</t>
  </si>
  <si>
    <t>KIT DISTRIBUCION XR-250 TORNADO ''VINI'' [IM]</t>
  </si>
  <si>
    <t>KIT DISTRIBUCION YBR-125/XTZ-125 ''VINI'' [IM]</t>
  </si>
  <si>
    <t>KIT RAPARA PINCHAZO [PZ]</t>
  </si>
  <si>
    <t>KIT REMOVEDOR DE RETENES (4PCS) [PZ]</t>
  </si>
  <si>
    <t>KIT TRANSMISION CB1-125/CB-125F TWISTER ''RIFFEL'' C43 / P14 / 428H - 122L Plata [PZ]</t>
  </si>
  <si>
    <t>KIT TRANSMISION BAJAJ DISCOVER-125ST [PZ] C45 / P14 / 428H - 132L Gris</t>
  </si>
  <si>
    <t>KIT TRANSMISION BENELLI TNT-250 ''RIFFEL'' [PZ]</t>
  </si>
  <si>
    <t>KIT TRANSMISION BENELLI-180S C/O'RING ''RIFFEL'' [PZ]</t>
  </si>
  <si>
    <t>KIT TRANSMISION CB-190 [PZ]</t>
  </si>
  <si>
    <t>KIT TRANSMISION CB-190R ''RIFFEL'' [PZ] C45 / P14 / 428H - 132L DORADO</t>
  </si>
  <si>
    <t>KIT TRANSMISION CB-190R ''RIFFEL'' [PZ] C45 / P14 / 428H - 132L GRIS</t>
  </si>
  <si>
    <t>KIT TRANSMISION CB1-125/CB-125 TWISTER [PZ]</t>
  </si>
  <si>
    <t>KIT TRANSMISION CB1-125/CB-125F TWISTER [PZ] C42 / P14 / 428H - 132L GRIS</t>
  </si>
  <si>
    <t>KIT TRANSMISION CBF-150 INVICTA/NEW-INVICTA (14/45) [PZ]</t>
  </si>
  <si>
    <t>KIT TRANSMISION CBF-150 INVICTA/NEW-INVICTA [PZ] C42 / P15 / 428H - 132L GRIS</t>
  </si>
  <si>
    <t>KIT TRANSMISION CBF-150 INVICTA/NEW-INVICTA/GL-150 [PZ] C43 / P15 / 428H - 132L GRIS</t>
  </si>
  <si>
    <t>KIT TRANSMISION CBR-250 (520H-120L)(38Z-14Z) [PZ]</t>
  </si>
  <si>
    <t>KIT TRANSMISION CBR-300 [PZ] C36 / P14 / 520H - 108L GRIS</t>
  </si>
  <si>
    <t>KIT TRANSMISION CBX-250 TWISTER ''RIFFEL'' [PZ]</t>
  </si>
  <si>
    <t>KIT TRANSMISION CG-125 (14/45) [PZ]</t>
  </si>
  <si>
    <t>KIT TRANSMISION CG-125 (14Z/38Z) [PZ]</t>
  </si>
  <si>
    <t>KIT TRANSMISION CG-125 (15/35) 428H-136 [PZ]</t>
  </si>
  <si>
    <t>KIT TRANSMISION CG-125 (15/35) [PZ] C35 / P15 / 428H - 120L GRIS</t>
  </si>
  <si>
    <t>KIT TRANSMISION CG-125 (15/37) 428H-136 [PZ]</t>
  </si>
  <si>
    <t>KIT TRANSMISION CG-125 (15/37) [PZ]</t>
  </si>
  <si>
    <t>KIT TRANSMISION CG-125 (15/38) [PZ]</t>
  </si>
  <si>
    <t>KIT TRANSMISION CG-125 (15/43) [PZ]</t>
  </si>
  <si>
    <t>KIT TRANSMISION CG-125 (16/38) [PZ]</t>
  </si>
  <si>
    <t>KIT TRANSMISION CG-125 (16/39) [PZ]</t>
  </si>
  <si>
    <t>KIT TRANSMISION CG-125 (17/39) [PZ]</t>
  </si>
  <si>
    <t>KIT TRANSMISION CG-125 (CHINA) (15/38) [PZ]</t>
  </si>
  <si>
    <t>KIT TRANSMISION CG-125 TITAN/CARGO [PZ] C44 / P14 / 428H - 120L GRIS</t>
  </si>
  <si>
    <t>KIT TRANSMISION CGL-125 [PZ] C39 / P15 / 428H - 124L Gris</t>
  </si>
  <si>
    <t>KIT TRANSMISION DOMINAR-400 (15Z-45Z)(520HO-120L) ''RIFFEL'' [PZ]</t>
  </si>
  <si>
    <t>KIT TRANSMISION DR-200 C/O'RING [PZ] C45 / P15 / 520H C/O'RING - 120L GRIS</t>
  </si>
  <si>
    <t>KIT TRANSMISION DR-200 [PZ]</t>
  </si>
  <si>
    <t>KIT TRANSMISION DUKE-390/RC-390 ''RIFFEL'' [PZ]</t>
  </si>
  <si>
    <t>KIT TRANSMISION EN-125/GS-125 [PZ] C45 / P14 / 428H - 120L GRIS</t>
  </si>
  <si>
    <t>KIT TRANSMISION FZ-16 ''DORADA'' [PZ] C40 / P14 / 428H - 128L DORADA</t>
  </si>
  <si>
    <t>KIT TRANSMISION FZ-16 ''RIFFEL'' [PZ] C40 / P14 / 428H - 128L GRIS</t>
  </si>
  <si>
    <t>KIT TRANSMISION FZ-16 [PZ]</t>
  </si>
  <si>
    <t>KIT TRANSMISION FZ-25 (46Z-15Z)(428H-136L) ''RIFFEL'' [PZ]</t>
  </si>
  <si>
    <t>KIT TRANSMISION GIXXER-150 [PZ] C45 / P15 / 428H - 132L GRIS</t>
  </si>
  <si>
    <t>KIT TRANSMISION GN-125 [PZ] C41 / P15 / 428H - 120L GRIS</t>
  </si>
  <si>
    <t>KIT TRANSMISION GN-125/RKV/RKS [PZ] C38 / P14 / 428H - 120L GRIS</t>
  </si>
  <si>
    <t>KIT TRANSMISION GN-125H CHINA [PZ]</t>
  </si>
  <si>
    <t>KIT TRANSMISION GN-125H [PZ] C38 / P15 / 428H - 120L Gris</t>
  </si>
  <si>
    <t>KIT TRANSMISION GN-125H [PZ] C41 / P14 / 428H - 120L GRIS</t>
  </si>
  <si>
    <t>KIT TRANSMISION GN-125H [PZ] C43 / P14 / 428H - 120L GRIS</t>
  </si>
  <si>
    <t>KIT TRANSMISION GS-150R [PZ] C41 / P14 / 428H - 132L GRIS</t>
  </si>
  <si>
    <t>KIT TRANSMISION GS-500/GS-400 [PZ] C39 / P16 / 520H - 120L GRIS</t>
  </si>
  <si>
    <t>KIT TRANSMISION GW-250 INAZUMA [PZ] C46 / P14 / 520H C/O'RING - 120L GRIS</t>
  </si>
  <si>
    <t>KIT TRANSMISION GXT-200 [PZ] C40 / P15 / 428H - 136L gris</t>
  </si>
  <si>
    <t>KIT TRANSMISION GXT-200 [PZ] C48 / P15 / 428H - 136L gris</t>
  </si>
  <si>
    <t>KIT TRANSMISION GZ-150 [PZ]</t>
  </si>
  <si>
    <t>KIT TRANSMISION HJ125-7/JL125-7 [PZ] C38 / P15 / 428H - 120L GRIS</t>
  </si>
  <si>
    <t>KIT TRANSMISION JL-125 [PZ] C38 / P15 / 428 - 120L GRIS</t>
  </si>
  <si>
    <t>KIT TRANSMISION JL-125 [PZ] C43 / P15 / 428H - 132L GRIS</t>
  </si>
  <si>
    <t>KIT TRANSMISION KA-150 [PZ]</t>
  </si>
  <si>
    <t>KIT TRANSMISION KEEWAY [PZ] C43 / P15 / 428H - 120L GRIS</t>
  </si>
  <si>
    <t>KIT TRANSMISION KINLON JL-200 [PZ] C44 / P16 / 428H - 132L GRIS</t>
  </si>
  <si>
    <t>KIT TRANSMISION KINLON JL110 [PZ] C36 / P14 / 428H - 110L GRIS</t>
  </si>
  <si>
    <t>KIT TRANSMISION KINLON [PZ] C36 / P15 / 428H - 110L GRIS</t>
  </si>
  <si>
    <t>KIT TRANSMISION KTM DUKE-200 ''PROTECH'' [PZ] C43 / P14 / 520 - 118L GRIS</t>
  </si>
  <si>
    <t>KIT TRANSMISION KTM DUKE-200 [PZ]</t>
  </si>
  <si>
    <t>KIT TRANSMISION LONCIN [PZ] C40 / P14 / 428H - 120L GRIS</t>
  </si>
  <si>
    <t>KIT TRANSMISION MOTO CHINA ''NPC'' [PZ] C43 / P14 / 420H - 120L GRIS</t>
  </si>
  <si>
    <t>KIT TRANSMISION NK-150 [PZ]</t>
  </si>
  <si>
    <t>KIT TRANSMISION NXR-150 BROS/XR-125L/XR-150L [PZ] C50 / P17 / 428H - 130L Gris</t>
  </si>
  <si>
    <t>KIT TRANSMISION NXR-150 BROS/XR-125L/XR-150L [PZ] C54 / P17 / 428H - 132L GRIS</t>
  </si>
  <si>
    <t>KIT TRANSMISION PEGASUS DAKAR-250 [PZ] C43 / P16 / 428H - 136L GRIS</t>
  </si>
  <si>
    <t>KIT TRANSMISION PULSAR-125NS/PULSAR-135 [PZ] C43 / P15 / 428H - 132L GRIS</t>
  </si>
  <si>
    <t>KIT TRANSMISION PULSAR-135 (428H-132L)(43Z-15Z) [PZ]</t>
  </si>
  <si>
    <t>KIT TRANSMISION PULSAR-150NS [PZ]</t>
  </si>
  <si>
    <t>KIT TRANSMISION PULSAR-150NS/PULSAR-160NS [PZ] C45 / P15 / 428H - 136L GRIS</t>
  </si>
  <si>
    <t>KIT TRANSMISION PULSAR-180 [PZ]</t>
  </si>
  <si>
    <t>KIT TRANSMISION PULSAR-180/ 6 PERNOS (428H-132)(42T/15T) [PZ]</t>
  </si>
  <si>
    <t>KIT TRANSMISION PULSAR-200NS [PZ]</t>
  </si>
  <si>
    <t>KIT TRANSMISION PULSAR-220F/S PULSAR-180 (14/36) [PZ]</t>
  </si>
  <si>
    <t>KIT TRANSMISION RKV-150 [PZ]</t>
  </si>
  <si>
    <t>KIT TRANSMISION SHARK-200 [PZ] C43 / P16 / 428H - 132L GRIS</t>
  </si>
  <si>
    <t>KIT TRANSMISION STORM-125/REX-150/CGL-125 [PZ]</t>
  </si>
  <si>
    <t>KIT TRANSMISION T-110 CRYPTON [PZ]</t>
  </si>
  <si>
    <t>KIT TRANSMISION TVS APACHE RTR-160 [PZ] C44 / P13 / 428H - 132L GRIS</t>
  </si>
  <si>
    <t>KIT TRANSMISION TVS SPORT-100 [PZ] C39 / P13 / 428H - 120L GRIS</t>
  </si>
  <si>
    <t>KIT TRANSMISION TX-200/JL-125TT (46/15) [PZ]</t>
  </si>
  <si>
    <t>KIT TRANSMISION TX-200/JL-125TT (46/17) [PZ]</t>
  </si>
  <si>
    <t>KIT TRANSMISION XBLADE-160 [PZ] C47 / P15 / 428H - 132L GRIS</t>
  </si>
  <si>
    <t>KIT TRANSMISION XL-125/LX125-4/XLR-125 (14/56) [PZ]</t>
  </si>
  <si>
    <t>KIT TRANSMISION XL-125/XL-185S [PZ]</t>
  </si>
  <si>
    <t>KIT TRANSMISION XLR-125 (14/50) [PZ]</t>
  </si>
  <si>
    <t>KIT TRANSMISION XR-190L [PZ]</t>
  </si>
  <si>
    <t>KIT TRANSMISION XR-200 (BRASIL)/XL 200 (13/43) [PZ]</t>
  </si>
  <si>
    <t>KIT TRANSMISION XR-250 TORNADO (13/38) [PZ]</t>
  </si>
  <si>
    <t>KIT TRANSMISION XRE-300 [PZ]</t>
  </si>
  <si>
    <t>KIT TRANSMISION XT-225 [PZ]</t>
  </si>
  <si>
    <t>KIT TRANSMISION XTZ-125 [PZ]</t>
  </si>
  <si>
    <t>KIT TRANSMISION XTZ-150 ''PROTECH'' [PZ]</t>
  </si>
  <si>
    <t>KIT TRANSMISION XTZ-150 (428H-41-14) [PZ]</t>
  </si>
  <si>
    <t>KIT TRANSMISION XTZ-250 (13/40) [PZ]</t>
  </si>
  <si>
    <t>KIT TRANSMISION YBR-125 (14/45) CADENA NORMAL [PZ]</t>
  </si>
  <si>
    <t>KIT TRANSMISION YBR-125 (14/45) [PZ]</t>
  </si>
  <si>
    <t>KIT TRANSMISION YBR-125 [PZ]</t>
  </si>
  <si>
    <t>KIT TRANSMISION YBR-125 [PZ] C43 / P14 / 428H - 120L GRIS</t>
  </si>
  <si>
    <t>KIT TRANSMISION YD-110 CRUX [PZ] C44 / P14 / 428H - 120L GRIS</t>
  </si>
  <si>
    <t>KIT TRANSMISION YS-250 FAZER/YBR-250/FZ 25 (45Z-15Z) (428H-132L) [PZ]</t>
  </si>
  <si>
    <t>KIT TRANSMISION YZF-R15 [PZ]</t>
  </si>
  <si>
    <t>KIT TRANSMISION YZF-R3 ''RIFFEL'' [PZ]</t>
  </si>
  <si>
    <t>KIT TRANSMISION YZF-R3/MT-03 ''CADENA CON ORING'' [PZ]</t>
  </si>
  <si>
    <t>LASER LED UNIVERSAL [PZ]</t>
  </si>
  <si>
    <t>LEVA BALANCIN ALZA VALVULA TIPO CG-125 [PZ]</t>
  </si>
  <si>
    <t>LEVA FRENO TRASERO YBR-125 [PZ]</t>
  </si>
  <si>
    <t>LIMPIA CARBURADOR ''ARLON'' [PZ]</t>
  </si>
  <si>
    <t>LIMPIA CARBURADOR ''JP ONE'' [PZ]</t>
  </si>
  <si>
    <t>LIMPIA CARBURADOR ''MEGA'' [PZ]</t>
  </si>
  <si>
    <t>LIMPIA CARBURADOR ''SENFINECO'' 650ML [OF]</t>
  </si>
  <si>
    <t>LIMPIA CONTACTOS ''MEGA'' [PZ]</t>
  </si>
  <si>
    <t>LIMPIA CONTACTOS ''REX'' 400ML [PZ]</t>
  </si>
  <si>
    <t>LIMPIA CONTACTOS ''SENFINECO'' 400ML [OF]</t>
  </si>
  <si>
    <t>LIMPIA FRENO ''IPONE'' [PZ]</t>
  </si>
  <si>
    <t>LIMPIA INYECTORES ''JP ONE'' 354 ML [PZ]</t>
  </si>
  <si>
    <t>LIMPIA INYECTORES ''SENFINECO'' 300ML [OF]</t>
  </si>
  <si>
    <t>LIMPIADOR DE FRENO [PZ]</t>
  </si>
  <si>
    <t>LIMPIADOR DE FRENOS ''SENFINECO'' 600ML [OF]</t>
  </si>
  <si>
    <t>LIMPIADOR DE LLANTAS ''SENFINECO'' 380ML [OF]</t>
  </si>
  <si>
    <t>LIMPIADOR DE MOTOR EN ESPUMA ''SENFINECO'' 500ML [OF]</t>
  </si>
  <si>
    <t>LIMPIADOR DE VISERA ANTIEMPAÑANTE ''LIQUI MOLY'' [OF]</t>
  </si>
  <si>
    <t>LIMPIADOR M1 DE CASCO Y VISERA ''MOTUL'' 250ML [OF]</t>
  </si>
  <si>
    <t>LIMPIADOR M2 DE CASCO ANTIBACTERIAL ''MOTUL'' 250ML [OF]</t>
  </si>
  <si>
    <t>LIQUIDO FRENO ''LIQUI MOLY'' DOT 4 [PZ]</t>
  </si>
  <si>
    <t>LIQUIDO FRENO ''LIQUI MOLY'' DOT 5.1 [PZ]</t>
  </si>
  <si>
    <t>LIQUIDO FRENO ''MOTUL'' DOT3/4 [OF]</t>
  </si>
  <si>
    <t>LIQUIDO FRENO ''MOTUL'' DOT5.1 [OF]</t>
  </si>
  <si>
    <t>LIQUIDO FRENO ''REPSOL'' DOT 4 [OF]</t>
  </si>
  <si>
    <t>LIQUIDO FRENO ''SENFINECO'' DOT 3 250ML [OF]</t>
  </si>
  <si>
    <t>LIQUIDO FRENO ''SENFINECO'' DOT 4 250ML [OF]</t>
  </si>
  <si>
    <t>LIQUIDO FRENOS ''IPONE'' DOT-4 SEMI/SINTETICO [PZ]</t>
  </si>
  <si>
    <t>LIQUIDO FRENOS ABS ''LIQUI MOLY'' DOT-4 SINTÉTICO [OF]</t>
  </si>
  <si>
    <t>LLANTAS</t>
  </si>
  <si>
    <t>LLANTA DELANTERA CGL-125 [OF]</t>
  </si>
  <si>
    <t>LLANTA DELANTERA KA-150 [PZ]</t>
  </si>
  <si>
    <t>LLANTA DELANTERA STORM-125 [PZ]</t>
  </si>
  <si>
    <t>LLANTA TRASERA RENEGADE XTREET-250X [PZ]</t>
  </si>
  <si>
    <t>LLAVES</t>
  </si>
  <si>
    <t>LLAVE APRIETA RAYOS [PZ]</t>
  </si>
  <si>
    <t>LLAVE BENCINA BICIMOTO 49CC (ST-50) [PZ]</t>
  </si>
  <si>
    <t>LLAVE BENCINA CG-125 [PZ]</t>
  </si>
  <si>
    <t>LLAVE BENCINA CGL-125 [PZ]</t>
  </si>
  <si>
    <t>LLAVE BENCINA GN-125 ''VINI'' [IM]</t>
  </si>
  <si>
    <t>LLAVE BENCINA GN-125 [PZ]</t>
  </si>
  <si>
    <t>LLAVE BENCINA SCOOTER-125 [PZ]</t>
  </si>
  <si>
    <t>LLAVE BENCINA SCOOTER-150 (3 CONDUCTOS) [PZ]</t>
  </si>
  <si>
    <t>LLAVE BENCINA TIPO CG [PZ]</t>
  </si>
  <si>
    <t>LLAVE BENCINA UNIVERSAL (FLOTANTE) [PZ]</t>
  </si>
  <si>
    <t>LLAVE BENCINA XL-250 [PZ]</t>
  </si>
  <si>
    <t>LLAVE BUJIA UNIVERSAL (CORTA) [PZ]</t>
  </si>
  <si>
    <t>LLAVE FIJADOR EMBRAGUE CENTRIFUGO Y VARIADOR [PZ]</t>
  </si>
  <si>
    <t>LLAVE FILTRO ACEITE UNIVERSAL [PZ]</t>
  </si>
  <si>
    <t>LLAVE PRENSA EMBRAGUE [PZ]</t>
  </si>
  <si>
    <t>LLAVE PUNTA CORONA 39/41MM. [PZ]</t>
  </si>
  <si>
    <t>LLAVE PUNTA CORONA C/CHICHARRA 10 MM. [PZ]</t>
  </si>
  <si>
    <t>LLAVE PUNTA CORONA C/CHICHARRA 12 MM. [PZ]</t>
  </si>
  <si>
    <t>LLAVE PUNTA CORONA C/CHICHARRA 14 MM. [PZ]</t>
  </si>
  <si>
    <t>LLAVE PUNTA CORONA C/CHICHARRA 17 MM. [PZ]</t>
  </si>
  <si>
    <t>LLAVE PUNTA CORONA C/CHICHARRA 8 MM. [PZ]</t>
  </si>
  <si>
    <t>LLAVE REGULDORA AMORTIGUADOR (PICO LORO) [PZ]</t>
  </si>
  <si>
    <t>LLAVERO UNIVERSAL MULTIMARCA [PZ]</t>
  </si>
  <si>
    <t>LUBRICANTE CADENA ''CASTROL'' 400ML [OF]</t>
  </si>
  <si>
    <t>LUBRICANTE CADENA ''IPONE' 250ML [PZ] AZUL</t>
  </si>
  <si>
    <t>LUBRICANTE CADENA ''IPONE' 250ML [PZ] BLANCO</t>
  </si>
  <si>
    <t>LUBRICANTE CADENA ''IPONE' 250ML [PZ] ROJO</t>
  </si>
  <si>
    <t>LUBRICANTE CADENA ''LIQUI MOLY'' (BLANCO) 400ML. [PZ]</t>
  </si>
  <si>
    <t>LUBRICANTE CADENA ''LIQUI MOLY'' (BLANCO) 50ML. [PZ]</t>
  </si>
  <si>
    <t>LUBRICANTE CADENA ''REPSOL'' QUALIFIER 400ML [OF]</t>
  </si>
  <si>
    <t>LUBRICANTE CADENA ''REPSOL'' ROAD 400ML [OF]</t>
  </si>
  <si>
    <t>LUBRICANTE CADENA ''SENFINECO'' 200ML [OF]</t>
  </si>
  <si>
    <t>LUBRICANTE CADENA ''SENFINECO'' 650ML [OF]</t>
  </si>
  <si>
    <t>LUBRICANTE CADENA C/LITIO ''SENFINECO'' 450ML [OF]</t>
  </si>
  <si>
    <t>LUBRICANTE CADENA C2 ''MOTUL'' ROAD O'RING 400 ML [OF]</t>
  </si>
  <si>
    <t>LUBRICANTE CADENA C3 ''MOTUL'' OFF ROAD 400 ML [OF]</t>
  </si>
  <si>
    <t>LUBRICANTE CADENA C4 ''MOTUL'' RACING ROAD 400 ML [OF]</t>
  </si>
  <si>
    <t>LUZ LED TRASERA UNIVERSAL [PZ]</t>
  </si>
  <si>
    <t>LX150GY-8 MOTOCICLETA: NUEVA</t>
  </si>
  <si>
    <t>MARCA: LONCIN</t>
  </si>
  <si>
    <t>MODELO: LX150GY-8</t>
  </si>
  <si>
    <t>COLOR: ROJO</t>
  </si>
  <si>
    <t>PESO BRUTO VEHICULAR: 200 KG</t>
  </si>
  <si>
    <t>Nº DE CHASIS: LLCLGJ809PA100064</t>
  </si>
  <si>
    <t>Nº DE MOTOR: LC162FMJ089491Q3</t>
  </si>
  <si>
    <t>MALETA CENTRAL HONDA-NAVI [PZ]</t>
  </si>
  <si>
    <t>MALETA TRASERA UNIVERSAL [PZ]</t>
  </si>
  <si>
    <t>MALLA CUBRE ASIENTO MOTO (XL) [PZ]</t>
  </si>
  <si>
    <t>MALLA CUBRE ASIENTO MOTO (XXL) [PZ]</t>
  </si>
  <si>
    <t>MANGUERAS</t>
  </si>
  <si>
    <t>MANGUERA COMBUSTIBLE 1M [PZ]</t>
  </si>
  <si>
    <t>ESTANQUE</t>
  </si>
  <si>
    <t>MANGUERA COMBUSTIBLE 20M [PZ]</t>
  </si>
  <si>
    <t>MANGUERA COMBUSTIBLE 50CM [PZ]</t>
  </si>
  <si>
    <t>MANGUERA RADIADOR RECTA UNIVERSAL 30CM [PZ]</t>
  </si>
  <si>
    <t>MANGUERA RADIADOR UNIVERSAL 30CM [PZ]</t>
  </si>
  <si>
    <t>MANILLAS</t>
  </si>
  <si>
    <t>MANILLA EMBRAGUE BAJAJ DISCOVER-150 ''VINI'' [IM]</t>
  </si>
  <si>
    <t>MANILLA EMBRAGUE CG-100/NEW-INVICTA [PZ]</t>
  </si>
  <si>
    <t>MANILLA EMBRAGUE CR-190R [PZ]</t>
  </si>
  <si>
    <t>MANILLA EMBRAGUE DOMINAR-400/PULSAR-180/160NS/200NS [PZ]</t>
  </si>
  <si>
    <t>MANILLA EMBRAGUE DRZ-250 [PZ]</t>
  </si>
  <si>
    <t>MANILLA EMBRAGUE FZ-16/FZN-150 (2.0)/YBR-125/FZ-25 ''VINI'' [IM]</t>
  </si>
  <si>
    <t>MANILLA EMBRAGUE FZ-25 [PZ]</t>
  </si>
  <si>
    <t>MANILLA EMBRAGUE FZR-400/600 [PZ]</t>
  </si>
  <si>
    <t>MANILLA EMBRAGUE GIXXER-150 [PZ]</t>
  </si>
  <si>
    <t>MANILLA EMBRAGUE GN-125 CHINA ''VINI'' [IM]</t>
  </si>
  <si>
    <t>MANILLA EMBRAGUE GPZ-400R [PZ]</t>
  </si>
  <si>
    <t>MANILLA EMBRAGUE GSX-400R [PZ]</t>
  </si>
  <si>
    <t>MANILLA EMBRAGUE GSX-600F [PZ]</t>
  </si>
  <si>
    <t>MANILLA EMBRAGUE KA-150 [PZ]</t>
  </si>
  <si>
    <t>MANILLA EMBRAGUE KX-250F (06/16) [PZ]</t>
  </si>
  <si>
    <t>MANILLA EMBRAGUE NK-150 [PZ]</t>
  </si>
  <si>
    <t>MANILLA EMBRAGUE PULSAR-200NS [PZ]</t>
  </si>
  <si>
    <t>MANILLA EMBRAGUE RENEGADE [PZ]</t>
  </si>
  <si>
    <t>MANILLA EMBRAGUE RS-100 [PZ]</t>
  </si>
  <si>
    <t>MANILLA EMBRAGUE STORM-125 ''VINI'' [IM]</t>
  </si>
  <si>
    <t>MANILLA EMBRAGUE VF-400/750 [OF]</t>
  </si>
  <si>
    <t>MANILLA EMBRAGUE VT250F/VF400 [PZ]</t>
  </si>
  <si>
    <t>MANILLA EMBRAGUE WR-250F/WR-450F (05/07) [PZ]</t>
  </si>
  <si>
    <t>MANILLA EMBRAGUE XL-250M/XR-250 TORNADO [PZ]</t>
  </si>
  <si>
    <t>MANILLA EMBRAGUE XL-250R ''TIPO KB7'' [PZ]</t>
  </si>
  <si>
    <t>MANILLA EMBRAGUE XR-250 TORNADO/XRE-300 [PZ]</t>
  </si>
  <si>
    <t>MANILLA EMBRAGUE XR-70/80/100R [PZ]</t>
  </si>
  <si>
    <t>MANILLA EMBRAGUE XTZ-125 ''VINI'' [IM]</t>
  </si>
  <si>
    <t>MANILLA EMBRAGUE XTZ-150 ''VINI'' [IM]</t>
  </si>
  <si>
    <t>MANILLA EMBRAGUE YZ-250F/450F [PZ]</t>
  </si>
  <si>
    <t>MANILLA FRENO BICIMOTO 49CC (ST-50) (IZQ) [PZ]</t>
  </si>
  <si>
    <t>MANILLA FRENO CB-190R/CBF-150 INVICTA/ X-BLADE-160/CB-125F TWISTER [PZ]</t>
  </si>
  <si>
    <t>MANILLA FRENO CG-100 PASSION [PZ]</t>
  </si>
  <si>
    <t>MANILLA FRENO CG-125 (TIPO KB7) (CROMADA) [PZ]</t>
  </si>
  <si>
    <t>MANILLA FRENO CR-250R (92/95) [PZ]</t>
  </si>
  <si>
    <t>MANILLA FRENO CR-80 [PZ]</t>
  </si>
  <si>
    <t>MANILLA FRENO CRF-80/100/XR-80 [PZ]</t>
  </si>
  <si>
    <t>MANILLA FRENO DELANTERO ATV-125 [PZ]</t>
  </si>
  <si>
    <t>MANILLA FRENO DERECHO VS-125 [PZ]</t>
  </si>
  <si>
    <t>MANILLA FRENO DOMINAR-400 [PZ]</t>
  </si>
  <si>
    <t>MANILLA FRENO FZ-16/FZN-150 (2.0) ''VINI'' [IM]</t>
  </si>
  <si>
    <t>MANILLA FRENO FZ-25 [PZ]</t>
  </si>
  <si>
    <t>MANILLA FRENO FZR-400/600/V-STAR/DRAG-STAR [PZ]</t>
  </si>
  <si>
    <t>MANILLA FRENO GIXXER-150/PULSAR-200NS/DUKE-200/FZ-25 ''VINI'' [IM]</t>
  </si>
  <si>
    <t>MANILLA FRENO GN-125 ''VINI'' [IM]</t>
  </si>
  <si>
    <t>MANILLA FRENO GSX-400R [PZ]</t>
  </si>
  <si>
    <t>MANILLA FRENO IZQUIERDO VS-125 [PZ]</t>
  </si>
  <si>
    <t>MANILLA FRENO KA-150 [PZ]</t>
  </si>
  <si>
    <t>MANILLA FRENO KD-150J/VINTAGE CAFÉ [PZ]</t>
  </si>
  <si>
    <t>MANILLA FRENO KDX-250 [PZ]</t>
  </si>
  <si>
    <t>MANILLA FRENO KLR-250 [PZ]</t>
  </si>
  <si>
    <t>MANILLA FRENO KTM-250/450 [PZ]</t>
  </si>
  <si>
    <t>MANILLA FRENO KX-80/125/250 [PZ]</t>
  </si>
  <si>
    <t>MANILLA FRENO NK-150/DR-160S [PZ]</t>
  </si>
  <si>
    <t>MANILLA FRENO PULSAR-200NS/PULSAR-180/GIXXER-150/FZ-25/DUKE-200 [PZ]</t>
  </si>
  <si>
    <t>MANILLA FRENO REX-150/GN-125H [PZ]</t>
  </si>
  <si>
    <t>MANILLA FRENO RMZ-250 [PZ]</t>
  </si>
  <si>
    <t>MANILLA FRENO SCOOTER 125/150 (IZQ) [PZ]</t>
  </si>
  <si>
    <t>MANILLA FRENO SCOOTER-125/150 [PZ]</t>
  </si>
  <si>
    <t>MANILLA FRENO TRASERO ATV-125 [PZ]</t>
  </si>
  <si>
    <t>MANILLA FRENO TRASERO CG-125 (CROMADA) [PZ]</t>
  </si>
  <si>
    <t>MANILLA FRENO XL-250R [PZ]</t>
  </si>
  <si>
    <t>MANILLA FRENO XR-250 [PZ]</t>
  </si>
  <si>
    <t>MANILLA FRENO XR-250L (ANTIGUA) [PZ]</t>
  </si>
  <si>
    <t>MANILLA FRENO XTZ-125 ''VINI'' [IM]</t>
  </si>
  <si>
    <t>MANILLA FRENO XTZ-150 ''VINI'' [IM]</t>
  </si>
  <si>
    <t>MANILLA FRENO XV-400 VIRAGO [PZ]</t>
  </si>
  <si>
    <t>MANILLA FRENO YBR-125 ''VINI'' [IM]</t>
  </si>
  <si>
    <t>MANILLA FRENO YBR-125 ANTIGUA [PZ]</t>
  </si>
  <si>
    <t>MANILLA FRENO YZF-R15 [PZ]</t>
  </si>
  <si>
    <t>MANILLA FRENO YZF-R15/YBRZ-125 [PZ]</t>
  </si>
  <si>
    <t>MANILLARES</t>
  </si>
  <si>
    <t>MANILLAR EMBRAGUE CB1-125/TWISTER-125 [PZ]</t>
  </si>
  <si>
    <t>MANILLAR EMBRAGUE CGL-125 ''VINI'' [IM]</t>
  </si>
  <si>
    <t>MANILLAR EMBRAGUE CGL-125 [PZ]</t>
  </si>
  <si>
    <t>MANILLAR EMBRAGUE GIXXER-150 [PZ]</t>
  </si>
  <si>
    <t>MANILLAR EMBRAGUE GXT-200/WY-200 [PZ]</t>
  </si>
  <si>
    <t>MANILLAR EMBRAGUE KA-150 [PZ]</t>
  </si>
  <si>
    <t>MANILLAR EMBRAGUE KD-150J/VINTAGE CAFÉ [PZ]</t>
  </si>
  <si>
    <t>MANILLAR EMBRAGUE REX-150 [PZ]</t>
  </si>
  <si>
    <t>MANILLAR EMBRAGUE UNIVERSAL [PZ]</t>
  </si>
  <si>
    <t>MANILLAR FRENO CB1-125/TWISTER-125 [PZ]</t>
  </si>
  <si>
    <t>MANILLAR FRENO CGL-125 [PZ]</t>
  </si>
  <si>
    <t>MANILLAR FRENO PITBIKE/ATV [PZ]</t>
  </si>
  <si>
    <t>MANILLAS JGO. PITBIKE [PZ]</t>
  </si>
  <si>
    <t>MANILLAS JGO. XR-150L [PZ]</t>
  </si>
  <si>
    <t>MANILLAS REGULABLES. ABATIBLES. JGO. NEW-INVICTA [PZ]</t>
  </si>
  <si>
    <t>MANILLAS REGULABLES. JGO. CBR-300/CB-300 [PZ] NEGRO</t>
  </si>
  <si>
    <t>MANILLAS REGULABLES. JGO. DUKE-200 [PZ] NEGRO</t>
  </si>
  <si>
    <t>MANILLAS REGULABLES. JGO. FZ-16 [PZ]</t>
  </si>
  <si>
    <t>MANILLAS REGULABLES. JGO. FZ-16 [PZ] NEGRO</t>
  </si>
  <si>
    <t>MANILLAS REGULABLES. JGO. KTM DUKE-200 (NEGRO) [OF]</t>
  </si>
  <si>
    <t>MANILLAS REGULABLES. JGO. MT-03/YZF-R3 [PZ] NEGRO</t>
  </si>
  <si>
    <t>MANILLAS REGULABLES. JGO. PULSAR-180 (NEGRO) [PZ]</t>
  </si>
  <si>
    <t>MANILLAS REGULABLES. JGO. PULSAR-200NS (NEGRO) [PZ]</t>
  </si>
  <si>
    <t>MANILLAS REGULABLES. JGO. YZF-R15 (ROJO) [PZ]</t>
  </si>
  <si>
    <t>MANILLAS RETRACTIL. JGO. GT-250R (AZUL) [PZ]</t>
  </si>
  <si>
    <t>MANILLAS RETRACTIL. JGO. GT-250R (ROJO) [PZ]</t>
  </si>
  <si>
    <t>MANILLAS RETRACTIL. JGO. GT-650R (AZUL) [PZ]</t>
  </si>
  <si>
    <t>MANILLAS RETRACTIL. JGO. GT-650R (ROJO) [PZ]</t>
  </si>
  <si>
    <t>MANILLAS RETRACTIL. JGO. KTM DUKE-390 (AZUL) [PZ]</t>
  </si>
  <si>
    <t>MANILLAS RETRACTIL. JGO. KX-250 (05-08)/YZ-250F [PZ]</t>
  </si>
  <si>
    <t>MANILLAS RETRACTIL. JGO. PULSAR-200 AS (AZUL) [PZ]</t>
  </si>
  <si>
    <t>MANILLAS RETRACTIL. JGO. PULSAR-200 AS (ROJO) [PZ]</t>
  </si>
  <si>
    <t>MANILLAS RETRACTIL. JGO. PULSAR-200 RS (ROJO) [PZ]</t>
  </si>
  <si>
    <t>MANILLAS RETRACTIL. JGO. YBR-125 (DORADA) [PZ]</t>
  </si>
  <si>
    <t>MANILLAS RETRACTIL. JGO. YBR-125 (NEGRO) [PZ]</t>
  </si>
  <si>
    <t>MANILLAS RETRACTIL. JGO. YBR-125 (VERDE) [PZ]</t>
  </si>
  <si>
    <t>MANUBRIOS</t>
  </si>
  <si>
    <t>MANUBRIO ALUMINIO ENDURO [PZ]</t>
  </si>
  <si>
    <t>MANUBRIO ALUMINIO ENDURO [PZ] DORADO</t>
  </si>
  <si>
    <t>MANUBRIO ALUMINIO ENDURO [PZ] NARANJA</t>
  </si>
  <si>
    <t>MANUBRIO ALUMINIO ENDURO [PZ] PLATEADO</t>
  </si>
  <si>
    <t>MANUBRIO ALUMINIO ENDURO [PZ] ROJO</t>
  </si>
  <si>
    <t>MANUBRIO ALUMINIO UNIVERSAL [PZ]</t>
  </si>
  <si>
    <t>MANUBRIO BICIMOTO 49CC [PZ]</t>
  </si>
  <si>
    <t>MANUBRIO CAFE RACER [PZ]</t>
  </si>
  <si>
    <t>MANUBRIO CALLE UNIVERSAL (GRIS) [PZ]</t>
  </si>
  <si>
    <t>MANUBRIO CB1-125/CB125F TWISTER/CG-125/WY-125 (NEGRO) [PZ]</t>
  </si>
  <si>
    <t>MANUBRIO CBF-150 [PZ]</t>
  </si>
  <si>
    <t>MANUBRIO CG-125 (NEGRO) [PZ]</t>
  </si>
  <si>
    <t>MANUBRIO CHOPPER (CROMADO) [PZ]</t>
  </si>
  <si>
    <t>MANUBRIO CM-185T (TIPO CHOPPER) [PZ]</t>
  </si>
  <si>
    <t>MANUBRIO DERECHO YZF-R15 [PZ]</t>
  </si>
  <si>
    <t>MANUBRIO ENDURO GY-125/150/200 (NEGRO) [PZ]</t>
  </si>
  <si>
    <t>MANUBRIO ENDURO UNIVERSAL [PZ] AZUL</t>
  </si>
  <si>
    <t>MANUBRIO ENDURO UNIVERSAL [PZ] NEGRO</t>
  </si>
  <si>
    <t>MANUBRIO ENDURO UNIVERSAL [PZ] ROJO</t>
  </si>
  <si>
    <t>MANUBRIO EXPRESS-100 [PZ]</t>
  </si>
  <si>
    <t>MANUBRIO FZ-16/FZN-150 (2.0) [PZ]</t>
  </si>
  <si>
    <t>MANUBRIO FZ-25 [PZ]</t>
  </si>
  <si>
    <t>MANUBRIO GIXXER-150 [PZ]</t>
  </si>
  <si>
    <t>MANUBRIO GN-125H (NEGRO) [PZ]</t>
  </si>
  <si>
    <t>MANUBRIO GN-125H [PZ]</t>
  </si>
  <si>
    <t>MANUBRIO GS-125 [PZ]</t>
  </si>
  <si>
    <t>MANUBRIO KA-150 [PZ]</t>
  </si>
  <si>
    <t>MANUBRIO MOTOMEL NEW SKUA [PZ]</t>
  </si>
  <si>
    <t>MANUBRIO NK-150 [PZ]</t>
  </si>
  <si>
    <t>MANUBRIO RENEGADE CHOPPER [PZ]</t>
  </si>
  <si>
    <t>MANUBRIO SCOOTER MOTOMEL SURFER [PZ]</t>
  </si>
  <si>
    <t>MANUBRIO SEMIRECTO 22MM. [PZ]</t>
  </si>
  <si>
    <t>MANUBRIO TIPO PRO-TAPER CALLE [PZ]</t>
  </si>
  <si>
    <t>MANUBRIO UNIVERSAL 28MM [PZ]</t>
  </si>
  <si>
    <t>MANUBRIO UNIVERSAL [PZ]</t>
  </si>
  <si>
    <t>MANUBRIO XL-200R [PZ]</t>
  </si>
  <si>
    <t>MANUBRIO XR-250/GXT-200/TTX-150 [PZ]</t>
  </si>
  <si>
    <t>MANUBRIO XTZ-125 [PZ]</t>
  </si>
  <si>
    <t>MANUBRIO YBR-125 [PZ]</t>
  </si>
  <si>
    <t>MANURIO TIPO RENEGADE (NEGRO) [PZ]</t>
  </si>
  <si>
    <t>MAQUINA CORTA CADENA ''CHOHO'' [PZ]</t>
  </si>
  <si>
    <t>MAQUINA CORTA CADENA DISTRIBUCION [PZ]</t>
  </si>
  <si>
    <t>MAQUINA CORTA CADENA TRANSMISION [PZ]</t>
  </si>
  <si>
    <t>MAQUINA LUBRICANTE DE CABLES UNIVERSAL [PZ]</t>
  </si>
  <si>
    <t>MAQUINA PARA CORTAR Y REMACHAR CADENA [PZ]</t>
  </si>
  <si>
    <t>MASCARA ANTI-SMOG (POLVO/FRIO) NEGRO [PZ]</t>
  </si>
  <si>
    <t>MASCARA FOCO DELANTERO CB-125F TWISTER [PZ]</t>
  </si>
  <si>
    <t>MASCARA FOCO DELANTERO CBX-250 [PZ]</t>
  </si>
  <si>
    <t>MASCARA FOCO DELANTERO FASTWIND-250/JL250-A [PZ]</t>
  </si>
  <si>
    <t>MASCARA FOCO DELANTERO NK-150 [PZ]</t>
  </si>
  <si>
    <t>MASCARA FOCO DELANTERO NK-150 [PZ] NEGRO</t>
  </si>
  <si>
    <t>MASCARA FOCO DELANTERO PULSAR-200NS [PZ]</t>
  </si>
  <si>
    <t>MASCARA FOCO DELANTERO XR-190 [PZ]</t>
  </si>
  <si>
    <t>MASCARA FOCO DELANTERO XRE-300 [PZ]</t>
  </si>
  <si>
    <t>MAZA TRASERA GXT-200/DR-200 [PZ]</t>
  </si>
  <si>
    <t>MAZA TRASERA XL-200 [OF]</t>
  </si>
  <si>
    <t>MEMBRANA CARBURADOR GN-125/EN-125 [PZ]</t>
  </si>
  <si>
    <t>MEMBRANA CARBURADOR SCOOTER 22 MM [PZ]</t>
  </si>
  <si>
    <t>MEMBRANA CARBURADOR SCOOTER 24 MM. [PZ]</t>
  </si>
  <si>
    <t>MEMBRANA CARBURADOR SCOOTER [PZ]</t>
  </si>
  <si>
    <t>MICA ANTIEMPAÑANTE ''PINLOCK'' [PZ]</t>
  </si>
  <si>
    <t>MICA FOCO SEÑALIZADOR ST-70 [PZ]</t>
  </si>
  <si>
    <t>MICA MASCARA DELANTERA STORM-125 [PZ]</t>
  </si>
  <si>
    <t>MICROFILTRO BENCINA UNIVERSAL (METALICO) [PZ]</t>
  </si>
  <si>
    <t>MICROFILTRO BENCINA UNIVERSAL [PZ]</t>
  </si>
  <si>
    <t>MOCHILA CAMELBACK (CELESTE) [PZ]</t>
  </si>
  <si>
    <t>MOCHILA PARA CASCO [OF]</t>
  </si>
  <si>
    <t>MOTORES DE PARTIDA</t>
  </si>
  <si>
    <t>MOTOR PARTIDA ATV (2 PERNOS) [PZ]</t>
  </si>
  <si>
    <t>MOTOR PARTIDA ATV (3 PERNOS) ''VINI'' [IM]</t>
  </si>
  <si>
    <t>MOTOR PARTIDA ATV/EXPRESS-100/BICIMOTO (3 PERNOS) [PZ]</t>
  </si>
  <si>
    <t>MOTOR PARTIDA BICIMOTO 49CC (ST-50) [PZ]</t>
  </si>
  <si>
    <t>MOTOR PARTIDA CB-190R/XR-190L ''VINI'' [IM]</t>
  </si>
  <si>
    <t>MOTOR PARTIDA CB1-125 [PZ]</t>
  </si>
  <si>
    <t>MOTOR PARTIDA CBF-150 INVICTA ''VINI'' [IM]</t>
  </si>
  <si>
    <t>MOTOR PARTIDA CBF-150 INVICTA [PZ]</t>
  </si>
  <si>
    <t>MOTOR PARTIDA CBT-250 [PZ]</t>
  </si>
  <si>
    <t>MOTOR PARTIDA CG-100 PASSION ''VINI'' [IM]</t>
  </si>
  <si>
    <t>MOTOR PARTIDA CG-100 PASSION-PRO [PZ]</t>
  </si>
  <si>
    <t>MOTOR PARTIDA CG-125/HJ125-7 [PZ]</t>
  </si>
  <si>
    <t>MOTOR PARTIDA DR-200 ''VINI'' [IM]</t>
  </si>
  <si>
    <t>MOTOR PARTIDA DR-200 [PZ]</t>
  </si>
  <si>
    <t>MOTOR PARTIDA FZ-16 (2014)/FZN-150 [PZ]</t>
  </si>
  <si>
    <t>MOTOR PARTIDA FZ-16 (HASTA 2013) ''VINI'' [IM]</t>
  </si>
  <si>
    <t>MOTOR PARTIDA FZ-16/2.0/YZF-R15 V1 ''VINI'' [IM]</t>
  </si>
  <si>
    <t>MOTOR PARTIDA GIXXER-150 [PZ]</t>
  </si>
  <si>
    <t>MOTOR PARTIDA PULSAR 200NS/200RS HIBARI [PZ]</t>
  </si>
  <si>
    <t>MOTOR PARTIDA PULSAR-135 [PZ]</t>
  </si>
  <si>
    <t>MOTOR PARTIDA PULSAR-150NS ''VINI'' [IM]</t>
  </si>
  <si>
    <t>MOTOR PARTIDA PULSAR-180 [PZ]</t>
  </si>
  <si>
    <t>MOTOR PARTIDA PULSAR-200/220 [PZ]</t>
  </si>
  <si>
    <t>MOTOR PARTIDA PULSAR-200NS ''VINI'' [IM]</t>
  </si>
  <si>
    <t>MOTOR PARTIDA RENEGADE-200 ''VINI'' [IM]</t>
  </si>
  <si>
    <t>MOTOR PARTIDA SCOOTER 125/150 (GY6) [PZ]</t>
  </si>
  <si>
    <t>MOTOR PARTIDA STORM-125/CGL-125 [PZ]</t>
  </si>
  <si>
    <t>MOTOR PARTIDA T-105 CRYPTON [PZ]</t>
  </si>
  <si>
    <t>MOTOR PARTIDA XL/XR-200/NXR-150 [PZ]</t>
  </si>
  <si>
    <t>MOTOR PARTIDA XR-250 TORNADO/CBX-250 ''VINI'' [PZ]</t>
  </si>
  <si>
    <t>MOTOR PARTIDA YBR-125 [PZ]</t>
  </si>
  <si>
    <t>MOTOR PARTIDA YBR-125/XTZ-125 [PZ]</t>
  </si>
  <si>
    <t>MOTORBIKE DETAILER ''LIQUI MOLY'' 500ML [OF]</t>
  </si>
  <si>
    <t>NEUMÁTICOS</t>
  </si>
  <si>
    <t>NEUMATICO ATV (06) ''DURO'' HF-240B 2PR [PZ]</t>
  </si>
  <si>
    <t>NEUMATICO ATV (06) (P-333-03) ''APEX'' [PZ]</t>
  </si>
  <si>
    <t>NEUMATICO ATV (06) (P-336-01) ''APEX'' [PZ]</t>
  </si>
  <si>
    <t>NEUMATICO ATV (06) [PZ]</t>
  </si>
  <si>
    <t>NEUMATICO ATV (07) ''JUNKAI'' 200-55-7 4PR [PZ]</t>
  </si>
  <si>
    <t>NEUMATICO ATV (07) (P-361-04) ''APEX'' [PZ]</t>
  </si>
  <si>
    <t>NEUMATICO ATV (08) ''DURO'' HF-240 KNOBBY 2PR [PZ]</t>
  </si>
  <si>
    <t>NEUMATICO ATV (08) ''DURO'' HF-246 KNOBBY 2PR [PZ]</t>
  </si>
  <si>
    <t>NEUMATICO ATV (08) (P-361-02) ''APEX'' [PZ]</t>
  </si>
  <si>
    <t>NEUMATICO ATV (08) (P-361-04) ''APEX'' [PZ]</t>
  </si>
  <si>
    <t>NEUMATICO ATV (10) ''SUPER RUN'' [PZ]</t>
  </si>
  <si>
    <t>NEUMATICO ATV (10) ''WANDA'' P321 [PZ]</t>
  </si>
  <si>
    <t>NEUMATICO ATV (10) (P-361-01) ''APEX'' [PZ]</t>
  </si>
  <si>
    <t>NEUMATICO ATV (10) (P-361-10) ''APEX'' [PZ]</t>
  </si>
  <si>
    <t>NEUMATICO ATV (11) (P-341-01) ''APEX'' [PZ]</t>
  </si>
  <si>
    <t>NEUMATICO ATV (12) (P-341-01) ''APEX'' [PZ]</t>
  </si>
  <si>
    <t>NEUMATICO CALLE (10) ''CST'' C924 [PZ]</t>
  </si>
  <si>
    <t>NEUMATICO CALLE (10) ''DURO'' HF-291A [PZ]</t>
  </si>
  <si>
    <t>NEUMATICO CALLE (10) ''DURO'' HF-297 [PZ]</t>
  </si>
  <si>
    <t>NEUMATICO CALLE (10) ''DURO'' HF-913TL [PZ]</t>
  </si>
  <si>
    <t>NEUMATICO CALLE (10) ''JIN DUN'' [PZ]</t>
  </si>
  <si>
    <t>NEUMATICO CALLE (10) ''SUPER RUN'' HKW-801 [PZ]</t>
  </si>
  <si>
    <t>NEUMATICO CALLE (10) ''SUPER RUN'' HKW-8043B [PZ]</t>
  </si>
  <si>
    <t>NEUMATICO CALLE (10) ''SUPER RUN'' HKW-8065 [PZ]</t>
  </si>
  <si>
    <t>NEUMATICO CALLE (12) ''CEAT'' ZOOM [PZ]</t>
  </si>
  <si>
    <t>NEUMATICO CALLE (12) ''DURO'' HF-908F [PZ]</t>
  </si>
  <si>
    <t>NEUMATICO CALLE (12) ''GUANGBO'' SL-626 [PZ]</t>
  </si>
  <si>
    <t>NEUMATICO CALLE (12) ''MOZUKI'' 243KG/300KPA [PZ]</t>
  </si>
  <si>
    <t>NEUMATICO CALLE (12) ''SUPER RUN'' HKW-1031 [PZ]</t>
  </si>
  <si>
    <t>NEUMATICO CALLE (12) ''SUPER RUN'' HKW1017 [PZ]</t>
  </si>
  <si>
    <t>NEUMATICO CALLE (13) ''SUPER RUN'' HKW-8017 [PZ]</t>
  </si>
  <si>
    <t>NEUMATICO CALLE (14) ''CHINO'' BICIMOTO 49CC (ST-50) [PZ]</t>
  </si>
  <si>
    <t>NEUMATICO CALLE (15) ''DURO'' HF-918 [PZ]</t>
  </si>
  <si>
    <t>NEUMATICO CALLE (15) ''SUPER RUN'' HKW-010 [PZ]</t>
  </si>
  <si>
    <t>NEUMATICO CALLE (16) ''CEAT'' GRIPP CRUZ [PZ]</t>
  </si>
  <si>
    <t>NEUMATICO CALLE (16) ''CEAT'' GRIPP X3 [PZ]</t>
  </si>
  <si>
    <t>NEUMATICO CALLE (16) ''SHINKO'' SR-777 [PZ]</t>
  </si>
  <si>
    <t>NEUMATICO CALLE (16) ''SHINKO'' SR-777WW BANDA BLANC [PZ]</t>
  </si>
  <si>
    <t>NEUMATICO CALLE (16) ''SUPER RUN'' HKW-1054 [PZ]</t>
  </si>
  <si>
    <t>NEUMATICO CALLE (17) ''CEAT'' ZOOM PLUS [PZ]</t>
  </si>
  <si>
    <t>NEUMATICO CALLE (17) ''CEAT'' ZOOM RAD X1 [PZ]</t>
  </si>
  <si>
    <t>NEUMATICO CALLE (17) ''CEAT'' ZOOM RAD [PZ]</t>
  </si>
  <si>
    <t>NEUMATICO CALLE (17) ''CEAT'' ZOOM XL [PZ]</t>
  </si>
  <si>
    <t>NEUMATICO CALLE (17) ''CEAT'' ZOOM [PZ]</t>
  </si>
  <si>
    <t>NEUMATICO CALLE (17) ''CHAOYANG'' H-626 [PZ]</t>
  </si>
  <si>
    <t>NEUMATICO CALLE (17) ''DURO'' HF-319 [PZ]</t>
  </si>
  <si>
    <t>NEUMATICO CALLE (17) ''DURO'' HF-918 [OF]</t>
  </si>
  <si>
    <t>NEUMATICO CALLE (17) ''DURO'' HF-918 [PZ]</t>
  </si>
  <si>
    <t>NEUMATICO CALLE (17) ''KINGTYRE'' K-905 [PZ]</t>
  </si>
  <si>
    <t>NEUMATICO CALLE (17) ''KINGTYRE'' K-97 [PZ]</t>
  </si>
  <si>
    <t>NEUMATICO CALLE (17) ''MOZUKI'' 200KG/32PSI [PZ] RM458</t>
  </si>
  <si>
    <t>NEUMATICO CALLE (17) ''MOZUKI'' 300KG/225 KPA [PZ] UR030</t>
  </si>
  <si>
    <t>NEUMATICO CALLE (17) ''MOZUKI'' 300KG/225KPA [PZ] UR030</t>
  </si>
  <si>
    <t>NEUMATICO CALLE (17) ''MOZUKI'' 300KG/280 KPA [PZ]</t>
  </si>
  <si>
    <t>NEUMATICO CALLE (17) ''PNEUS-TECHNIC'' DUALSPORT [PZ]</t>
  </si>
  <si>
    <t>NEUMATICO CALLE (17) ''PNEUS-TECHNIC'' SPORT [PZ]</t>
  </si>
  <si>
    <t>NEUMATICO CALLE (17) ''PNEUS-TECHNIC'' [PZ]</t>
  </si>
  <si>
    <t>NEUMATICO CALLE (17) ''SHINKO'' F-016 DOB. COMPUESTO [PZ]</t>
  </si>
  <si>
    <t>NEUMATICO CALLE (17) ''SHINKO'' R-016 DOB. COMPUESTO [PZ]</t>
  </si>
  <si>
    <t>NEUMATICO CALLE (17) ''SHINKO'' SR-777WW BANDA B [PZ]</t>
  </si>
  <si>
    <t>NEUMATICO CALLE (17) ''SUPER RUN'' HKW-1031 [PZ]</t>
  </si>
  <si>
    <t>NEUMATICO CALLE (17) ''SUPER RUN'' HKW-1054 [PZ]</t>
  </si>
  <si>
    <t>NEUMATICO CALLE (17) ''SUPER RUN'' HKW-1059 [PZ]</t>
  </si>
  <si>
    <t>NEUMATICO CALLE (17) ''SUPER RUN'' HKW-400 [PZ]</t>
  </si>
  <si>
    <t>NEUMATICO CALLE (17) ''SUPER RUN'' HKW-407 [PZ]</t>
  </si>
  <si>
    <t>NEUMATICO CALLE (17) ''SUPER RUN'' HKW-4080 [PZ]</t>
  </si>
  <si>
    <t>NEUMATICO CALLE (17) ''SUPER RUN'' HKW024B [PZ]</t>
  </si>
  <si>
    <t>NEUMATICO CALLE (17) ''WANDA'' P225 [PZ]</t>
  </si>
  <si>
    <t>NEUMATICO CALLE (17) ''WANDA'' P298 [PZ]</t>
  </si>
  <si>
    <t>NEUMATICO CALLE (17) ''WANDA'' P6050 [PZ]</t>
  </si>
  <si>
    <t>NEUMATICO CALLE (18) ''CEAT'' MILAZE [PZ]</t>
  </si>
  <si>
    <t>NEUMATICO CALLE (18) ''CEAT'' SECURA ZOOM TT [OF]</t>
  </si>
  <si>
    <t>NEUMATICO CALLE (18) ''CEAT'' SEGURA ZOOM [PZ]</t>
  </si>
  <si>
    <t>NEUMATICO CALLE (18) ''CEAT'' ZOOM PLUS [PZ]</t>
  </si>
  <si>
    <t>NEUMATICO CALLE (18) ''CHAOYANG'' H-626 [PZ]</t>
  </si>
  <si>
    <t>NEUMATICO CALLE (18) ''CST'' C6011 [PZ]</t>
  </si>
  <si>
    <t>NEUMATICO CALLE (18) ''DURO'' HF-261B [PZ]</t>
  </si>
  <si>
    <t>NEUMATICO CALLE (18) ''DURO'' HF-319 [PZ]</t>
  </si>
  <si>
    <t>NEUMATICO CALLE (18) ''DURO'' HF-329 [PZ]</t>
  </si>
  <si>
    <t>NEUMATICO CALLE (18) ''MOZUKI'' 230KG/280 KPA [PZ] UR2305</t>
  </si>
  <si>
    <t>NEUMATICO CALLE (18) ''MOZUKI'' 230KG/280KPA [PZ] UR2305</t>
  </si>
  <si>
    <t>NEUMATICO CALLE (18) ''PNEUS-TECHNIC'' CITY TURBO [PZ]</t>
  </si>
  <si>
    <t>NEUMATICO CALLE (18) ''PNEUS-TECHNIC'' SPEED [PZ]</t>
  </si>
  <si>
    <t>NEUMATICO CALLE (18) ''PNEUS-TECHNIC'' SPORT [PZ]</t>
  </si>
  <si>
    <t>NEUMATICO CALLE (18) ''SUPER RUN'' HKW-1003 [PZ]</t>
  </si>
  <si>
    <t>NEUMATICO CALLE (18) ''SUPER RUN'' HKW-1054 [PZ]</t>
  </si>
  <si>
    <t>NEUMATICO CALLE (18) ''SUPER RUN'' HKW-401B [PZ]</t>
  </si>
  <si>
    <t>NEUMATICO CALLE (18) ''SUPER RUN'' KTO-1013S [PZ]</t>
  </si>
  <si>
    <t>NEUMATICO CALLE (18) ''SUPER RUN'' KTO-9003 [PZ]</t>
  </si>
  <si>
    <t>NEUMATICO CALLE (18) ''WANDA'' P273 [PZ]</t>
  </si>
  <si>
    <t>NEUMATICO CALLE (19) ''CEAT'' ZOOM PLUS TT [PZ]</t>
  </si>
  <si>
    <t>NEUMATICO CALLE (19) ''CHAOYANG'' H-626 [PZ]</t>
  </si>
  <si>
    <t>NEUMATICO CROSS (14) R CM703 [PZ]</t>
  </si>
  <si>
    <t>NEUMATICO CROSS (16) C755 4PR [PZ]</t>
  </si>
  <si>
    <t>NEUMATICO CROSS (18) ''DURO'' HF-333 [PZ]</t>
  </si>
  <si>
    <t>NEUMATICO CROSS (19) ''SHINKO'' SR-546 [PZ]</t>
  </si>
  <si>
    <t>NEUMATICO CROSS (19) ''SUPER RUN'' KTO-1407S [OF]</t>
  </si>
  <si>
    <t>NEUMATICO DELANTERO (18) ''DURO'' HF-301E 4PR</t>
  </si>
  <si>
    <t>NEUMATICO DUAL (17) ''DURO'' HF-903 [PZ]</t>
  </si>
  <si>
    <t>NEUMATICO DUAL SPORT (10) ''SUPER RUN'' HKW-8043B-02 [PZ]</t>
  </si>
  <si>
    <t>NEUMATICO DUAL SPORT (17) ''KINGTYRE'' K-66 [PZ]</t>
  </si>
  <si>
    <t>NEUMATICO DUAL SPORT (17) ''PNEUS-TECHNIC'' STROKER TRIAL [PZ]</t>
  </si>
  <si>
    <t>NEUMATICO DUAL SPORT (17) ''SUPER RUN'' HKW1054 [PZ]</t>
  </si>
  <si>
    <t>NEUMATICO DUAL SPORT (18) ''KINGTYRE'' K-66 [PZ]</t>
  </si>
  <si>
    <t>NEUMATICO DUAL SPORT (18) ''SHINKO'' E-705 [PZ]</t>
  </si>
  <si>
    <t>NEUMATICO DUAL SPORT (18) ''SHINKO'' E-805 [PZ]</t>
  </si>
  <si>
    <t>NEUMATICO DUAL SPORT (18) ''SUPER RUN'' HKW-046 [PZ]</t>
  </si>
  <si>
    <t>NEUMATICO DUAL SPORT (18) ''SUPER RUN'' HKW-1017 [PZ]</t>
  </si>
  <si>
    <t>NEUMATICO DUAL SPORT (18) ''SUPER RUN'' HKW-1054 [OF]</t>
  </si>
  <si>
    <t>NEUMATICO DUAL SPORT (18) ''SUPER RUN'' HKW-1054 [PZ]</t>
  </si>
  <si>
    <t>NEUMATICO DUAL SPORT (18) ''SUPER RUN'' HKW-1072 [PZ]</t>
  </si>
  <si>
    <t>NEUMATICO DUAL SPORT (18) ''SUPER RUN'' HKW-1072B [PZ]</t>
  </si>
  <si>
    <t>NEUMATICO DUAL SPORT (19) ''KINGTYRE'' K-66 [PZ]</t>
  </si>
  <si>
    <t>NEUMATICO DUAL SPORT (19) ''PNEUS-TECHNIC'' DUAL TC [PZ]</t>
  </si>
  <si>
    <t>NEUMATICO DUAL SPORT (19) ''SHINKO'' E-705 [PZ]</t>
  </si>
  <si>
    <t>NEUMATICO DUAL SPORT (19) ''SUPER RUN'' HKW-1054 [OF]</t>
  </si>
  <si>
    <t>NEUMATICO DUAL SPORT (19) ''SUPER RUN'' HKW-1059 [OF]</t>
  </si>
  <si>
    <t>NEUMATICO DUAL SPORT (21) ''CEAT'' GRIPP XL TT [OF]</t>
  </si>
  <si>
    <t>NEUMATICO DUAL SPORT (21) ''KINGTYRE'' K-66 [PZ]</t>
  </si>
  <si>
    <t>NEUMATICO DUAL SPORT (21) ''MOZUKI'' 236KG [PZ]</t>
  </si>
  <si>
    <t>NEUMATICO DUAL SPORT (21) ''PNEUS-TECHNIC'' ENDURANCE DUAL [PZ]</t>
  </si>
  <si>
    <t>NEUMATICO DUAL SPORT (21) ''PNEUS-TECHNIC'' T&amp;C [PZ]</t>
  </si>
  <si>
    <t>NEUMATICO DUAL SPORT (21) ''SUPER RUN'' HKW1246 [PZ]</t>
  </si>
  <si>
    <t>NEUMATICO TRIAL (17) ''SUPER RUN'' KTO-1207 [PZ]</t>
  </si>
  <si>
    <t>NEUMATICO TRIAL (21) ''SUPER RUN'' HKW-46 [PZ]</t>
  </si>
  <si>
    <t>NK-150 MOTOCICLETA: NUEVA</t>
  </si>
  <si>
    <t>MODELO: NK-150</t>
  </si>
  <si>
    <t>Nº DE CHASIS: LC6JCK4P4N0020396</t>
  </si>
  <si>
    <t>Nº DE MOTOR: 157FMJ3G2S08288</t>
  </si>
  <si>
    <t>O RING BOMBA COMBUSTIBLE YZF-R15 [PZ]</t>
  </si>
  <si>
    <t>O RING TAPON CARTER YZF-R15 [PZ]</t>
  </si>
  <si>
    <t>OBTURADOR CAMBIOS CG-125 [PZ]</t>
  </si>
  <si>
    <t>OBTURADOR CAMBIOS CR1 SPORT/LX150 [PZ]</t>
  </si>
  <si>
    <t>OJOS DE GATO. JGO. REDONDOS (AMARILLO) [PZ]</t>
  </si>
  <si>
    <t>OVEROL LIQUI MOLY</t>
  </si>
  <si>
    <t>OVEROL LUBRAX Gris</t>
  </si>
  <si>
    <t>OVEROL VINI ROJO/NEGRO</t>
  </si>
  <si>
    <t>PALANCA CAMBIOS BICIMOTO 49CC (ST-50) [PZ]</t>
  </si>
  <si>
    <t>PALANCA EMBRAGUE RE-250 [PZ]</t>
  </si>
  <si>
    <t>PALANCA FRENO TRASERO BICIMOTO 49CC (ST-50) [PZ]</t>
  </si>
  <si>
    <t>PALANCAS DE FRENO</t>
  </si>
  <si>
    <t>PALANCA FRENO TRASERO C/LEVA GN-125H [PZ]</t>
  </si>
  <si>
    <t>PALANCA FRENO TRASERO DISCOVER 125ST/150ST/110 [PZ]</t>
  </si>
  <si>
    <t>PALANCA FRENO TRASERO UNIVERSAL [PZ]</t>
  </si>
  <si>
    <t>PALANCA FRENO TRASERO YBR-125 [PZ]</t>
  </si>
  <si>
    <t>PARCHES. JGO. (48) UNIDADES [PZ]</t>
  </si>
  <si>
    <t>PARRILLA PULSAR-125NS [PZ]</t>
  </si>
  <si>
    <t>PASADOR PEDALIN ''UNIVERSAL 42 LARGO POR 08 MM) [PZ]</t>
  </si>
  <si>
    <t>PASADOR PISTON 14X39.5 CB-190/XR-150 [PZ]</t>
  </si>
  <si>
    <t>PASTILLAS DE FRENO</t>
  </si>
  <si>
    <t>PASTILLAS FRENO (112) ''AP'' [PZ]</t>
  </si>
  <si>
    <t>PASTILLAS FRENO (124) ''ICHIBAN'' [PZ]</t>
  </si>
  <si>
    <t>PASTILLAS FRENO (136) ''ICHIBAN'' DR-200 DEL [PZ]</t>
  </si>
  <si>
    <t>PASTILLAS FRENO (136) DR-200 DEL [PZ]</t>
  </si>
  <si>
    <t>PASTILLAS FRENO (142) ''AP'' [PZ]</t>
  </si>
  <si>
    <t>PASTILLAS FRENO (144) ''VINI'' AN-125/VS-125 [IM]</t>
  </si>
  <si>
    <t>PASTILLAS FRENO (146) ''ICHIBAN'' (IGUAL 186) [PZ]</t>
  </si>
  <si>
    <t>PASTILLAS FRENO (150) ''ICHIBAN'' [PZ]</t>
  </si>
  <si>
    <t>PASTILLAS FRENO (151) EXPRESS-100/REX-150 ''VINI'' [IM]</t>
  </si>
  <si>
    <t>PASTILLAS FRENO (156) ''OSAKA'' GSXR-600/SV-650/GSXR-1300 TRA [PZ]</t>
  </si>
  <si>
    <t>PASTILLAS FRENO (158) ''CBF MOTORS'' [PZ]</t>
  </si>
  <si>
    <t>PASTILLAS FRENO (158) ''ICHIBAN'' [PZ]</t>
  </si>
  <si>
    <t>PASTILLAS FRENO (158) ELITE-125 ''VINI'' [IM]</t>
  </si>
  <si>
    <t>PASTILLAS FRENO (159) ''OSAKA'' XT-125 TRA [PZ]</t>
  </si>
  <si>
    <t>PASTILLAS FRENO (172) ''AP'' DEL. [PZ]</t>
  </si>
  <si>
    <t>PASTILLAS FRENO (175) ''OSAKA'' YBR-125 ANTIGUA DEL/XTZ-660 TENERE TRA. [PZ]</t>
  </si>
  <si>
    <t>PASTILLAS FRENO (175) YBR-125 ANTIGUA DEL/XTZ-660 TENERE TRA. [PZ]</t>
  </si>
  <si>
    <t>PASTILLAS FRENO (184) ''AP'' [PZ]</t>
  </si>
  <si>
    <t>PASTILLAS FRENO (185) ''ICHIBAN'' RK-150/GN-125/HJ-125-7 [PZ]</t>
  </si>
  <si>
    <t>PASTILLAS FRENO (185) RK-150/GN-125/HJ-125-7 ''VINI'' [IM]</t>
  </si>
  <si>
    <t>PASTILLAS FRENO (185) RK-150/GN-125/HJ-125-7 [PZ]</t>
  </si>
  <si>
    <t>PASTILLAS FRENO (193) ''AP'' DEL. [PZ]</t>
  </si>
  <si>
    <t>PASTILLAS FRENO (203) ''CHINA'' XR-250 (86/95) DEL. [PZ]</t>
  </si>
  <si>
    <t>PASTILLAS FRENO (203) ''OSAKA'' DEL. [PZ]</t>
  </si>
  <si>
    <t>PASTILLAS FRENO (204) ''CHINA'' XR-250R (86/04) TRAS [PZ]</t>
  </si>
  <si>
    <t>PASTILLAS FRENO (204) ''CHINA'' XR-250R (86/04) TRAS [PZ] ORGÁNICA</t>
  </si>
  <si>
    <t>PASTILLAS FRENO (204) ''OSAKA'' TRAS. [PZ]</t>
  </si>
  <si>
    <t>PASTILLAS FRENO (204) XR-250 (86/04) TRA ''VINI'' [IM]</t>
  </si>
  <si>
    <t>PASTILLAS FRENO (204) XR-250R (TRA) [PZ]</t>
  </si>
  <si>
    <t>PASTILLAS FRENO (211) ''VINI'' XTZ-125/GXT-200 [IM]</t>
  </si>
  <si>
    <t>PASTILLAS FRENO (211) GXT-200/XTZ-125 ''CHINA'' [PZ]</t>
  </si>
  <si>
    <t>PASTILLAS FRENO (211) GXT-200/XTZ-125 [PZ]</t>
  </si>
  <si>
    <t>PASTILLAS FRENO (211) XTZ-125/GXT-200 ''ICHIBAN'' CERAMICA [PZ]</t>
  </si>
  <si>
    <t>PASTILLAS FRENO (211) XTZ-125/GXT-200 OSAKA [PZ]</t>
  </si>
  <si>
    <t>PASTILLAS FRENO (214) ''ICHIBAN'' [PZ]</t>
  </si>
  <si>
    <t>PASTILLAS FRENO (214) ''JAPAN'' [PZ]</t>
  </si>
  <si>
    <t>PASTILLAS FRENO (214) ZONGSHEN RX-1 (TRA)/RX-3 (TRA)/NC-750 (TRA) ''VINI'' [IM]</t>
  </si>
  <si>
    <t>PASTILLAS FRENO (219) ''ICHIBAN'' BWS-100 [PZ]</t>
  </si>
  <si>
    <t>PASTILLAS FRENO (222) ''AP'' [PZ]</t>
  </si>
  <si>
    <t>PASTILLAS FRENO (224) ''AP'' [PZ]</t>
  </si>
  <si>
    <t>PASTILLAS FRENO (226) ''AP'' [PZ]</t>
  </si>
  <si>
    <t>PASTILLAS FRENO (227) NK-150/GZ-150/VERSYS-300/ZONGSHEN RX-1/V-STROM-250 (DEL) ''VINI'' [IM]</t>
  </si>
  <si>
    <t>PASTILLAS FRENO (231) ''YONGLI'' SV-650/ZXR-400 [PZ]</t>
  </si>
  <si>
    <t>PASTILLAS FRENO (232) FZ-25/R-15 V3/XTZ-250/YBR-250 TRAS ''VINI'' [IM]</t>
  </si>
  <si>
    <t>PASTILLAS FRENO (232) TRAS FZ-25/R-15 V3/XTZ-250 LANDER/YBR-250 [PZ]</t>
  </si>
  <si>
    <t>PASTILLAS FRENO (234) ''AP'' [PZ]</t>
  </si>
  <si>
    <t>PASTILLAS FRENO (238) BENELLI TNT-150 (TRA)/CB125F TWISTER/CB-190/STORM(DEL) ''ICHIBAN'' CERÁMICA [P</t>
  </si>
  <si>
    <t>PASTILLAS FRENO (238) BENELLI TNT-150 (TRA)/CB125F TWISTER/CB-190/STORM/KPT-200 (DEL) ''VINI'' [IM]</t>
  </si>
  <si>
    <t>PASTILLAS FRENO (238) BENELLI TNT-150 TRA ''EBC'' [PZ]</t>
  </si>
  <si>
    <t>PASTILLAS FRENO (238) BENELLI TNT-150 TRA [PZ]</t>
  </si>
  <si>
    <t>PASTILLAS FRENO (239) ''VD'' [PZ]</t>
  </si>
  <si>
    <t>PASTILLAS FRENO (257) ''EBC'' [PZ]</t>
  </si>
  <si>
    <t>PASTILLAS FRENO (257) ''VINI'' [IM]</t>
  </si>
  <si>
    <t>PASTILLAS FRENO (257) DL-650/250 V-STROM (TRA) ''AP-RACING'' [PZ]</t>
  </si>
  <si>
    <t>PASTILLAS FRENO (267) ''ICHIBAN'' [PZ]</t>
  </si>
  <si>
    <t>PASTILLAS FRENO (271) FZ-16/FZN-150 (2.0)/PULSAR-135/PULSAR-200N ''PROTECH'' [PZ]</t>
  </si>
  <si>
    <t>PASTILLAS FRENO (271) FZ-16/FZN-150 (2.0)/PULSAR-135/PULSAR-200N [PZ]</t>
  </si>
  <si>
    <t>PASTILLAS FRENO (274) ''AP'' [OF]</t>
  </si>
  <si>
    <t>PASTILLAS FRENO (274) CBR-250 (DEL) [PZ]</t>
  </si>
  <si>
    <t>PASTILLAS FRENO (274) CBR-250 DEL ''VINI'' [IM]</t>
  </si>
  <si>
    <t>PASTILLAS FRENO (275) ''AP'' [PZ]</t>
  </si>
  <si>
    <t>PASTILLAS FRENO (275) PULSAR-200NS (TRA)/NK-150/250 CF MOTO ''PROTECH'' [PZ]</t>
  </si>
  <si>
    <t>PASTILLAS FRENO (275) PULSAR-200NS (TRA)/NK-150/250 CF MOTO ''VINI'' [IM]</t>
  </si>
  <si>
    <t>PASTILLAS FRENO (285) DR-160 [PZ]</t>
  </si>
  <si>
    <t>PASTILLAS FRENO (286) ''EBC'' [PZ]</t>
  </si>
  <si>
    <t>PASTILLAS FRENO (287) ''AP'' [PZ]</t>
  </si>
  <si>
    <t>PASTILLAS FRENO (291) V-STAR 250 ''ICHIBAN'' [PZ]</t>
  </si>
  <si>
    <t>PASTILLAS FRENO (294) XR-250R/XR-150L ''VINI'' [IM]</t>
  </si>
  <si>
    <t>PASTILLAS FRENO (294) ''OSAKA'' XR-250R/XR-150L/XR-190L [PZ]</t>
  </si>
  <si>
    <t>PASTILLAS FRENO (294) XR TODAS DELANTERA [PZ]</t>
  </si>
  <si>
    <t>PASTILLAS FRENO (294) XR TODAS DELANTERAS [PZ]</t>
  </si>
  <si>
    <t>PASTILLAS FRENO (300) ''AP'' [PZ]</t>
  </si>
  <si>
    <t>PASTILLAS FRENO (300) CB-500X ''VINI'' [IM]</t>
  </si>
  <si>
    <t>PASTILLAS FRENO (304) ''ICHIBAN'' XF-650 (DEL) [PZ]</t>
  </si>
  <si>
    <t>PASTILLAS FRENO (305) ''EBC'' [PZ]</t>
  </si>
  <si>
    <t>PASTILLAS FRENO (308) ''ICHIBAN'' [PZ]</t>
  </si>
  <si>
    <t>PASTILLAS FRENO (316) ''AP'' [PZ]</t>
  </si>
  <si>
    <t>PASTILLAS FRENO (325) ''H &amp; T'' [PZ]</t>
  </si>
  <si>
    <t>PASTILLAS FRENO (328) ''ICHIBAN'' YZF-600 [PZ]</t>
  </si>
  <si>
    <t>PASTILLAS FRENO (342) PULSAR-125/160/200NS/DOMINAR-250 ''VINI'' [IM]</t>
  </si>
  <si>
    <t>PASTILLAS FRENO (342) PULSAR-200N/135/FZ [PZ]</t>
  </si>
  <si>
    <t>PASTILLAS FRENO (343) ''EBC'' [PZ]</t>
  </si>
  <si>
    <t>PASTILLAS FRENO (347) TX-200 KEEWAY [PZ]</t>
  </si>
  <si>
    <t>PASTILLAS FRENO (347) TX-200/RKS-200 [PZ]</t>
  </si>
  <si>
    <t>PASTILLAS FRENO (347) TX-200/RKV-200 TRA KEEWAY ''VINI'' [IM]</t>
  </si>
  <si>
    <t>PASTILLAS FRENO (367) ''AP'' [PZ]</t>
  </si>
  <si>
    <t>PASTILLAS FRENO (369) ''AP'' [PZ]</t>
  </si>
  <si>
    <t>PASTILLAS FRENO (377) CRF-250/450 (TRA) ''AP'' [PZ]</t>
  </si>
  <si>
    <t>PASTILLAS FRENO (377) CRF-250/450 (TRA) [PZ]</t>
  </si>
  <si>
    <t>PASTILLAS FRENO (384) ''OSAKA'' YZF-R15 (TRAS) [PZ]</t>
  </si>
  <si>
    <t>PASTILLAS FRENO (384) ''VINI'' YZF-R15 (TRA) [IM]</t>
  </si>
  <si>
    <t>PASTILLAS FRENO (391) ''EVERESTT'' [PZ]</t>
  </si>
  <si>
    <t>PASTILLAS FRENO (391) ''OSAKA'' [PZ]</t>
  </si>
  <si>
    <t>PASTILLAS FRENO (396) ''AP'' [PZ]</t>
  </si>
  <si>
    <t>PASTILLAS FRENO (397) ''ICHIBAN'' NEW-INVICTA/X-BLADE 160/TEKKEN-250 (DEL) [PZ]</t>
  </si>
  <si>
    <t>PASTILLAS FRENO (397) ''OSAKA'' NEW-INVICTA/X-BLADE 160/TEKKEN-250 (DEL) [PZ]</t>
  </si>
  <si>
    <t>PASTILLAS FRENO (409) ''NHC'' [PZ]</t>
  </si>
  <si>
    <t>PASTILLAS FRENO (410) ''H&amp;IT'' [PZ]</t>
  </si>
  <si>
    <t>PASTILLAS FRENO (432) TNT-25/TNT-300 (TRA) ''VINI'' [IM]</t>
  </si>
  <si>
    <t>PASTILLAS FRENO (434) ''EBC'' [PZ]</t>
  </si>
  <si>
    <t>PASTILLAS FRENO (441) ''EBC'' [PZ]</t>
  </si>
  <si>
    <t>PASTILLAS FRENO (458) ''ICHIBAN'' YZF-R15/YBR-Z 125/KA-150 (DEL)/N-MAX-155 (TRA) [PZ] CERÁMICA</t>
  </si>
  <si>
    <t>PASTILLAS FRENO (458) ''ICHIBAN'' YZF-R15/YBR-Z 125/KA-150 (DEL)/N-MAX-155 (TRA) [PZ] SEMI-METÁLICA</t>
  </si>
  <si>
    <t>PASTILLAS FRENO (458) ''VINI'' YZF-R15/YBR-Z 125/KA-150 (DEL)/N-MAX-155 TRA [IM]</t>
  </si>
  <si>
    <t>PASTILLAS FRENO (458) YZF-R15/YBR-Z 125/KA-150 (DEL)/N-MAX-155 (TRA) [PZ]</t>
  </si>
  <si>
    <t>PASTILLAS FRENO (459) XTZ-150 ''PROTECH'' [PZ]</t>
  </si>
  <si>
    <t>PASTILLAS FRENO (462) ''AP'' [PZ]</t>
  </si>
  <si>
    <t>PASTILLAS FRENO (475) CYGNUS-125 [PZ]</t>
  </si>
  <si>
    <t>PASTILLAS FRENO (476) ''ICHIBAN'' YW-125 (DEL) [PZ]</t>
  </si>
  <si>
    <t>PASTILLAS FRENO (477) DUKE-200/DUKE-390 (DEL) ''EBC'' [PZ]</t>
  </si>
  <si>
    <t>PASTILLAS FRENO (477) DUKE-200/DUKE-390 (DEL) ''ICHIMAX'' [PZ]</t>
  </si>
  <si>
    <t>PASTILLAS FRENO (481) ''AP'' [PZ]</t>
  </si>
  <si>
    <t>PASTILLAS FRENO (481) CB-500R/CB-500X/CB-500F/CBR-250/XF-650/LIFAN KPT-200 (TRA) ''ICHIBAN''</t>
  </si>
  <si>
    <t>PASTILLAS FRENO (500) ''AP'' [OF]</t>
  </si>
  <si>
    <t>PASTILLAS FRENO (500) ''EBC'' [PZ]</t>
  </si>
  <si>
    <t>PASTILLAS FRENO (510) ''ICHIBAN'' GS-150 [PZ]</t>
  </si>
  <si>
    <t>PASTILLAS FRENO (510) ''OSAKA'' GS-150/ CAN-AM - 450/500/650/800/1000 [PZ]</t>
  </si>
  <si>
    <t>PASTILLAS FRENO (511) ''ICHIBAN'' CERAMICA [PZ]</t>
  </si>
  <si>
    <t>PASTILLAS FRENO (511) ''ICHIMAX'' GIXXER-150 (DEL) [PZ]</t>
  </si>
  <si>
    <t>PASTILLAS FRENO (515) ''VINI'' CBF-150/GIXXER/CB-190R/X-BLADE-160/TNT-125/135(TRA)/DR-160(TRA) [IM]</t>
  </si>
  <si>
    <t>PASTILLAS FRENO (515) INVICTA/GIXXER-150/CB-190R/X-BLADE-160 (TRA) [PZ]</t>
  </si>
  <si>
    <t>PASTILLAS FRENO (525) YAMAHA CYGNUS RAY-ZR (TRA)/VIVA R-115 (TRA) [PZ]</t>
  </si>
  <si>
    <t>PASTILLAS FRENO (533) ''H&amp;IT'' RKV-150/RKV-200 [PZ]</t>
  </si>
  <si>
    <t>PASTILLAS FRENO (533) RKS-150/RKV-200/ TNT-150 DEL ''VINI'' [IM]</t>
  </si>
  <si>
    <t>PASTILLAS FRENO (535) PULSAR-160NS FI (TRA) [PZ]</t>
  </si>
  <si>
    <t>PASTILLAS FRENO (543) ''PROTECH'' NMAX-150 [PZ]</t>
  </si>
  <si>
    <t>PASTILLAS FRENO SINTERIZADAS (156) ''ICHIMAX'' [PZ]</t>
  </si>
  <si>
    <t>PASTILLAS FRENO SINTERIZADAS (186) ''ICHIMAX'' [PZ]</t>
  </si>
  <si>
    <t>PASTILLAS FRENO SINTERIZADAS (211) KLR-650/DR-250 (DEL)/ZX-1000(TRA) ''ICHIMAX'' [PZ]</t>
  </si>
  <si>
    <t>PASTILLAS FRENO SINTERIZADAS (214) ''ICHIMAX''</t>
  </si>
  <si>
    <t>PASTILLAS FRENO SINTERIZADAS (231) ''ICHIMAX'' [PZ]</t>
  </si>
  <si>
    <t>PASTILLAS FRENO SINTERIZADAS (232) ''ICHIMAX'' [PZ]</t>
  </si>
  <si>
    <t>PASTILLAS FRENO SINTERIZADAS (234) XTZ-1200 (DEL) [PZ]</t>
  </si>
  <si>
    <t>PASTILLAS FRENO SINTERIZADAS (238) BENELLI TNT-150 TRA ''ICHIMAX'' [PZ]</t>
  </si>
  <si>
    <t>PASTILLAS FRENO SINTERIZADAS (238)/BENELLI TNT-150(TRA)/VERSYS-300 (TRA)/NINJA-250(D/T)/KLR-650 [PZ]</t>
  </si>
  <si>
    <t>PASTILLAS FRENO SINTERIZADAS (271) FZ-16 (DEL)/DOMINAR-250 (DEL)/DOMINAR-400 (TRA) ''ICHIMAX'' [PZ]</t>
  </si>
  <si>
    <t>PASTILLAS FRENO SINTERIZADAS (274) ''ICHIMAX'' [PZ]</t>
  </si>
  <si>
    <t>PASTILLAS FRENO SINTERIZADAS (294) ''ICHIMAX'' [PZ]</t>
  </si>
  <si>
    <t>PASTILLAS FRENO SINTETIZADAS (304) ''ICHIMAX'' [PZ]</t>
  </si>
  <si>
    <t>PASTILLAS FRENO SINTETIZADAS (305) ''ICHIMAX'' [PZ]</t>
  </si>
  <si>
    <t>PASTILLAS FRENO SINTETIZADAS (396) ''ICHIMAX'' [PZ]</t>
  </si>
  <si>
    <t>PASTILLAS FRENO SINTETIZADAS (428) CBR-250 ABS (DEL) ''ICHIMAX'' [PZ]</t>
  </si>
  <si>
    <t>PASTILLAS FRENO SINTETIZADAS (433) ''ICHIMAX'' [PZ]</t>
  </si>
  <si>
    <t>PASTILLAS FRENO SINTETIZADAS (515) ''ICHIMAX'' (TRAS) CBF-150 INVICTA/CB-190R/X-BLADE160 [PZ]</t>
  </si>
  <si>
    <t>PASTILLAS FRENO SINTETIZADAS (531) YZF-R3/MT-03 (DEL) [PZ]</t>
  </si>
  <si>
    <t>PASTILLAS FRENO SINTETIZADAS (532) YZF-R3/MT-03 (TRA) [PZ]</t>
  </si>
  <si>
    <t>PASTILLAS FRENO TVS NTORQ-125 ''JAPAN'' [PZ]</t>
  </si>
  <si>
    <t>PASTILLAS FRENO. JGO. ''ICHIBAN'' CB-190/STORM/NEW STORM (DEL) [PZ]</t>
  </si>
  <si>
    <t>PASTILLAS FRENO. JGO. ''ICHIBAN'' TVS RTR-160 APACHE (TRA)/RTR-180 APACHE (TRA)/RTR-200 APACHE (TRA)</t>
  </si>
  <si>
    <t>PASTILLAS FRENO. JGO. HAOJUE DR-160S (DEL) [PZ]</t>
  </si>
  <si>
    <t>PASTILLAS FRENO. JGO. MOTORRAD CORSA-N335 (DEL) [PZ]</t>
  </si>
  <si>
    <t>PASTILLAS FRENO. JGO. RENEGADE (1 PASADOR) [PZ]</t>
  </si>
  <si>
    <t>PASTILLAS FRENO. JGO. RENEGADE (2 PASADORES) [PZ]</t>
  </si>
  <si>
    <t>PASTILLAS FRENO. JGO. TK250 (DEL) [PZ]</t>
  </si>
  <si>
    <t>PASTILLAS FRENO. JGO. TRAS. UM DSR-200/HYPER230 [PZ]</t>
  </si>
  <si>
    <t>PATAS</t>
  </si>
  <si>
    <t>PATA PARAR CENTRAL KA-150 [OF]</t>
  </si>
  <si>
    <t>PATA PARAR LATERAL AN-125 [PZ]</t>
  </si>
  <si>
    <t>PATA PARAR LATERAL CG-125/150 [PZ]</t>
  </si>
  <si>
    <t>PATA PARAR LATERAL FZ-16 [PZ]</t>
  </si>
  <si>
    <t>PATA PARAR LATERAL UNIVERSAL (DORADO) [PZ]</t>
  </si>
  <si>
    <t>PATA PARAR LATERAL UNIVERSAL (ROJO) [PZ]</t>
  </si>
  <si>
    <t>PATA PARAR LATERAL XR-250 TORNADO [PZ]</t>
  </si>
  <si>
    <t>PATINES EMBRAGUE CENTRIFUGO SCOOTER (GY6) [PZ]</t>
  </si>
  <si>
    <t>PATINES DE FRENO</t>
  </si>
  <si>
    <t>PATINES FRENO. JGO. AG-200 (DEL) [PZ]</t>
  </si>
  <si>
    <t>PATINES FRENO. JGO. AN-125 [PZ]</t>
  </si>
  <si>
    <t>PATINES FRENO. JGO. AN-125/VS-125 ''VINI'' [IM]</t>
  </si>
  <si>
    <t>PATINES FRENO. JGO. AX-100 [PZ]</t>
  </si>
  <si>
    <t>PATINES FRENO. JGO. BAJAJ/XL-125/XL-185 (IGUAL 365 [PZ]</t>
  </si>
  <si>
    <t>PATINES FRENO. JGO. BICIMOTO 49CC (ST-50) [PZ]</t>
  </si>
  <si>
    <t>PATINES FRENO. JGO. BWS-125 [PZ]</t>
  </si>
  <si>
    <t>PATINES FRENO. JGO. CG-100/CB1-125/CB125F TWISTER/NAVI/STORM-125/TORNADO/TTX-150 [PZ]</t>
  </si>
  <si>
    <t>PATINES FRENO. JGO. CG-125 [PZ]</t>
  </si>
  <si>
    <t>PATINES FRENO. JGO. CGL-125 [PZ]</t>
  </si>
  <si>
    <t>PATINES FRENO. JGO. FZ-16/FZ-2.0/NK-150/XTZ-150 [PZ]</t>
  </si>
  <si>
    <t>PATINES FRENO. JGO. FZ-16/FZN 2.0/YBR-125/HJ125-7/KA-150/TR-150S [PZ]</t>
  </si>
  <si>
    <t>PATINES FRENO. JGO. FZ-16/FZN 2.0/YBR-125/NK-150 [PZ]</t>
  </si>
  <si>
    <t>PATINES FRENO. JGO. FZ-50 [PZ]</t>
  </si>
  <si>
    <t>PATINES FRENO. JGO. GN-125H [PZ]</t>
  </si>
  <si>
    <t>PATINES FRENO. JGO. GN-125H/TS-125/PULSAR-135/RKS-150/RKS-125 [PZ]</t>
  </si>
  <si>
    <t>PATINES FRENO. JGO. KA-150/TR-150S [PZ]</t>
  </si>
  <si>
    <t>PATINES FRENO. JGO. MOTORRAD SUPER-CG/STORM-125/TORNADO/LX-175 ''VINI'' [IM]</t>
  </si>
  <si>
    <t>PATINES FRENO. JGO. NK-150 [PZ]</t>
  </si>
  <si>
    <t>PATINES FRENO. JGO. RENEGADE-200 [PZ]</t>
  </si>
  <si>
    <t>PATINES FRENO. JGO. RS-100/YW-100 BWS [PZ]</t>
  </si>
  <si>
    <t>PATINES FRENO. JGO. SUPERLIGHT-200 [PZ]</t>
  </si>
  <si>
    <t>PATINES FRENO. JGO. TRAS. LX300-8 [PZ]</t>
  </si>
  <si>
    <t>PATINES FRENO. JGO. XL-125/XL-185 ''VINI'' [IM]</t>
  </si>
  <si>
    <t>PATINES FRENO. JGO. XL-250/RENEGADE-300 [PZ]</t>
  </si>
  <si>
    <t>PATINES FRENO. JGO. XL/XR-200 BRASIL (428) [PZ]</t>
  </si>
  <si>
    <t>PATINES FRENO. JGO. YBR-125/HJ125-7 ''VINI'' [IM]</t>
  </si>
  <si>
    <t>PATINES FRENO. JGO. YW-125 BWS [PZ]</t>
  </si>
  <si>
    <t>PEDALES</t>
  </si>
  <si>
    <t>PEDAL CAMBIOS AK-125 ''VINI'' [IM]</t>
  </si>
  <si>
    <t>PEDAL CAMBIOS CB1-125 [PZ]</t>
  </si>
  <si>
    <t>PEDAL CAMBIOS CBF-150 INVICTA [PZ]</t>
  </si>
  <si>
    <t>PEDAL CAMBIOS CBF-150 [PZ]</t>
  </si>
  <si>
    <t>PEDAL CAMBIOS CG-125 (DOBLE)/ RK-150 ''VINI'' [IM]</t>
  </si>
  <si>
    <t>PEDAL CAMBIOS CG-125 (DOBLE)/ RK-150 [PZ]</t>
  </si>
  <si>
    <t>PEDAL CAMBIOS CHOPPER C/VARILLA [PZ]</t>
  </si>
  <si>
    <t>PEDAL CAMBIOS CON MECANISMO [PZ]</t>
  </si>
  <si>
    <t>PEDAL CAMBIOS EXPREES-100 [PZ]</t>
  </si>
  <si>
    <t>PEDAL CAMBIOS FZ-16 [PZ]</t>
  </si>
  <si>
    <t>PEDAL CAMBIOS GN-125H ''VINI'' [IM]</t>
  </si>
  <si>
    <t>PEDAL CAMBIOS GN-125H [PZ]</t>
  </si>
  <si>
    <t>PEDAL CAMBIOS HJ125-7 ''VINI'' [IM]</t>
  </si>
  <si>
    <t>PEDAL CAMBIOS KA-150 [PZ]</t>
  </si>
  <si>
    <t>PEDAL CAMBIOS NK-150 [PZ]</t>
  </si>
  <si>
    <t>PEDAL CAMBIOS NXR-125 ''VINI'' [IM]</t>
  </si>
  <si>
    <t>PEDAL CAMBIOS NXR-125 [PZ]</t>
  </si>
  <si>
    <t>PEDAL CAMBIOS PULSAR-135 ''VINI'' [IM]</t>
  </si>
  <si>
    <t>PEDAL CAMBIOS PULSAR-200NS ''VINI'' [IM]</t>
  </si>
  <si>
    <t>PEDAL CAMBIOS PULSAR-220 ''VINI'' [IM]</t>
  </si>
  <si>
    <t>PEDAL CAMBIOS TR-150 [PZ]</t>
  </si>
  <si>
    <t>PEDAL CAMBIOS TVS APACHE RTR-160/RTR-180 ''VINI'' [IM]</t>
  </si>
  <si>
    <t>PEDAL CAMBIOS YBR-125 (MODELO VIEJO) ''VINI'' [IM]</t>
  </si>
  <si>
    <t>PEDAL CAMBIOS YZF-R15 [PZ]</t>
  </si>
  <si>
    <t>PEDAL FRENO CG-125 [PZ]</t>
  </si>
  <si>
    <t>PEDAL FRENO GL-150 [PZ]</t>
  </si>
  <si>
    <t>PEDAL FRENO GN-125 ''VINI'' [IM]</t>
  </si>
  <si>
    <t>PEDAL FRENO GXT-200 [PZ]</t>
  </si>
  <si>
    <t>PEDAL PARTIDA CG-100 PASSION [PZ]</t>
  </si>
  <si>
    <t>PEDAL PARTIDA CG-125 ''VINI'' [IM]</t>
  </si>
  <si>
    <t>PEDAL PARTIDA CG-125 (CHINA) [PZ]</t>
  </si>
  <si>
    <t>PEDAL PARTIDA CG-125 CHINA [PZ]</t>
  </si>
  <si>
    <t>PEDAL PARTIDA CG-125 [PZ]</t>
  </si>
  <si>
    <t>PEDAL PARTIDA CHOPPER [PZ]</t>
  </si>
  <si>
    <t>PEDAL PARTIDA CHOPPER/RENEGADE ''VINI'' [IM]</t>
  </si>
  <si>
    <t>PEDAL PARTIDA CHOPPER/RENEGADE [PZ]</t>
  </si>
  <si>
    <t>PEDAL PARTIDA DSR-200/RK-150 [PZ]</t>
  </si>
  <si>
    <t>PEDAL PARTIDA FZ-16 ''VINI'' [IM]</t>
  </si>
  <si>
    <t>PEDAL PARTIDA GL-150 [PZ]</t>
  </si>
  <si>
    <t>PEDAL PARTIDA GXT-200 [PZ]</t>
  </si>
  <si>
    <t>PEDAL PARTIDA HJ125-7 [PZ]</t>
  </si>
  <si>
    <t>PEDAL PARTIDA KEEWAY SUPERLIGHT-200 ''VINI'' [IM]</t>
  </si>
  <si>
    <t>PEDAL PARTIDA LX-150 [PZ]</t>
  </si>
  <si>
    <t>PEDAL PARTIDA PULSAR-135 [PZ]</t>
  </si>
  <si>
    <t>PEDAL PARTIDA RK-150 ''VINI'' [IM]</t>
  </si>
  <si>
    <t>PEDAL PARTIDA SCOOTER-125/150 [PZ]</t>
  </si>
  <si>
    <t>PEDAL PARTIDA ST-70/JH-70 [PZ]</t>
  </si>
  <si>
    <t>PEDAL PARTIDA TIPO CG-125 (CHINA) [PZ]</t>
  </si>
  <si>
    <t>PEDAL PARTIDA TIPO CG-125 [PZ]</t>
  </si>
  <si>
    <t>PEDAL PARTIDA TTX-150 [PZ]</t>
  </si>
  <si>
    <t>PEDAL PARTIDA XLX-250R [PZ]</t>
  </si>
  <si>
    <t>PEDAL PARTIDA YBR-125 ''VINI'' [IM]</t>
  </si>
  <si>
    <t>PEDAL PARTIDA YBR-125 [PZ]</t>
  </si>
  <si>
    <t>PEDALERA COMPLETA CG-125 [PZ]</t>
  </si>
  <si>
    <t>PEDALINES</t>
  </si>
  <si>
    <t>PEDALIN DELANTERO FZ-16/YZF-R15/CB-190 (IZQ) [PZ]</t>
  </si>
  <si>
    <t>PEDALIN DELANTERO KA-150 (DER) [PZ]</t>
  </si>
  <si>
    <t>PEDALIN DELANTERO YZF-R15 (DER) [PZ]</t>
  </si>
  <si>
    <t>PEDALIN DELANTERO YZF-R15 (IZQ) [PZ]</t>
  </si>
  <si>
    <t>PEDALIN TRASERO KA-150 (IZQ) [PZ]</t>
  </si>
  <si>
    <t>PEDALINES DELANTEROS JGO. CB-190R [PZ]</t>
  </si>
  <si>
    <t>PEDALINES DELANTEROS JGO. CBT-250 [PZ]</t>
  </si>
  <si>
    <t>PEDALINES DELANTEROS JGO. DSR-200 [PZ]</t>
  </si>
  <si>
    <t>PEDALINES DELANTEROS JGO. EN-125 [PZ]</t>
  </si>
  <si>
    <t>PEDALINES DELANTEROS JGO. FZ-16/YZF-R15/CB-190 [PZ]</t>
  </si>
  <si>
    <t>PEDALINES DELANTEROS JGO. UNIVERSAL ADAPTABLES [PZ]</t>
  </si>
  <si>
    <t>PEDALINES DELANTEROS JGO. YBR-125 [PZ]</t>
  </si>
  <si>
    <t>PEDALINES TRASEROS JGO. C/ ABRAZADERA [PZ]</t>
  </si>
  <si>
    <t>PEDALINES TRASEROS JGO. CG-125 [PZ]</t>
  </si>
  <si>
    <t>PEDALINES TRASEROS JGO. CG-125/HJ-125-7 [PZ]</t>
  </si>
  <si>
    <t>PEDALINES TRASEROS JGO. EN-125 [PZ]</t>
  </si>
  <si>
    <t>PEDALINES TRASEROS JGO. FZ-16 [PZ]</t>
  </si>
  <si>
    <t>PEDALINES TRASEROS JGO. GN-125 [PZ]</t>
  </si>
  <si>
    <t>PEDALINES TRASEROS JGO. GS-125 [PZ]</t>
  </si>
  <si>
    <t>PEDALINES TRASEROS JGO. NXR-150 BROS [PZ]</t>
  </si>
  <si>
    <t>PEDALINES TRASEROS JGO. PULSAR-135 [PZ]</t>
  </si>
  <si>
    <t>PEDALINES TRASEROS JGO. PULSAR-150/PULSAR-180 [PZ]</t>
  </si>
  <si>
    <t>PEDALINES TRASEROS JGO. WY125 [PZ]</t>
  </si>
  <si>
    <t>PEDALINES TRASEROS JGO. XTZ-125 [PZ]</t>
  </si>
  <si>
    <t>PERNOS</t>
  </si>
  <si>
    <t>PERNO CATALINA RS-100/GXT-200 C/TURCA [PZ]</t>
  </si>
  <si>
    <t>PERNO HEXAGONAL 08MM./HILO 6MM./10MM.LARGO [PZ]</t>
  </si>
  <si>
    <t>PERNO HEXAGONAL 08MM./HILO 6MM./20MM.LARGO [PZ]</t>
  </si>
  <si>
    <t>PERNO HEXAGONAL 08MM./HILO 6MM./25MM.LARGO [PZ]</t>
  </si>
  <si>
    <t>PERNO HEXAGONAL 08MM./HILO 6MM./30MM.LARGO [PZ]</t>
  </si>
  <si>
    <t>PERNO HEXAGONAL 10MM./HILO 8MM./14MM.LARGO [PZ]</t>
  </si>
  <si>
    <t>PERNO HEXAGONAL 10MM./HILO 8MM./20MM.LARGO [PZ]</t>
  </si>
  <si>
    <t>PERNO HEXAGONAL 10MM./HILO 8MM./30MM.LARGO [PZ]</t>
  </si>
  <si>
    <t>PERNO MANILLA FRENO/EMBRAGUE 10MM [PZ]</t>
  </si>
  <si>
    <t>PERNO TIRANTE FRENO [PZ]</t>
  </si>
  <si>
    <t>PERNOS CATALINA. JGO. CG-100 [PZ]</t>
  </si>
  <si>
    <t>PERNOS CATALINA. JGO. CG-125 ''VINI'' [IM]</t>
  </si>
  <si>
    <t>PERNOS CATALINA. JGO. CG-125 S/TUERCA [PZ]</t>
  </si>
  <si>
    <t>PERNOS CATALINA. JGO. CGL-125/YBR-125/EXPRESS-100 [PZ]</t>
  </si>
  <si>
    <t>PERNOS CATALINA. JGO. GN-125/GS-150/YBR-125 ''VINI'' [IM]</t>
  </si>
  <si>
    <t>PERNOS CATALINA. JGO. RS-100/GN-125/CGL-125 [PZ]</t>
  </si>
  <si>
    <t>PERNOS CATALINA. JGO.YBR-125/RKS/RKV [PZ]</t>
  </si>
  <si>
    <t>PERRO SEGURIDAD (1.60) [PZ]</t>
  </si>
  <si>
    <t>PERRO SEGURIDAD (2.50) [PZ]</t>
  </si>
  <si>
    <t>PIÑONES</t>
  </si>
  <si>
    <t>PIÑON ATAQUE (13) XR-250 (96/04)/XR-250 TORNADO</t>
  </si>
  <si>
    <t>PIÑON ATAQUE (13D) AKT AK-200 [PZ]</t>
  </si>
  <si>
    <t>PIÑON ATAQUE (13D) BAJAJ (PASO 520) [PZ]</t>
  </si>
  <si>
    <t>PIÑON ATAQUE (13D) CRF-250R [PZ]</t>
  </si>
  <si>
    <t>PIÑON ATAQUE (13D) XR-250R (96/04) [PZ]</t>
  </si>
  <si>
    <t>PIÑON ATAQUE (13D) XRE 300 [PZ]</t>
  </si>
  <si>
    <t>PIÑON ATAQUE (13D) XTZ-250/YBR-250 [PZ]</t>
  </si>
  <si>
    <t>PIÑON ATAQUE (13D) YS-250/XT-600E [PZ]</t>
  </si>
  <si>
    <t>PIÑON ATAQUE (14D) 49 CC. [PZ]</t>
  </si>
  <si>
    <t>PIÑON ATAQUE (14D) BICIMOTO 49CC (ST-50) [PZ]</t>
  </si>
  <si>
    <t>PIÑON ATAQUE (14D) CB1-125 TWISTER/EXPRESS-100 [PZ]</t>
  </si>
  <si>
    <t>PIÑON ATAQUE (14D) CBF-150 INVICTA [PZ]</t>
  </si>
  <si>
    <t>PIÑON ATAQUE (14D) CBR-250 [PZ]</t>
  </si>
  <si>
    <t>PIÑON ATAQUE (14D) CG-125 [PZ]</t>
  </si>
  <si>
    <t>PIÑON ATAQUE (14D) GIXXER-150/XTZ-125/YBR-125 [PZ]</t>
  </si>
  <si>
    <t>PIÑON ATAQUE (14D) GN-125H [PZ]</t>
  </si>
  <si>
    <t>PIÑON ATAQUE (14D) GS-150R [PZ]</t>
  </si>
  <si>
    <t>PIÑON ATAQUE (14D) GSX-400F [PZ]</t>
  </si>
  <si>
    <t>PIÑON ATAQUE (14D) MOTO 49CC ''PASO 420'' [PZ]</t>
  </si>
  <si>
    <t>PIÑON ATAQUE (14D) PULSAR 200NS [PZ]</t>
  </si>
  <si>
    <t>PIÑON ATAQUE (14D) PULSAR-135 [PZ]</t>
  </si>
  <si>
    <t>PIÑON ATAQUE (14D) XL-250R [PZ]</t>
  </si>
  <si>
    <t>PIÑON ATAQUE (14D) XR-250 [PZ]</t>
  </si>
  <si>
    <t>PIÑON ATAQUE (14D) XR-600R [PZ]</t>
  </si>
  <si>
    <t>PIÑON ATAQUE (14D) XR-650R/TRANSALP-650 [PZ]</t>
  </si>
  <si>
    <t>PIÑON ATAQUE (14D) YBR-125/FZ-16 [PZ]</t>
  </si>
  <si>
    <t>PIÑON ATAQUE (15D) CBF-150 INVICTA/NXR-150 BROS [PZ]</t>
  </si>
  <si>
    <t>PIÑON ATAQUE (15D) CBR-400RR/VFR-400 (NC30) [PZ]</t>
  </si>
  <si>
    <t>PIÑON ATAQUE (15D) CBR-500/CBR-500R/CB-500/CB-500F/CB-500X [PZ]</t>
  </si>
  <si>
    <t>PIÑON ATAQUE (15D) CG-125 [PZ]</t>
  </si>
  <si>
    <t>PIÑON ATAQUE (15D) DR-200/SX-200 [PZ]</t>
  </si>
  <si>
    <t>PIÑON ATAQUE (15D) DUKE-200/PULSAR-200NS [PZ]</t>
  </si>
  <si>
    <t>PIÑON ATAQUE (15D) GIXXER-150/YBR-125Z/YZF-R15 V3 [PZ]</t>
  </si>
  <si>
    <t>PIÑON ATAQUE (15D) GN-125/GS-125/EN-125 [PZ]</t>
  </si>
  <si>
    <t>PIÑON ATAQUE (15D) GN-125H [PZ]</t>
  </si>
  <si>
    <t>PIÑON ATAQUE (15D) GPZ-400R [PZ]</t>
  </si>
  <si>
    <t>PIÑON ATAQUE (15D) KA-150/KD-150J [PZ]</t>
  </si>
  <si>
    <t>PIÑON ATAQUE (15D) PULSAR-135 [PZ]</t>
  </si>
  <si>
    <t>PIÑON ATAQUE (15D) VFR-400R [PZ]</t>
  </si>
  <si>
    <t>PIÑON ATAQUE (15D) XL-600/NX-650 [PZ]</t>
  </si>
  <si>
    <t>PIÑON ATAQUE (15D) XT-660/VERSYS-300 [PZ]</t>
  </si>
  <si>
    <t>PIÑON ATAQUE (15D) YS-250 FAZER/YBR-250 [OF]</t>
  </si>
  <si>
    <t>PIÑON ATAQUE (15D) YS-250 FAZER/YBR-250 [PZ]</t>
  </si>
  <si>
    <t>PIÑON ATAQUE (16) MT-07 [PZ]</t>
  </si>
  <si>
    <t>PIÑON ATAQUE (16D) GN-125 ''VINI'' [IM]</t>
  </si>
  <si>
    <t>PIÑON ATAQUE (16D) GS-550 [PZ]</t>
  </si>
  <si>
    <t>PIÑON ATAQUE (16D) TS-50W [PZ]</t>
  </si>
  <si>
    <t>PIÑON ATAQUE (16D) XR-150L/XR-190 [PZ]</t>
  </si>
  <si>
    <t>PIÑON ATAQUE (16D) XTZ-750 S/TENERE/XT-660 [PZ]</t>
  </si>
  <si>
    <t>PIÑON ATAQUE (16D) XV-250 VIRAGO [PZ]</t>
  </si>
  <si>
    <t>PIÑON ATAQUE (16D) YZF-R6 [PZ]</t>
  </si>
  <si>
    <t>PIÑON ATAQUE (17D) CG-125/NK-150 [PZ]</t>
  </si>
  <si>
    <t>PIÑON ATAQUE (17D) XR-190/XR-150/XR-125/NXR-150 BR [PZ]</t>
  </si>
  <si>
    <t>PIÑON CUARTA EJE PRIMARIO (23D) CG-125/HJ125-7 [PZ]</t>
  </si>
  <si>
    <t>PIÑON CUARTA EJE PRIMARIO GXT-200 (23D) [PZ]</t>
  </si>
  <si>
    <t>PIÑON CUARTA EJE SECUNDARIO (26D) CG-125/HJ125-7 [PZ]</t>
  </si>
  <si>
    <t>PIÑON DIST. EJE LEVAS GXT-200 [PZ]</t>
  </si>
  <si>
    <t>PIÑON DIST. EJE LEVAS YBR125/XTZ-125 36D [PZ]</t>
  </si>
  <si>
    <t>PIÑON EMBRAGUE PARTIDA CG-125 ''VINI'' [IM]</t>
  </si>
  <si>
    <t>PIÑON EMBRAGUE RE-250 [PZ]</t>
  </si>
  <si>
    <t>PIÑON LOCO JL125-7/CG-125 (29D) [PZ]</t>
  </si>
  <si>
    <t>PIÑON MOTOR PARTIDA CBP-250/RE-250 (B) [PZ]</t>
  </si>
  <si>
    <t>PIÑON MOTOR PARTIDA CBP-250/RE-250 (CHICO) [PZ]</t>
  </si>
  <si>
    <t>PIÑON PARTIDA GRANDE XTREET-200 [PZ]</t>
  </si>
  <si>
    <t>PIÑON PRIMERA EJE SECUNDARIO CG-125/HJ125-7 [PZ]</t>
  </si>
  <si>
    <t>PIÑON QUINTA EJE PRIMARIO CG-125/HJ125-7 [PZ]</t>
  </si>
  <si>
    <t>PIÑON QUINTA EJE SECUNDARIO 21D ''RENEGADE/RIDER-20 [PZ]</t>
  </si>
  <si>
    <t>PIÑON QUINTA EJE SECUNDARIO CG-125/HJ125-7 [PZ]</t>
  </si>
  <si>
    <t>PIÑON SEGUNDA EJE PRIMARIO CG-125/HJ125-7 [PZ]</t>
  </si>
  <si>
    <t>PIÑON SEGUNDA EJE SECUNDARIO CG-125/HJ125-7 [PZ]</t>
  </si>
  <si>
    <t>PIÑONES CTA. KM. AN-125 [PZ]</t>
  </si>
  <si>
    <t>PIÑONES CTA. KM. DSR-200 [PZ]</t>
  </si>
  <si>
    <t>PIÑONES CTA. KM. GN-125H/HJ125-7 [PZ]</t>
  </si>
  <si>
    <t>PIÑONES CTA. KM. GXT-200 [PZ]</t>
  </si>
  <si>
    <t>PIÑONES CTA. KM. JL200GY-2 [PZ]</t>
  </si>
  <si>
    <t>PIÑONES CTA. KM. MOTO 49CC [PZ]</t>
  </si>
  <si>
    <t>PIÑONES CTA. KM. NXR-150 BROS [PZ]</t>
  </si>
  <si>
    <t>PIÑONES CTA. KM. SCOOTER [PZ]</t>
  </si>
  <si>
    <t>PIÑONES CTA. KM. TIPO GN-125H [PZ]</t>
  </si>
  <si>
    <t>PIÑONES CTA. KM. WY-125 [PZ]</t>
  </si>
  <si>
    <t>PIÑONES CTA. KM. YBR-125 [PZ]</t>
  </si>
  <si>
    <t>PIÑONES DISTRIBUCION . JGO. CG-125/JL125 [PZ]</t>
  </si>
  <si>
    <t>PIÑONES DISTRIBUCION. JGO. CG-125/HJ125-7 [PZ]</t>
  </si>
  <si>
    <t>PIÑONES DISTRIBUCION. JGO. CG-125/HJ125-7/RENEGADE-200 ''VINI'' [IM]</t>
  </si>
  <si>
    <t>PIÑONES DISTRIBUCION. JGO. CG-125T/C [PZ]</t>
  </si>
  <si>
    <t>PIÑONES PARTIDA RE-250 [PZ]</t>
  </si>
  <si>
    <t>PIÑONES PARTIDA. JGO. JL-125/JL125-7 [PZ]</t>
  </si>
  <si>
    <t>PINZAS PARA CABLES. JGO. CHICO [PZ]</t>
  </si>
  <si>
    <t>PINZAS PARA CABLES. JGO. GRANDE [PZ]</t>
  </si>
  <si>
    <t>PISTONES</t>
  </si>
  <si>
    <t>PISTON COMPLETO AN-125 (100) [PZ]</t>
  </si>
  <si>
    <t>PISTON COMPLETO AVENGER-220 [PZ]</t>
  </si>
  <si>
    <t>PISTON COMPLETO BY110-13 (050) [PZ]</t>
  </si>
  <si>
    <t>PISTON COMPLETO BY110-13 (100) [PZ]</t>
  </si>
  <si>
    <t>PISTON COMPLETO BY110-13/NEW-STORM (STD) [PZ]</t>
  </si>
  <si>
    <t>PISTON COMPLETO CB-250 (050) [PZ]</t>
  </si>
  <si>
    <t>PISTON COMPLETO CB-250 (100) [PZ]</t>
  </si>
  <si>
    <t>PISTON COMPLETO CBF-125/NEW-STORM (050) [PZ]</t>
  </si>
  <si>
    <t>PISTON COMPLETO CBF-125/NEW-STORM (100) [PZ]</t>
  </si>
  <si>
    <t>PISTON COMPLETO CBF-125/NEW-STORM (STD) [PZ]</t>
  </si>
  <si>
    <t>PISTON COMPLETO CD-100 (050) [PZ]</t>
  </si>
  <si>
    <t>PISTON COMPLETO CG-100 (050) [PZ]</t>
  </si>
  <si>
    <t>PISTON COMPLETO CG-100 (100) [PZ]</t>
  </si>
  <si>
    <t>PISTON COMPLETO CG-150/BY150 HJ150-(100MM) [PZ]</t>
  </si>
  <si>
    <t>PISTON COMPLETO CG-200 (050) [PZ]</t>
  </si>
  <si>
    <t>PISTON COMPLETO CG-200 (100) [PZ]</t>
  </si>
  <si>
    <t>PISTON COMPLETO DT-175E (050)/BLASTER [PZ]</t>
  </si>
  <si>
    <t>PISTON COMPLETO DT-175E (100)/BLASTER [PZ]</t>
  </si>
  <si>
    <t>PISTON COMPLETO FZ 2.0/XTZ-150 (STD) [PZ]</t>
  </si>
  <si>
    <t>PISTON COMPLETO FZ-16 (050) [PZ]</t>
  </si>
  <si>
    <t>PISTON COMPLETO FZ-16 (100) [PZ]</t>
  </si>
  <si>
    <t>PISTON COMPLETO GXT-200/DR-200 (050) [PZ]</t>
  </si>
  <si>
    <t>PISTON COMPLETO GXT-200/DR-200 (100) [PZ]</t>
  </si>
  <si>
    <t>PISTON COMPLETO GXT-200/DR-200/RENEGADE-200 (100) [PZ]</t>
  </si>
  <si>
    <t>PISTON COMPLETO NXR-150 (050) [PZ]</t>
  </si>
  <si>
    <t>PISTON COMPLETO NXR-150 (100) [PZ]</t>
  </si>
  <si>
    <t>PISTON COMPLETO PULSAR-180 (050) [PZ]</t>
  </si>
  <si>
    <t>PISTON COMPLETO PULSAR-180 (100) [PZ]</t>
  </si>
  <si>
    <t>PISTON COMPLETO PULSAR-180 (STD) [PZ]</t>
  </si>
  <si>
    <t>PISTON COMPLETO PULSAR-200 (050) 67.5MM. [PZ]</t>
  </si>
  <si>
    <t>PISTON COMPLETO PULSAR-200 (100) 68MM. [PZ]</t>
  </si>
  <si>
    <t>PISTON COMPLETO PULSAR-220 (050) 67.5MM. [PZ]</t>
  </si>
  <si>
    <t>PISTON COMPLETO RENEGADE (050) [PZ]</t>
  </si>
  <si>
    <t>PISTON COMPLETO RENEGADE (100) [PZ]</t>
  </si>
  <si>
    <t>PISTON COMPLETO SCOOTER 150/GS-150 (050) [PZ]</t>
  </si>
  <si>
    <t>PISTON COMPLETO SCOOTER 150/GS-150 (100) [PZ]</t>
  </si>
  <si>
    <t>PISTON COMPLETO SCOOTER-125 (1.00) [OF]</t>
  </si>
  <si>
    <t>PISTON COMPLETO SCOOTER-125 (STD) [PZ]</t>
  </si>
  <si>
    <t>PISTON COMPLETO STORM-125 (050) [PZ]</t>
  </si>
  <si>
    <t>PISTON COMPLETO XR-125 (100) [PZ]</t>
  </si>
  <si>
    <t>PISTON COMPLETO XR-125/NEWSTORM (0.50) [PZ]</t>
  </si>
  <si>
    <t>PISTON COMPLETO XR-125L (2010) (100) [PZ]</t>
  </si>
  <si>
    <t>PISTON COMPLETO XR-200 BRASIL (100) [PZ]</t>
  </si>
  <si>
    <t>PISTON COMPLETO XR-250R (0.50) [PZ]</t>
  </si>
  <si>
    <t>PISTON COMPLETO XR-250R (100) [PZ]</t>
  </si>
  <si>
    <t>PISTON COMPLETO XR-250R (STD) 73MM [PZ]</t>
  </si>
  <si>
    <t>PISTON COMPLETO YBR-125/XTZ-125 (050) [PZ]</t>
  </si>
  <si>
    <t>PISTON COMPLETO YW-125 (100) BWS [PZ]</t>
  </si>
  <si>
    <t>PISTON COMPLETO ZS-250 (100) [PZ]</t>
  </si>
  <si>
    <t>PLACA TIRA CADENA FZ-16 [OF]</t>
  </si>
  <si>
    <t>PLATO PORTA BOBINAS ATV/CG-100/PIT-BIKE ''VINI'' [IM]</t>
  </si>
  <si>
    <t>PLATO PORTA BOBINAS AX-100 [PZ]</t>
  </si>
  <si>
    <t>PLATO PORTA BOBINAS CG-125 [PZ]</t>
  </si>
  <si>
    <t>PORTA AMPOLETTA ''TIPO COLA PEZ'' [PZ]</t>
  </si>
  <si>
    <t>PORTA AMPOLLETA ''TIPO GN-125'' ''VINI'' [IM]</t>
  </si>
  <si>
    <t>PORTA AMPOLLETA COLA PESCADO [PZ]</t>
  </si>
  <si>
    <t>PORTA AMPOLLETA DELANTERA CG [PZ]</t>
  </si>
  <si>
    <t>PORTA AMPOLLETA DELANTERA DAX [PZ]</t>
  </si>
  <si>
    <t>PORTA AMPOLLETA FOCO DELANTERO GN-125 (4464) [PZ]</t>
  </si>
  <si>
    <t>PORTA AMPOLLETA H4 (CERAMICA) [PZ]</t>
  </si>
  <si>
    <t>PORTA AMPOLLETA SEÑALIZADOR [PZ]</t>
  </si>
  <si>
    <t>PORTA CATALINA CB-125F TWISTER/LIFAN-KPS-200 [PZ]</t>
  </si>
  <si>
    <t>PORTACATALINAS</t>
  </si>
  <si>
    <t>PORTA CATALINA CG-125 C/CATALINA [PZ]</t>
  </si>
  <si>
    <t>PORTA CATALINA DSR-200 [PZ]</t>
  </si>
  <si>
    <t>PORTA CATALINA EXPRESS-100 [PZ]</t>
  </si>
  <si>
    <t>PORTA CATALINA FZ-16 [PZ]</t>
  </si>
  <si>
    <t>PORTA CATALINA LONCIN LX-150 [PZ]</t>
  </si>
  <si>
    <t>PORTA CATALINA PULSAR-200NS/RS-200 ''ICHIBAN'' [PZ]</t>
  </si>
  <si>
    <t>PORTA CELULAR UNIVERSAL C/ESTUCHE (150X90) [PZ]</t>
  </si>
  <si>
    <t>PORTA CELULAR UNIVERSAL C/ESTUCHE (70X140 MM.) [PZ]</t>
  </si>
  <si>
    <t>PORTA CELULAR UNIVERSAL CON CARGADOR USB [PZ]</t>
  </si>
  <si>
    <t>PORTA CELULAR UNIVERSAL CON ESTUCHE [PZ]</t>
  </si>
  <si>
    <t>PORTA CELULAR UNIVERSAL METALICO CON CARGADOR USB [PZ]</t>
  </si>
  <si>
    <t>PORTA CELULAR UNIVERSAL METALICO [PZ]</t>
  </si>
  <si>
    <t>PORTA CELULAR UNIVERSAL METALICO [PZ] NEGRO</t>
  </si>
  <si>
    <t>PORTA DISCOS EMBRAGUE CBF-150 INVICTA (2 PZS) VINI [IM]</t>
  </si>
  <si>
    <t>PORTA DISCOS EMBRAGUE GIXXER-150 (2 PZAS.) ''VINI'' [IM]</t>
  </si>
  <si>
    <t>PORTA DISCOS EMBRAGUE PULSAR-200NS (2 PZAS.) VINI [IM]</t>
  </si>
  <si>
    <t>PORTA DISCOS EMBRAGUE PULSAR-200NS (2 PZAS.) [PZ]</t>
  </si>
  <si>
    <t>PORTA DISCOS EMBRAGUE YZF-R15 (2 PZAS.) [PZ]</t>
  </si>
  <si>
    <t>PORTA ESPEJO UNIDAD 10MM [PZ]</t>
  </si>
  <si>
    <t>PORTA ESPEJO UNIVERSAL 08MM [PZ]</t>
  </si>
  <si>
    <t>PORTA FILTRO AIRE SCOOTER-125/150 [PZ]</t>
  </si>
  <si>
    <t>PORTA FUSIBLE UNIVERSAL [PZ]</t>
  </si>
  <si>
    <t>PORTA PATENTE ESTRELLA [PZ] ROJO</t>
  </si>
  <si>
    <t>PORTA PATENTE MONSTER [PZ] AZUL</t>
  </si>
  <si>
    <t>PORTA PATENTE MONSTER [PZ] ROJO</t>
  </si>
  <si>
    <t>PORTA PATENTE UNIVERSAL [PZ]</t>
  </si>
  <si>
    <t>PORTA PATIN FRENO TRAS. GN-125H [PZ]</t>
  </si>
  <si>
    <t>PORTA PATIN FRENO TRAS. XL-200 (BRASIL) [PZ]</t>
  </si>
  <si>
    <t>PORTA PATIN FRENO TRAS. YBR-125 [PZ]</t>
  </si>
  <si>
    <t>PORTA PATIN FRENO TRASERO SPEED-125 CLASIC [PZ]</t>
  </si>
  <si>
    <t>PRISIONEROS ESCAPE 6MM. [PZ]</t>
  </si>
  <si>
    <t>PROMOCIONES</t>
  </si>
  <si>
    <t>PROMOCIONES Y/O DESCUENTOS</t>
  </si>
  <si>
    <t>PROTECTOR CALZADO GOMA UNIVERSAL [PZ]</t>
  </si>
  <si>
    <t>PROTECTOR CARA (MM3) [PZ]</t>
  </si>
  <si>
    <t>PROTECTOR CARA (MM4) [PZ]</t>
  </si>
  <si>
    <t>PROTECTOR CARA C/FILTRO [PZ]</t>
  </si>
  <si>
    <t>PROTECTOR CARA C/POLAR COMPLETO [PZ]</t>
  </si>
  <si>
    <t>PROTECTOR CARA MM2 [PZ]</t>
  </si>
  <si>
    <t>PROTECTOR CARA POLAR C/NEOPREN (NEGRO) [PZ]</t>
  </si>
  <si>
    <t>PROTECTOR CARA POLAR NINJA [PZ]</t>
  </si>
  <si>
    <t>PROTECTOR ESCAPE FZ-16 (LATERAL/GRIS) [PZ]</t>
  </si>
  <si>
    <t>PROTECTOR ESCAPE HONDA-NAVI [PZ]</t>
  </si>
  <si>
    <t>PROTECTOR ESCAPE KA-150 (LATERAL/GRIS) [PZ]</t>
  </si>
  <si>
    <t>PROTECTOR LLAVE BENCINA KA-150 [PZ]</t>
  </si>
  <si>
    <t>PROTECTOR MANUBRIO ESPONJA UNIVERSAL [PZ]</t>
  </si>
  <si>
    <t>PROTECTOR PEDAL CAMBIOS (SILICONA) AZUL [PZ]</t>
  </si>
  <si>
    <t>PROTECTOR TUBO ESCAPE (COLORES) [PZ]</t>
  </si>
  <si>
    <t>PROTECTORES MANILLAS. JGO. UNIVERSAL ''MOXI'' [PZ]</t>
  </si>
  <si>
    <t>PROTECTORES MANILLAS. JGO. UNIVERSAL ALUMINIO [PZ]</t>
  </si>
  <si>
    <t>PROTECTORES MANILLAS. JGO. UNIVERSAL ALUMINIO [PZ] NEGRO</t>
  </si>
  <si>
    <t>PROTECTORES MANILLAS. JGO. UNIVERSAL ALUMINIO [PZ] ROJO</t>
  </si>
  <si>
    <t>PROTECTORES MANOS PLASTICOS (AZUL) [PZ]</t>
  </si>
  <si>
    <t>PROTECTORES MANOS. JGO. ''ACERBIS'' [PZ] AZUL</t>
  </si>
  <si>
    <t>PROTECTORES MANOS. JGO. ''ACERBIS'' [PZ] NEGRO</t>
  </si>
  <si>
    <t>PROTECTORES MANOS. JGO. ''ACERBIS'' [PZ] ROJO</t>
  </si>
  <si>
    <t>PROTECTORES MANOS. JGO. BLANCO [PZ]</t>
  </si>
  <si>
    <t>PROTECTORES MANOS. JGO. C/LUZ [PZ] AZUL</t>
  </si>
  <si>
    <t>PROTECTORES MANOS. JGO. C/LUZ [PZ] ROJO</t>
  </si>
  <si>
    <t>PROTECTORES MANOS. JGO. UNIVERSAL (PLASTICO CAFE) [PZ]</t>
  </si>
  <si>
    <t>PROTECTORES MANOS. JGO. UNIVERSAL (PLASTICO NARAN) [PZ]</t>
  </si>
  <si>
    <t>PROTECTORES MANOS. JGO. UNIVERSAL GRANDE [PZ] NEGRO</t>
  </si>
  <si>
    <t>PROTECTORES MANOS. JGO. UNIVERSAL GRANDE [PZ] ROJO</t>
  </si>
  <si>
    <t>PROTECTORES MANOS. JGO. UNIVERSAL PEQUEÑO [PZ] BLANCO</t>
  </si>
  <si>
    <t>PROTECTORES MANOS. JGO. UNIVERSAL PEQUEÑO [PZ] NEGRO</t>
  </si>
  <si>
    <t>PROTECTORES MANOS. JGO. [PZ]</t>
  </si>
  <si>
    <t>PROTECTORES MANUBRIO. JGO. PLAST/METAL (AZUL) [PZ]</t>
  </si>
  <si>
    <t>PROTECTORES MANUBRIO. JGO. PLAST/METAL (NARANJA) [PZ]</t>
  </si>
  <si>
    <t>PROTECTORES MANUBRIO. JGO. PLAST/METAL (NEGRO) [PZ]</t>
  </si>
  <si>
    <t>PROTECTORES MANUBRIO. JGO. PLAST/METAL (VERDE) [PZ]</t>
  </si>
  <si>
    <t>PROTECTORES MANUBRIO. JGO. PLAST/METAL AZUL [PZ]</t>
  </si>
  <si>
    <t>PRUEBA ASV</t>
  </si>
  <si>
    <t>PRUEBA INVENTARIO 1 [OF]</t>
  </si>
  <si>
    <t>PRUEBA INVENTARIO 2 [OF]</t>
  </si>
  <si>
    <t>PRUEBA INVENTARIO 3 [OF]</t>
  </si>
  <si>
    <t>PRUEBA PROVEEDOR 1 [OF]</t>
  </si>
  <si>
    <t>PULPO MALLA GRANDE [PZ]</t>
  </si>
  <si>
    <t>PULPO MALLA GRANDE [PZ] NEGRO</t>
  </si>
  <si>
    <t>PULPO SIMPLE (1.5 MTS.) [PZ]</t>
  </si>
  <si>
    <t>PUÑOS ATV. JGO. UNIVERSAL (ROJO) [PZ]</t>
  </si>
  <si>
    <t>PUÑOS CALLE. JGO. UNIVERSAL ''BARRACUDA'' [PZ] AZUL</t>
  </si>
  <si>
    <t>PUÑOS CALLE. JGO. UNIVERSAL ''BARRACUDA'' [PZ] DORADO</t>
  </si>
  <si>
    <t>PUÑOS CALLE. JGO. UNIVERSAL ''BARRACUDA'' [PZ] NEGRO</t>
  </si>
  <si>
    <t>PUÑOS CALLE. JGO. UNIVERSAL ''BARRACUDA'' [PZ] PLATEADO</t>
  </si>
  <si>
    <t>PUÑOS CALLE. JGO. UNIVERSAL ''BARRACUDA'' [PZ] ROJO</t>
  </si>
  <si>
    <t>PUÑOS CALLE. JGO. UNIVERSAL ''DBS RACING'' [PZ] AMARILLO</t>
  </si>
  <si>
    <t>PUÑOS CALLE. JGO. UNIVERSAL ''DBS RACING'' [PZ] AZUL</t>
  </si>
  <si>
    <t>PUÑOS CALLE. JGO. UNIVERSAL ''DBS RACING'' [PZ] NARANJO</t>
  </si>
  <si>
    <t>PUÑOS CALLE. JGO. UNIVERSAL ''DBS RACING'' [PZ] ROJO</t>
  </si>
  <si>
    <t>PUÑOS CALLE. JGO. UNIVERSAL ''JRP'' [PZ] AZUL</t>
  </si>
  <si>
    <t>PUÑOS CALLE. JGO. UNIVERSAL ''JRP'' [PZ] DORADO</t>
  </si>
  <si>
    <t>PUÑOS CALLE. JGO. UNIVERSAL ''JRP'' [PZ] NEGRO</t>
  </si>
  <si>
    <t>PUÑOS CALLE. JGO. UNIVERSAL ''JRP'' [PZ] PLATEADO</t>
  </si>
  <si>
    <t>PUÑOS CALLE. JGO. UNIVERSAL ''JRP'' [PZ] ROJO</t>
  </si>
  <si>
    <t>PUÑOS CALLE. JGO. UNIVERSAL [PZ]</t>
  </si>
  <si>
    <t>PUÑOS CHOPPER. JGO. UNIVERSAL AGUILA ''VINI'' [IM]</t>
  </si>
  <si>
    <t>PUÑOS CHOPPER. JGO. UNIVERSAL NEGRO/ROJO ''VINI'' [IM]</t>
  </si>
  <si>
    <t>PUÑOS GOMA ENDURO. JGO. ''VINI'' (NEGRO) [IM]</t>
  </si>
  <si>
    <t>PUÑOS GOMA. JGO. AGUILA UNIVERSAL [PZ]</t>
  </si>
  <si>
    <t>PUÑOS GOMA. JGO. CALLE C/TUBO ACEL. [PZ]</t>
  </si>
  <si>
    <t>PUÑOS GOMA. JGO. ENDURO C/TUBO ACEL. [PZ]</t>
  </si>
  <si>
    <t>PUÑOS GOMA. JGO. ENDURO C/TUBO ACEL. [PZ] AMARILLO</t>
  </si>
  <si>
    <t>PUÑOS GOMA. JGO. ENDURO C/TUBO ACEL. [PZ] ROJO</t>
  </si>
  <si>
    <t>PUÑOS GOMA. JGO. TIPO GN-125 (NEGRO) ''VINI'' [IM]</t>
  </si>
  <si>
    <t>PUÑOS GOMA/ALUMINIO ''RIZOMA'' [PZ] AZUL</t>
  </si>
  <si>
    <t>PUÑOS GOMA/ALUMINIO ''RIZOMA'' [PZ] DORADO</t>
  </si>
  <si>
    <t>PUÑOS GOMA/ALUMINIO ''RIZOMA'' [PZ] NEGRO</t>
  </si>
  <si>
    <t>PUÑOS GOMA/ALUMINIO ''RIZOMA'' [PZ] PLATEADO</t>
  </si>
  <si>
    <t>PUÑOS GOMA/ALUMINIO ''RIZOMA'' [PZ] ROJO</t>
  </si>
  <si>
    <t>PUÑOS GOMA/METAL ''RIZOMA'' NEGRO [PZ]</t>
  </si>
  <si>
    <t>PUNTA MANUBRIO KA-150 [PZ]</t>
  </si>
  <si>
    <t>PUNTAS MANUBRIO C/LUZ. JGO. UNIVERSAL [PZ]</t>
  </si>
  <si>
    <t>PUNTAS MANUBRIO JGO. ''CON SEÑALIZADOR'' [PZ]</t>
  </si>
  <si>
    <t>PUNTAS MANUBRIO JGO. TORNASOL [PZ] TORNASOL</t>
  </si>
  <si>
    <t>PUNTAS MANUBRIO JGO. UNIVERSAL (AZUL) [PZ]</t>
  </si>
  <si>
    <t>PUNTAS MANUBRIO JGO. UNIVERSAL [PZ]</t>
  </si>
  <si>
    <t>PUNTAS MANUBRIO JGO. UNIVERSAL [PZ] AZUL</t>
  </si>
  <si>
    <t>PUNTAS MANUBRIO JGO. UNIVERSAL [PZ] DORADO</t>
  </si>
  <si>
    <t>PUNTAS MANUBRIO JGO. UNIVERSAL [PZ] NEGRO</t>
  </si>
  <si>
    <t>PUNTAS MANUBRIO JGO. UNIVERSAL [PZ] ROJO</t>
  </si>
  <si>
    <t>RAYO DELANTERO XR-150L ''B'' (10X206.5) [PZ]</t>
  </si>
  <si>
    <t>RAYO DELANTERO XR-250 TORNADO (10X236.5) [OF]</t>
  </si>
  <si>
    <t>RAYO TRASERO UNIVERSAL 13CMS. [PZ]</t>
  </si>
  <si>
    <t>RAYOS DELANTEROS. JGO. XLR-125 [PZ]</t>
  </si>
  <si>
    <t>RAYOS DELANTEROS. JGO. XR-200 [PZ]</t>
  </si>
  <si>
    <t>RAYOS DELANTEROS. JGO. XR-250 TORNADO [PZ]</t>
  </si>
  <si>
    <t>RAYOS DELANTEROS. JGO. XRE-300 [PZ]</t>
  </si>
  <si>
    <t>RAYOS TRASEROS. JGO. GXT-200/XTZ-125 [OF]</t>
  </si>
  <si>
    <t>RAYOS TRASEROS. JGO. XR-200 [PZ]</t>
  </si>
  <si>
    <t>RAYOS TRASEROS. JGO. YBR-125 [PZ]</t>
  </si>
  <si>
    <t>RAYOS. JGO. 16.5 CMS. [PZ]</t>
  </si>
  <si>
    <t>RECORDATORIO CANDADO DISCO (COLORES) [PZ]</t>
  </si>
  <si>
    <t>RECTIFICADORES</t>
  </si>
  <si>
    <t>RECT/REGULADOR 2 CABLES AX-100 [PZ]</t>
  </si>
  <si>
    <t>RECT/REGULADOR 4 CABLES SCOOTER [PZ]</t>
  </si>
  <si>
    <t>RECT/REGULADOR 4 CABLES [PZ]</t>
  </si>
  <si>
    <t>RECT/REGULADOR 5 CABLES (MONOFASICO) [PZ]</t>
  </si>
  <si>
    <t>RECT/REGULADOR 5 CABLES CG-125 [PZ]</t>
  </si>
  <si>
    <t>RECT/REGULADOR 5 CABLES GN-125/GXT-200 (TRIFASICO) [PZ]</t>
  </si>
  <si>
    <t>RECT/REGULADOR 5 CABLES SCOOTER-125/150 [PZ]</t>
  </si>
  <si>
    <t>RECT/REGULADOR 5 CABLES [PZ]</t>
  </si>
  <si>
    <t>RECT/REGULADOR 6 CABLES (TRIFASICO) [PZ]</t>
  </si>
  <si>
    <t>RECT/REGULADOR 6 CABLES CB-250T (TRIFASICO) [PZ]</t>
  </si>
  <si>
    <t>RECT/REGULADOR 7 CABLES (TRIFASICO) [PZ]</t>
  </si>
  <si>
    <t>RECT/REGULADOR AN-125 [PZ]</t>
  </si>
  <si>
    <t>RECT/REGULADOR BY100-12/BY110-13 (4 PINES) [PZ]</t>
  </si>
  <si>
    <t>RECT/REGULADOR CB-450 [PZ]</t>
  </si>
  <si>
    <t>RECT/REGULADOR CB1-125 [PZ]</t>
  </si>
  <si>
    <t>RECT/REGULADOR CB1-125/TWISTER-125 [PZ]</t>
  </si>
  <si>
    <t>RECT/REGULADOR CBX-250 TWISTER [PZ]</t>
  </si>
  <si>
    <t>RECT/REGULADOR CG-125 (CHINA) 5 CABLE [PZ]</t>
  </si>
  <si>
    <t>RECT/REGULADOR CG-125 [PZ]</t>
  </si>
  <si>
    <t>RECT/REGULADOR CG-150T/JOB [PZ]</t>
  </si>
  <si>
    <t>RECT/REGULADOR FZ-16/FZN-150 (2.0) (4 PINES) [PZ]</t>
  </si>
  <si>
    <t>RECT/REGULADOR FZ-16/HAOJUE-125 (5 PINES) [PZ]</t>
  </si>
  <si>
    <t>RECT/REGULADOR FZR-400/XT-600E [PZ]</t>
  </si>
  <si>
    <t>RECT/REGULADOR GS-125 [PZ]</t>
  </si>
  <si>
    <t>RECT/REGULADOR HAOJUE [PZ]</t>
  </si>
  <si>
    <t>RECT/REGULADOR JOG-50/90 (4 PINES LINEAL) [PZ]</t>
  </si>
  <si>
    <t>RECT/REGULADOR KA-150 [PZ]</t>
  </si>
  <si>
    <t>RECT/REGULADOR KLR-650 TRIFÁSICO [PZ]</t>
  </si>
  <si>
    <t>RECT/REGULADOR MOTOMEL-250 M16 (TRIFASICO) [PZ]</t>
  </si>
  <si>
    <t>RECT/REGULADOR NK-150 [PZ]</t>
  </si>
  <si>
    <t>RECT/REGULADOR NT-650 [PZ]</t>
  </si>
  <si>
    <t>RECT/REGULADOR NX-400 FALCON [PZ]</t>
  </si>
  <si>
    <t>RECT/REGULADOR PULSAR 200-NS FI (INYECTADA) / PULSAR 200-RS [PZ]</t>
  </si>
  <si>
    <t>RECT/REGULADOR RENEGADE-200 ''VINI'' [IM]</t>
  </si>
  <si>
    <t>RECT/REGULADOR RENEGADE-200 [OF]</t>
  </si>
  <si>
    <t>RECT/REGULADOR SCOOTER-125/150 [PZ]</t>
  </si>
  <si>
    <t>RECT/REGULADOR SURFER-125 [PZ]</t>
  </si>
  <si>
    <t>RECT/REGULADOR TVS APACHE-160 [PZ]</t>
  </si>
  <si>
    <t>RECT/REGULADOR UNIVERSAL [PZ]</t>
  </si>
  <si>
    <t>RECT/REGULADOR VS-125 (5 PINES) [PZ]</t>
  </si>
  <si>
    <t>RECT/REGULADOR WH-125 [PZ]</t>
  </si>
  <si>
    <t>RECT/REGULADOR XR-150 ''4 PINES'' [PZ]</t>
  </si>
  <si>
    <t>RECT/REGULADOR XR-200 [PZ]</t>
  </si>
  <si>
    <t>RECT/REGULADOR XRE-300 [PZ]</t>
  </si>
  <si>
    <t>RECT/REGULADOR XT-250/TTR-250 [PZ]</t>
  </si>
  <si>
    <t>RECT/REGULADOR XV-250 VIRAGO [PZ]</t>
  </si>
  <si>
    <t>RECT/REGULADOR YBR-125 (5 PINES) [PZ]</t>
  </si>
  <si>
    <t>RECT/REGULADOR YBR-125Z [PZ]</t>
  </si>
  <si>
    <t>RECT/REGULADOR YW-100 BWS [PZ]</t>
  </si>
  <si>
    <t>RECTIFICADOR RS-100 [PZ]</t>
  </si>
  <si>
    <t>REFLECTANTE CIRCULAR AMARILLO [PZ]</t>
  </si>
  <si>
    <t>REFLECTANTE CIRCULAR ROJO [PZ]</t>
  </si>
  <si>
    <t>REFLECTANTE RECTANGULAR ROJO [PZ]</t>
  </si>
  <si>
    <t>REFRIGERANTE (COOLANT) ''CASTROL'' 1LT. [OF]</t>
  </si>
  <si>
    <t>REFRIGERANTE (COOLANT) ''IPONE'' 1LT. [PZ]</t>
  </si>
  <si>
    <t>REFRIGERANTE (COOLANT) ''LIQUI MOLY'' 1LT. [PZ]</t>
  </si>
  <si>
    <t>REFRIGERANTE (COOLANT) ''MOTUL'' 1LT [OF]</t>
  </si>
  <si>
    <t>REFRIGERANTE (COOLANT) ''REPSOL'' 1 LT [OF]</t>
  </si>
  <si>
    <t>REFRIGERANTE (COOLANT) ''WOLVER'' 1.5 LT ''AZUL'' [PZ]</t>
  </si>
  <si>
    <t>REFRIGERANTE (COOLANT) ''WOLVER'' 1.5 LT ''ROJO'' [PZ]</t>
  </si>
  <si>
    <t>REFRIGERANTE (COOLANT) ''WOLVER'' 1.5 LT ''VERDE'' [PZ]</t>
  </si>
  <si>
    <t>REGULADOR FRENO Y EMBRAGUE UNIVERSAL [PZ]</t>
  </si>
  <si>
    <t>REJILLA FILTRO ACEITE CG-125 [PZ]</t>
  </si>
  <si>
    <t>RELEY PARTIDA 12 V. [PZ]</t>
  </si>
  <si>
    <t>RELEY PARTIDA FZ-16 [PZ]</t>
  </si>
  <si>
    <t>RELEY PARTIDA FZN-150 (2.0)/YBA-125 [PZ]</t>
  </si>
  <si>
    <t>RELEY PARTIDA PULSAR-180 [PZ]</t>
  </si>
  <si>
    <t>RENOVADOR DE NEUMATICOS ''SENFINECO'' 400ML [OF]</t>
  </si>
  <si>
    <t>RENOVADOR DE NEUMATICOS ''SENFINECO'' 650ML [OF]</t>
  </si>
  <si>
    <t>RENOVADOR PLASTICO (250ML) [PZ]</t>
  </si>
  <si>
    <t>SERVICIOS DE TALLER</t>
  </si>
  <si>
    <t>REPARACION BOMBA FRENO 11MM [PZ]</t>
  </si>
  <si>
    <t>REPARACION BOMBA FRENO 12.7MM [PZ]</t>
  </si>
  <si>
    <t>REPARACION BOMBA FRENO 13MM [PZ]</t>
  </si>
  <si>
    <t>REPARACION BOMBA FRENO 14MM [PZ]</t>
  </si>
  <si>
    <t>REPARACION CALIPER JGO. [PZ]</t>
  </si>
  <si>
    <t>REPARACION CALIPER UNIVERSAL [PZ]</t>
  </si>
  <si>
    <t>KITS DE CARBURADOR</t>
  </si>
  <si>
    <t>REPARACION CARBURADOR CG-125 [PZ]</t>
  </si>
  <si>
    <t>REPARACION CARBURADOR CG-125/TITAN [PZ]</t>
  </si>
  <si>
    <t>REPARACION CARBURADOR CG-250 [PZ]</t>
  </si>
  <si>
    <t>REPARACION CARBURADOR PULSAR 200-NS [PZ]</t>
  </si>
  <si>
    <t>REPARACION CARBURADOR YBR-125 [PZ]</t>
  </si>
  <si>
    <t>REPARACION CARBURADOR YW-100 BWS [PZ]</t>
  </si>
  <si>
    <t>RESISTENCIA CB-190 [PZ]</t>
  </si>
  <si>
    <t>RESISTENCIA LUCES [PZ]</t>
  </si>
  <si>
    <t>RESORTES</t>
  </si>
  <si>
    <t>RESORTE CABLE FRENO TRASERO UNIVERSAL [PZ]</t>
  </si>
  <si>
    <t>RESORTE EMBRAGUE BY110-13/CG-100 [PZ]</t>
  </si>
  <si>
    <t>RESORTE EMBRAGUE FZ-16 [PZ]</t>
  </si>
  <si>
    <t>RESORTE FILTRO DE ACEITE [PZ]</t>
  </si>
  <si>
    <t>RESORTE PATA CENTRAL GN-125H [PZ]</t>
  </si>
  <si>
    <t>RESORTE PATA LATERAL GS-125 [PZ]</t>
  </si>
  <si>
    <t>RESORTE PATA LATERAL SPEED-125 [PZ]</t>
  </si>
  <si>
    <t>RESORTE PATA LATERAL UNIVERSAL 8CM [PZ]</t>
  </si>
  <si>
    <t>RESORTE PATA LATERAL UNIVERSAL [PZ]</t>
  </si>
  <si>
    <t>RESORTE PATA PARAR CENTRAL CG-125 [PZ]</t>
  </si>
  <si>
    <t>RESORTE PATA PARAR CENTRAL FZ-16 [PZ]</t>
  </si>
  <si>
    <t>RESORTE PATA PARAR CENTRAL UNIVERSAL [PZ]</t>
  </si>
  <si>
    <t>RESORTE PATA PARAR LATERAL CG-125 [PZ]</t>
  </si>
  <si>
    <t>RESORTE PATA PARAR LATERAL FZ-16 [OF]</t>
  </si>
  <si>
    <t>RESORTE PATIN FRENO RS-100 [PZ]</t>
  </si>
  <si>
    <t>RESORTE PATIN FRENO XL-125/XLR-125 [PZ]</t>
  </si>
  <si>
    <t>RESORTE PATIN FRENO YBR-125/XTZ-125 [PZ]</t>
  </si>
  <si>
    <t>RESORTE PEDAL FRENO (5.5CM) [PZ]</t>
  </si>
  <si>
    <t>RESORTE PEDAL FRENO PULSAR [PZ]</t>
  </si>
  <si>
    <t>RESORTE PEDAL FRENO UNIVERSAL [PZ]</t>
  </si>
  <si>
    <t>RESORTE PEDAL PARTIDA CG-125/150 [PZ]</t>
  </si>
  <si>
    <t>RESORTE PEDAL PARTIDA JH-70 [PZ]</t>
  </si>
  <si>
    <t>RESORTE VALVULA CBP-250/RE-250 (A) [PZ]</t>
  </si>
  <si>
    <t>RESORTE VALVULA CBP-250/RE-250 (B) [PZ]</t>
  </si>
  <si>
    <t>RESORTE VARILLA FRENO [PZ]</t>
  </si>
  <si>
    <t>RESORTES VALVULA. JGO. CG-125/CG-150/ [PZ]</t>
  </si>
  <si>
    <t>RESORTES VALVULA. JGO. PULSAR-200NS [PZ]</t>
  </si>
  <si>
    <t>RETENES</t>
  </si>
  <si>
    <t>RETEN 8-21-6 LAPIZ EMBRAGUE [PZ]</t>
  </si>
  <si>
    <t>RETEN 8-25-8 VF-400F LAPIZ EMBRAGUE [PZ]</t>
  </si>
  <si>
    <t>RETEN 10-20-06 GXT-200/GN-125H PALANCA EMBRAGUE [PZ]</t>
  </si>
  <si>
    <t>RETEN 10-20-06 GXT200/GN-125 PALANCA EMBRAGUE [PZ]</t>
  </si>
  <si>
    <t>RETEN 10-31-13.5 BOMBA DE AGUA YZF-R15 [PZ]</t>
  </si>
  <si>
    <t>RETEN 11-25-7 BOMBA AGUA [PZ]</t>
  </si>
  <si>
    <t>RETEN 11-25-7 CRF-250 BOMBA AGUA [OF]</t>
  </si>
  <si>
    <t>RETEN 12-20-5 XLX-250/350 JP DESCOMPRESOR [PZ]</t>
  </si>
  <si>
    <t>RETEN 12-20-5.5 BOXER-125 EJE CAMBIOS [PZ]</t>
  </si>
  <si>
    <t>RETEN 12-21-4 BOMBA AGUA [PZ]</t>
  </si>
  <si>
    <t>RETEN 12-22-05 PALANCA EMBRAGUE [PZ]</t>
  </si>
  <si>
    <t>RETEN 12-22-5 EJE CAMBIOS [PZ]</t>
  </si>
  <si>
    <t>RETEN 12-22-5 [OF]</t>
  </si>
  <si>
    <t>RETEN 14-24-6 EJE CAMBIOS [PZ]</t>
  </si>
  <si>
    <t>RETEN 14-25-05 DT-125 PALANCA EMBRAGUE [PZ]</t>
  </si>
  <si>
    <t>RETEN 15-25-7 EJE LEVAS [PZ]</t>
  </si>
  <si>
    <t>RETEN 16-28-7 CG-125 PEDAL PARTIDA [PZ]</t>
  </si>
  <si>
    <t>RETEN 16.5-25-5 EJE CAMBIOS [PZ]</t>
  </si>
  <si>
    <t>RETEN 18-40-7 [PZ]</t>
  </si>
  <si>
    <t>RETEN 18.9-28-5 MOTOR PARTIDA [PZ]</t>
  </si>
  <si>
    <t>RETEN 18.9-30-5 CG-100 PASSION/ST-70 CIGUEÑAL [PZ]</t>
  </si>
  <si>
    <t>RETEN 18.9-30-5 ST-70 CIGUEÑAL [PZ]</t>
  </si>
  <si>
    <t>RETEN 20-30-5 YBR-125 PEDAL PARTIDA [PZ]</t>
  </si>
  <si>
    <t>RETEN 20-32-6 YW-100 BWS CIGUEÑAL [PZ]</t>
  </si>
  <si>
    <t>RETEN 20-32-7 CIGUENAL [PZ]</t>
  </si>
  <si>
    <t>RETEN 20-36-7 XR-250R PIÑON ATAQUE [PZ]</t>
  </si>
  <si>
    <t>RETEN 20-36-7 [PZ]</t>
  </si>
  <si>
    <t>RETEN 20-38-5 PIÑON ATAQUE [PZ]</t>
  </si>
  <si>
    <t>RETEN 20-42-7 [PZ]</t>
  </si>
  <si>
    <t>RETEN 21.5-32-3.4/5 XR-250 PIÑON ATAQUE [PZ]</t>
  </si>
  <si>
    <t>RETEN 22-38-6 YW-100 BWS CIGUENAL [PZ]</t>
  </si>
  <si>
    <t>RETEN 24-35-7 [PZ]</t>
  </si>
  <si>
    <t>RETEN 25-35-6 YW-100 BWS PIÑON ATAQUE [PZ]</t>
  </si>
  <si>
    <t>RETEN 25-38-7 CIGUENAL [PZ]</t>
  </si>
  <si>
    <t>RETEN 25-40-7 KDX-200 CIGUEÑAL [PZ]</t>
  </si>
  <si>
    <t>RETEN 25-40-8 RS-125 CIGUEÑAL [PZ]</t>
  </si>
  <si>
    <t>RETEN 25-44-8 DT/BLASTER-200 CIGUEÑAL [PZ]</t>
  </si>
  <si>
    <t>RETEN 25-45-7 XR-600R PIÑON ATAQUE [PZ]</t>
  </si>
  <si>
    <t>RETEN 25-45-7 [PZ]</t>
  </si>
  <si>
    <t>RETEN 26-38-5 DT-125 PIÑON ATAQUE [PZ]</t>
  </si>
  <si>
    <t>RETEN 26-38-5 RS-100 PIÑON ATAQUE [PZ]</t>
  </si>
  <si>
    <t>RETEN 26-38-7 [PZ]</t>
  </si>
  <si>
    <t>RETEN 26-47-7.3 DS-80/FZ-50 CIGUEÑAL [PZ]</t>
  </si>
  <si>
    <t>RETEN 26-52-7 CIGUEÑAL [PZ]</t>
  </si>
  <si>
    <t>RETEN 27-39-10.5 MB-100/RS-100 HORQUILLA [PZ]</t>
  </si>
  <si>
    <t>RETEN 27-39-10.5 RS-100 HORQUILLA [PZ]</t>
  </si>
  <si>
    <t>RETEN 28-40-8 RS-100 JP CIGUEÑAL [PZ]</t>
  </si>
  <si>
    <t>RETEN 28-42-8 [PZ]</t>
  </si>
  <si>
    <t>RETEN 30-40.5-10.5 YBR-125/DT-100-KA-150/EN-125/AN-125 HORQUILLA [PZ]</t>
  </si>
  <si>
    <t>RETEN 30-42-8 RX-100/RX-125/RX-135 EJE TRASERO [PZ]</t>
  </si>
  <si>
    <t>RETEN 31-43-10.3 CBF-150 INVICTA HORQUILLA [PZ]</t>
  </si>
  <si>
    <t>RETEN 31-43-10.5 CB1-125/CB-125F TWISTER/STORM/NEW STORM/XR-125L/XR-150/CBF-150 INV HORQUILLA [PZ]</t>
  </si>
  <si>
    <t>RETEN 31-43-10.5 PULSAR-180/LX-125-4/ V-MEN HORQUILLA [PZ]</t>
  </si>
  <si>
    <t>RETEN 32-44-8 DT-200R/MTX-200R CIGUEÑAL [PZ]</t>
  </si>
  <si>
    <t>RETEN 32-44-9 KDX-125 CIGUEÑAL [PZ]</t>
  </si>
  <si>
    <t>RETEN 32-47-8 SUZUKI CIGUEÑAL [PZ]</t>
  </si>
  <si>
    <t>RETEN 33-45-08 YZF-R15/XV-250 HORQUILLA [PZ]</t>
  </si>
  <si>
    <t>RETEN 33-45-10 HORQUILLA [PZ]</t>
  </si>
  <si>
    <t>RETEN 33-45-8-10.5 ''VEDAMOTORS'' HORQUILLA [PZ]</t>
  </si>
  <si>
    <t>RETEN 33-46-11 YW-125 BWS HORQUILLA [PZ]</t>
  </si>
  <si>
    <t>RETEN 34-50-7 MOTOS CHINAS CIGUEÑAL [PZ]</t>
  </si>
  <si>
    <t>RETEN 35-48-10.5 XTZ-125/DT-125/175K HORQUILLA [PZ]</t>
  </si>
  <si>
    <t>RETEN 35-49-6 TRX-420FM EJE TRASERO [OF]</t>
  </si>
  <si>
    <t>RETEN 35-52-12 [PZ]</t>
  </si>
  <si>
    <t>RETEN 36-48-10.5 DT-200 HORQUILLA [PZ]</t>
  </si>
  <si>
    <t>RETEN 36-48-8 GPZ-400R HORQUILLA [PZ]</t>
  </si>
  <si>
    <t>RETEN 37-49-9.5 ''ATHENA'' HORQUILLA [PZ]</t>
  </si>
  <si>
    <t>RETEN 37-50-11 XL200/CB-190/SUPERLIGHT-200/RKS-125/RKV-150/RK-150 HORQUILLA [PZ]</t>
  </si>
  <si>
    <t>RETEN 38-50-08 FZR-400R HORQUILLA [PZ]</t>
  </si>
  <si>
    <t>RETEN 39-52-11 VF-750 HORQUILLA [PZ]</t>
  </si>
  <si>
    <t>RETEN 40-58-10 [PZ]</t>
  </si>
  <si>
    <t>RETEN 41-53-08 FZ-16/FZN-150 (2.0)/FZ-25/XR-250R/GIXXER/MT-03/YZF-R3/TNT25/TNT-300 HORQUILLA [PZ]</t>
  </si>
  <si>
    <t>RETEN 41-53-10.5 FZ-16/FZN-150 (2.0)/FZ-25/XR-250R/GIXXER/MT-03/YZF-R3/TNT25/TNT-300 HORQUILLA [PZ]</t>
  </si>
  <si>
    <t>RETEN 41-53.5-11 GIXXER-150 HORQUILLA [PZ]</t>
  </si>
  <si>
    <t>RETEN 41-54-11 XR-250 TORNADO HORQUILLA [PZ]</t>
  </si>
  <si>
    <t>RETEN 41-54-11 XR-250 TORNADO/XRE-300/CRM-250/XMM MOTORRAD HORQUILLA [PZ]</t>
  </si>
  <si>
    <t>RETEN 42-62-8 BLASTER 200 EJE TRASERO [PZ]</t>
  </si>
  <si>
    <t>RETEN 43-52.9-11.4 BMW-GS800F/DUKE-200/DUKE-390/DUKE-690 HORQUILLA [PZ]</t>
  </si>
  <si>
    <t>RETEN 43-54-11 CRF-250 HORQUILLA [PZ]</t>
  </si>
  <si>
    <t>RETEN 46-58-09.5 YZ/WR-400 HORQUILLA [PZ]</t>
  </si>
  <si>
    <t>RETEN 48.5-60-10 RM-250 (96/00) HORQUILLA [PZ]</t>
  </si>
  <si>
    <t>RETEN 49-60-10 HORQUILLA [PZ]</t>
  </si>
  <si>
    <t>RETENES MOTOR. JGO. ATV-110/125/150 [PZ]</t>
  </si>
  <si>
    <t>RETENES MOTOR. JGO. AX-4 [PZ]</t>
  </si>
  <si>
    <t>RETENES MOTOR. JGO. CB1-125/CB-125F TWISTER (15-28-7/14-22-5/17-29-5) [PZ]</t>
  </si>
  <si>
    <t>RETENES MOTOR. JGO. CBF-150 INVICTA [PZ]</t>
  </si>
  <si>
    <t>RETENES MOTOR. JGO. CG-125 (34-7-17/34-50-7/20-28-7/28-40-7) [PZ]</t>
  </si>
  <si>
    <t>RETENES MOTOR. JGO. CG-125/150 (34-50-7/20-34-7/16-28-7/14-28-7/6.5-14.5-7) [PZ]</t>
  </si>
  <si>
    <t>RETENES MOTOR. JGO. CRF-230 [PZ]</t>
  </si>
  <si>
    <t>RETENES MOTOR. JGO. FZ-16 (22-38-6 / 20-30-5 / 12-21-4 / 12-18-5 / 12-18-6) [PZ]</t>
  </si>
  <si>
    <t>RETENES MOTOR. JGO. GXT-200/DR-200 (27-40-6/10-20-5/12-22-9/15-25-5/16-24-5) [PZ]</t>
  </si>
  <si>
    <t>RETENES MOTOR. JGO. GXT-200/DR-200 (30-40-6/12-22-9/12-21-7/10-20-6) [PZ]</t>
  </si>
  <si>
    <t>RETENES MOTOR. JGO. SCOOTER (27-42-7/20-32-6/34-41-4/19.8-30-5)[PZ]</t>
  </si>
  <si>
    <t>RETENES MOTOR. JGO. SCOOTER 125/150 [PZ]</t>
  </si>
  <si>
    <t>RETENES MOTOR. JGO. XL-200/XR-200 BRASIL (20-34-7/15-25-7/14-28-7/12-22-5) [PZ]</t>
  </si>
  <si>
    <t>RETENES MOTOR. JGO. XR-250 TORNADO/CBX-250 (21.5-36-8/14-28-7/14-22-5/12-18-5) [PZ]</t>
  </si>
  <si>
    <t>RETENES MOTOR. JGO. XTZ-125 (20-38-5/20-30-5/12-21-4/12-18-5/12-18-6) [PZ]</t>
  </si>
  <si>
    <t>RETENES MOTOR. JGO. XTZ-250 (25-40-6/14-26-6/12-18-5) [PZ]</t>
  </si>
  <si>
    <t>RETENES MOTOR. JGO. YBR-125 (20-38-5/20-30-5/12-21-4/12-18-5/8-18-6) [PZ]</t>
  </si>
  <si>
    <t>RETENES MOTOR. JGO. YW-100 BWS (20/32-6/16-28-6/22-38-6/25-35-6/33-39-4) [PZ]</t>
  </si>
  <si>
    <t>RETENES MOTOR. JGO. YW-125 BWS (32-52-7/22-39-6/26-38-5/20-28-4/41-47-4) [PZ]</t>
  </si>
  <si>
    <t>RETENES MOTOR. JGO. YZF-R15 (20-35-5/12-22-5/10-18-6) [PZ]</t>
  </si>
  <si>
    <t>REX-150 MOTOCICLETA: NUEVA</t>
  </si>
  <si>
    <t>MODELO: REX-150</t>
  </si>
  <si>
    <t>Nº DE CHASIS: LD3PCK4J8N2000596</t>
  </si>
  <si>
    <t>Nº DE MOTOR: KD162FMJ22408937</t>
  </si>
  <si>
    <t>Nº DE CHASIS: LD3PCK4J3N2000764</t>
  </si>
  <si>
    <t>Nº DE MOTOR: KD162FMJ22409002</t>
  </si>
  <si>
    <t>Nº DE CHASIS: LD3PCK4J4N2000787</t>
  </si>
  <si>
    <t>Nº DE MOTOR: KD162FMJ22408940</t>
  </si>
  <si>
    <t>Nº DE CHASIS: LD3PCK4J8N2000789</t>
  </si>
  <si>
    <t>Nº DE MOTOR: KD162FMJ22408968</t>
  </si>
  <si>
    <t>RODAMIENTOS</t>
  </si>
  <si>
    <t>RODAMIENTO 06-19-6 ''AOF'' [PZ]</t>
  </si>
  <si>
    <t>RODAMIENTO 07-19-6 ''AOF'' [PZ]</t>
  </si>
  <si>
    <t>RODAMIENTO 08-22-7 ''AOF'' [PZ]</t>
  </si>
  <si>
    <t>RODAMIENTO 08-24-08 ''ICHIBAN'' [PZ]</t>
  </si>
  <si>
    <t>RODAMIENTO 09-24-7 ''AOF'' [PZ]</t>
  </si>
  <si>
    <t>RODAMIENTO 10-26-08 ''AOF'' [PZ]</t>
  </si>
  <si>
    <t>RODAMIENTO 10-26-08 ''KOYO'' [PZ]</t>
  </si>
  <si>
    <t>RODAMIENTO 10-30-09 ''KOYO'' [PZ]</t>
  </si>
  <si>
    <t>RODAMIENTO 10-35-11 ''AOF'' [PZ]</t>
  </si>
  <si>
    <t>RODAMIENTO 10-35-11 ''ICHIBAN'' [PZ]</t>
  </si>
  <si>
    <t>RODAMIENTO 12-28-08 ''AOF'' [PZ]</t>
  </si>
  <si>
    <t>RODAMIENTO 12-28-08 ''ICHIBAN'' [PZ]</t>
  </si>
  <si>
    <t>RODAMIENTO 12-28-08 ''NTN'' [PZ]</t>
  </si>
  <si>
    <t>RODAMIENTO 12-28-08 ''SKF'' [PZ]</t>
  </si>
  <si>
    <t>RODAMIENTO 12-32-10 ''AOF'' [PZ]</t>
  </si>
  <si>
    <t>RODAMIENTO 12-32-10 ''KOYO'' [PZ]</t>
  </si>
  <si>
    <t>RODAMIENTO 12-32-10 [PZ]</t>
  </si>
  <si>
    <t>RODAMIENTO 12-37-12 ''AOF'' [PZ]</t>
  </si>
  <si>
    <t>RODAMIENTO 13-37-12 (63/13) CONTRAPESO [OF]</t>
  </si>
  <si>
    <t>RODAMIENTO 15-28-07 ''KOYO'' [PZ]</t>
  </si>
  <si>
    <t>RODAMIENTO 15-32-09 ''AOF'' [PZ]</t>
  </si>
  <si>
    <t>RODAMIENTO 15-32-09 ''KOYO'' [PZ]</t>
  </si>
  <si>
    <t>RODAMIENTO 15-35-11 ''AOF'' [PZ]</t>
  </si>
  <si>
    <t>RODAMIENTO 15-42-13 ''AOF'' [PZ]</t>
  </si>
  <si>
    <t>RODAMIENTO 17-30-7 ''AOF'' [PZ]</t>
  </si>
  <si>
    <t>RODAMIENTO 17-35-10 ''AOF'' [PZ]</t>
  </si>
  <si>
    <t>RODAMIENTO 17-35-10 ''ICHIBAN'' [PZ]</t>
  </si>
  <si>
    <t>RODAMIENTO 17-35-10 ''NTN'' [PZ]</t>
  </si>
  <si>
    <t>RODAMIENTO 17-40-12 ''AOF'' [PZ]</t>
  </si>
  <si>
    <t>RODAMIENTO 17-47-14 ''ICHIBAN'' [PZ]</t>
  </si>
  <si>
    <t>RODAMIENTO 17-47-14 ''KOYO'' [PZ]</t>
  </si>
  <si>
    <t>RODAMIENTO 18-37-9 EJE LEVAS XR-600 [OF]</t>
  </si>
  <si>
    <t>RODAMIENTO 20-37-9 ''AOF'' [PZ]</t>
  </si>
  <si>
    <t>RODAMIENTO 20-42-12 ''AOF'' [PZ]</t>
  </si>
  <si>
    <t>RODAMIENTO 20-42-12 ZZ ''ICHIBAN'' [PZ]</t>
  </si>
  <si>
    <t>RODAMIENTO 20-47-14 ''AOF'' [PZ]</t>
  </si>
  <si>
    <t>RODAMIENTO 20-47-14 ''ICHIBAN'' [PZ]</t>
  </si>
  <si>
    <t>RODAMIENTO 20-47-18 ''AOF'' [PZ]</t>
  </si>
  <si>
    <t>RODAMIENTO 20-52-15 ''ICHIBAN'' [PZ]</t>
  </si>
  <si>
    <t>RODAMIENTO 20-52-15 ''KOYO'' [PZ]</t>
  </si>
  <si>
    <t>RODAMIENTO 22-44-12 ''KOYO'' [PZ]</t>
  </si>
  <si>
    <t>RODAMIENTO 22-50-14 ''KOYO'' [PZ]</t>
  </si>
  <si>
    <t>RODAMIENTO 25-42-09 ''KOYO'' [PZ]</t>
  </si>
  <si>
    <t>RODAMIENTO 25-47-12 ''AOF'' [PZ]</t>
  </si>
  <si>
    <t>RODAMIENTO 25-47-12 ''ICHIBAN'' [PZ]</t>
  </si>
  <si>
    <t>RODAMIENTO 25-47-12 ''KOYO'' [PZ]</t>
  </si>
  <si>
    <t>RODAMIENTO 25-47-15 ''AOF'' CÓNICO [PZ]</t>
  </si>
  <si>
    <t>RODAMIENTO 25-52-15 ''AOF'' CÓNICO [PZ]</t>
  </si>
  <si>
    <t>RODAMIENTO 25-52-15 ''AOF'' [PZ]</t>
  </si>
  <si>
    <t>RODAMIENTO 25-62-12 ''ICHIBAN'' CIGUEÑAL VESPA [PZ]</t>
  </si>
  <si>
    <t>RODAMIENTO 25-62-16 YFS-200 ''KOYO'' CIGUEÑAL [PZ]</t>
  </si>
  <si>
    <t>RODAMIENTO 25-62-17 ''AOF'' [PZ]</t>
  </si>
  <si>
    <t>RODAMIENTO 25-62-17 ''ICHIBAN'' [PZ]</t>
  </si>
  <si>
    <t>RODAMIENTO 25-62-17 ''KOYO'' [PZ]</t>
  </si>
  <si>
    <t>RODAMIENTO 26-47-15 CBX-250 TWISTER DIRECCION [PZ]</t>
  </si>
  <si>
    <t>RODAMIENTO 28-52-17 WR-250 DIRECCION [PZ]</t>
  </si>
  <si>
    <t>RODAMIENTO 28-58-16 ''KOYO'' [PZ]</t>
  </si>
  <si>
    <t>RODAMIENTO 28-68-18 CIGUEÑAL ''ALLEN'' [PZ]</t>
  </si>
  <si>
    <t>RODAMIENTO 28-72-18 ''ICHIBAN'' C/TAPA CIGUEÑAL [PZ]</t>
  </si>
  <si>
    <t>RODAMIENTO 28-76-18 CBX-250/TORNADO-250 CIGUEÑAL [PZ]</t>
  </si>
  <si>
    <t>RODAMIENTO 30-47-9 [PZ]</t>
  </si>
  <si>
    <t>RODAMIENTO 30-55-13 ''AOF'' [PZ]</t>
  </si>
  <si>
    <t>RODAMIENTO 30-55-13 ''KOYO'' [PZ]</t>
  </si>
  <si>
    <t>RODAMIENTO 30-55-17 ''AOF'' [PZ]</t>
  </si>
  <si>
    <t>RODAMIENTO 30-55-17 DIRECCION V-STROM-650 [PZ]</t>
  </si>
  <si>
    <t>RODAMIENTO 30-62-16 ''ICHIBAN'' [PZ]</t>
  </si>
  <si>
    <t>RODAMIENTO 30-72-17 ''FAG'' [PZ]</t>
  </si>
  <si>
    <t>RODAMIENTO 30-72-19 ''ICHIBAN'' [PZ]</t>
  </si>
  <si>
    <t>RODAMIENTO 35-12-17 ''KOYO'' [PZ]</t>
  </si>
  <si>
    <t>RODAMIENTO 35-62-14 ''AOF'' [PZ]</t>
  </si>
  <si>
    <t>RODAMIENTO 35-72-17 ''KOYO''/''NSK'' [PZ]</t>
  </si>
  <si>
    <t>RODAMIENTO 35-72-17 GN-125H ''ICHIBAN'' CIGUEÑAL [PZ]</t>
  </si>
  <si>
    <t>RODAMIENTO 35-80-21 ''ICHIBAN'' [PZ]</t>
  </si>
  <si>
    <t>RODAMIENTO 40-62-12 ''NSK'' [PZ] 40mm 62mm 12mm</t>
  </si>
  <si>
    <t>RODAMIENTO 40-68-15 ''AOF'' [PZ]</t>
  </si>
  <si>
    <t>RODAMIENTO 40-70-15 [PZ]</t>
  </si>
  <si>
    <t>RODAMIENTO 40-80-19.75 ''AOF'' [PZ]</t>
  </si>
  <si>
    <t>RODILLERAS Y CODERAS. JGO. AXO [PZ]</t>
  </si>
  <si>
    <t>RODILLERAS Y CODERAS. JGO. COBRA [PZ]</t>
  </si>
  <si>
    <t>RODILLERAS Y CODERAS. JGO. UNIVERSAL [PZ]</t>
  </si>
  <si>
    <t>RODILLERAS Y CODERAS. JGO. [PZ]</t>
  </si>
  <si>
    <t>RODILLERAS. JGO. LEATT (AMARILLO) [PZ]</t>
  </si>
  <si>
    <t>RODILLERAS. JGO. LEATT (BLANCO) [PZ]</t>
  </si>
  <si>
    <t>RODILLERAS. JGO. LEATT (CELESTE) [PZ]</t>
  </si>
  <si>
    <t>ROTOR BOMBA ACEITE CBF-150 INVICTA/XR-150 ''VINI'' [IM]</t>
  </si>
  <si>
    <t>ROTOR BOMBA ACEITE CG-125 (62.5MM) [PZ]</t>
  </si>
  <si>
    <t>ROTOR BOMBA ACEITE CG-125 (72MM) [PZ]</t>
  </si>
  <si>
    <t>ROTOR BOMBA ACEITE CG-200/RENEGADE ''VINI'' [IM]</t>
  </si>
  <si>
    <t>ROTOR BOMBA ACEITE XR-125/XR-150 [PZ]</t>
  </si>
  <si>
    <t>RUEDAS</t>
  </si>
  <si>
    <t>RUEDA COMPLETA XTZ-125 DELANTERA [PZ]</t>
  </si>
  <si>
    <t>SEGUROS</t>
  </si>
  <si>
    <t>SEGURO PIÑON ATAQUE AX-100 [PZ]</t>
  </si>
  <si>
    <t>SEGURO PIÑON ATAQUE CB1-125/CB125F TWISTER/EXPRESS-100 [PZ]</t>
  </si>
  <si>
    <t>SEGURO PIÑON ATAQUE CG-100/XTZ-150 [PZ]</t>
  </si>
  <si>
    <t>SEGURO PIÑON ATAQUE CG-125 [PZ]</t>
  </si>
  <si>
    <t>SEGURO PIÑON ATAQUE NX-400 FALCON/XR-400R [PZ]</t>
  </si>
  <si>
    <t>SEGURO PIÑON ATAQUE ST-70 [PZ]</t>
  </si>
  <si>
    <t>SEGURO PIÑON ATAQUE XR-250 TORNADO/XRE-300 [PZ]</t>
  </si>
  <si>
    <t>SEGURO PIÑON ATAQUE YBR-125 [PZ]</t>
  </si>
  <si>
    <t>SEGUROS SEGER SET BICIMOTO 49CC (ST-50) [PZ]</t>
  </si>
  <si>
    <t>SEGUROS VALVULA. JGO. MOTOMEL [PZ]</t>
  </si>
  <si>
    <t>SELLADOR NEUMATICO P/CAMARA [PZ]</t>
  </si>
  <si>
    <t>SELLO VALVULA 4.5MM [PZ]</t>
  </si>
  <si>
    <t>SELLO VALVULA AG-200/XT-200 [PZ]</t>
  </si>
  <si>
    <t>SELLO VALVULA CG-125/XL-125/185 [PZ]</t>
  </si>
  <si>
    <t>SELLOS DE VÁLVULA</t>
  </si>
  <si>
    <t>SELLO VALVULA CRYPTON 110 (4SV) (1WG) [PZ]</t>
  </si>
  <si>
    <t>SELLO VALVULA DR-125 [PZ]</t>
  </si>
  <si>
    <t>SELLO VALVULA DR-250/350 [PZ]</t>
  </si>
  <si>
    <t>SELLO VALVULA PULSAR-200NS [PZ]</t>
  </si>
  <si>
    <t>SELLO VALVULA TTR-250/FZ-400 [OF]</t>
  </si>
  <si>
    <t>SELLO VALVULA XR-250 96/04 (5.0MM) [PZ]</t>
  </si>
  <si>
    <t>SELLO VALVULA XR-600 [PZ]</t>
  </si>
  <si>
    <t>SELLO VALVULA YD-110/YBR-125/XTZ-125/CB-190 (4.5MM) [PZ]</t>
  </si>
  <si>
    <t>SELLOS VALVULA JGO. CG-125/XL-125/185 [PZ]</t>
  </si>
  <si>
    <t>SENSOR CTA. KM. JL150-30/LX180NK [PZ]</t>
  </si>
  <si>
    <t>SEPARADOR EMBRAGUE FZ-16/XR-250/XRE-300 [PZ]</t>
  </si>
  <si>
    <t>SEPARADORES EMBRAGUE. JGO. CG-125/HJ125 7 [PZ]</t>
  </si>
  <si>
    <t>SEPARADORES EMBRAGUE. JGO. YBR-125 [PZ]</t>
  </si>
  <si>
    <t>SILICONA AEROSOL ''MANNOL'' 450ML [OF]</t>
  </si>
  <si>
    <t>SILICONA AEROSOL (GLEPGO) LIMON [PZ]</t>
  </si>
  <si>
    <t>SILICONA GASKET GRIS ''ARLON'' [PZ]</t>
  </si>
  <si>
    <t>SILICONA GASKET NEGRA ''SENFINECO'' 100G [OF]</t>
  </si>
  <si>
    <t>SILICONA GASKET ROJA ''SENFINECO'' 100G [OF]</t>
  </si>
  <si>
    <t>SISTEMA FIJACION MICA GHB 626 PAR [PZ]</t>
  </si>
  <si>
    <t>SISTEMA FRENO DELANTERO PIT BIKE [PZ]</t>
  </si>
  <si>
    <t>SOPORTE ACCESORIOS (TIPO FIBRA) [PZ]</t>
  </si>
  <si>
    <t>SOPORTE BALANCINES CBF-150 INVICTA ''VINI'' [IM]</t>
  </si>
  <si>
    <t>SOPORTE BALANCINES CG-125 ''VINI'' [IM]</t>
  </si>
  <si>
    <t>SOPORTE BALANCINES CG-125 [PZ]</t>
  </si>
  <si>
    <t>SOPORTE BALANCINES CGL-125 ''VINI'' [IM]</t>
  </si>
  <si>
    <t>SOPORTE FOCO SEÑALIZADOR UNIVERSAL [PZ]</t>
  </si>
  <si>
    <t>SOPORTE NEBLINERO PARA MANUBRIO [PZ] NEGRO</t>
  </si>
  <si>
    <t>SOPORTE PEDALINES CG-125 C/PATA LATERAL [PZ]</t>
  </si>
  <si>
    <t>SOPORTE PORTA PATENTE FZ-25 [PZ]</t>
  </si>
  <si>
    <t>SOPORTE TAPABARRO DELANTERO HONDA-NAVI [PZ]</t>
  </si>
  <si>
    <t>SOPORTES PEDALINES TRASEROS. JGO. YBR-125 [PZ]</t>
  </si>
  <si>
    <t>SPEED SHOOTER ''LIQUI MOLY'' 80ML [OF]</t>
  </si>
  <si>
    <t>SPRAY ANTIOXIDO ''LIQUI MOLY'' 300 ML. [PZ]</t>
  </si>
  <si>
    <t>SPRAY ANTIOXIDO ''SENFINECO'' 400ML [OF]</t>
  </si>
  <si>
    <t>SPRAY LIMPIA CADENAS ''IPONE'' 750ML [OF]</t>
  </si>
  <si>
    <t>SPRAY LIMPIA CADENAS ''LIQUI MOLY'' 500ML. [OF]</t>
  </si>
  <si>
    <t>SPRAY LIMPIA CADENAS ''REPSOL'' 400ML [OF]</t>
  </si>
  <si>
    <t>SPRAY LIMPIA CADENAS ''REPSOL'' 400ML. [OF]</t>
  </si>
  <si>
    <t>SPRAY LIMPIA CADENAS ''SENFINECO'' 500ML [OF]</t>
  </si>
  <si>
    <t>SPRAY LIMPIA CARBURADOR ''HQ'' [PZ]</t>
  </si>
  <si>
    <t>SPRAY MULTIUSOS ''JP ONE'' WT-40 [PZ]</t>
  </si>
  <si>
    <t>SPRAY MULTIUSOS ''LIQUI MOLY'' LM-40 [OF]</t>
  </si>
  <si>
    <t>SPRAY MULTIUSOS ''SENFINECO'' SO-40 400ML [OF]</t>
  </si>
  <si>
    <t>SPRAY PASTA DE COBRE ''SENFINECO'' 400ML [OF]</t>
  </si>
  <si>
    <t>SPRAY REPARA PINCHAZOS ''IPONE'' 200ML. [PZ]</t>
  </si>
  <si>
    <t>SPRAY REPARA PINCHAZOS ''LIQUI MOLY'' 300ML. [OF]</t>
  </si>
  <si>
    <t>SPRAY REPARA PINCHAZOS ''SENFINECO'' 450ML [OF]</t>
  </si>
  <si>
    <t>SPRAY REPARA PINCHAZOS 450ML [PZ]</t>
  </si>
  <si>
    <t>SWITCH EMBRAGUE CG-125 [PZ]</t>
  </si>
  <si>
    <t>SWITCH EMBRAGUE Y FRENO CGL-125 [PZ]</t>
  </si>
  <si>
    <t>SWITCH EMBRAGUE YZF-R15 [PZ]</t>
  </si>
  <si>
    <t>SWITCH FRENO DELANTERO CG-125 [PZ]</t>
  </si>
  <si>
    <t>SWITCH FRENO DELANTERO CGL [PZ]</t>
  </si>
  <si>
    <t>SWITCH FRENO DELANTERO NXR-150 [PZ]</t>
  </si>
  <si>
    <t>SWITCH FRENO DELANTERO UNIVERSAL [PZ]</t>
  </si>
  <si>
    <t>SWITCHS</t>
  </si>
  <si>
    <t>SWITCH FRENO DELANTERO YAMAHA [PZ]</t>
  </si>
  <si>
    <t>SWITCH FRENO DELANTERO YBR-125 [PZ]</t>
  </si>
  <si>
    <t>SWITCH FRENO DELANTERO [PZ]</t>
  </si>
  <si>
    <t>SWITCH FRENO TRASERO (PARA BOMBA) 35MM. [PZ]</t>
  </si>
  <si>
    <t>SWITCH FRENO TRASERO (PARA BOMBA) [PZ]</t>
  </si>
  <si>
    <t>SWITCH</t>
  </si>
  <si>
    <t>SWITCH FRENO TRASERO SPEED [PZ]</t>
  </si>
  <si>
    <t>SWITCH FRENO TRASERO UNIVERSAL [PZ]</t>
  </si>
  <si>
    <t>SWITCH FRENO UNIVERSAL ''VINI'' [IM]</t>
  </si>
  <si>
    <t>SWITCH NEUTRO CTX-200 [PZ]</t>
  </si>
  <si>
    <t>TABLEROS</t>
  </si>
  <si>
    <t>TABLERO BICIMOTO 49CC (ST-50) [PZ]</t>
  </si>
  <si>
    <t>TABLERO COMPLETO CG [PZ]</t>
  </si>
  <si>
    <t>TABLERO COMPLETO CG-125 [PZ]</t>
  </si>
  <si>
    <t>TABLERO COMPLETO FZ-16 2.0 [PZ]</t>
  </si>
  <si>
    <t>TABLERO COMPLETO FZ-16 [PZ]</t>
  </si>
  <si>
    <t>TABLERO COMPLETO LX125-4 [PZ]</t>
  </si>
  <si>
    <t>TABLERO COMPLETO MOTORRAD TTX-300/XRE-300 [PZ]</t>
  </si>
  <si>
    <t>TABLERO COMPLETO PULSAR-200NS [PZ]</t>
  </si>
  <si>
    <t>TABLERO COMPLETO SPEED 125 CLASIC [PZ]</t>
  </si>
  <si>
    <t>TABLERO COMPLETO TTX-250 [PZ]</t>
  </si>
  <si>
    <t>TABLERO COMPLETO UNIVERSAL DIGITAL [PZ]</t>
  </si>
  <si>
    <t>TABLERO COMPLETO UNIVERSAL [PZ]</t>
  </si>
  <si>
    <t>TABLERO COMPLETO XR-150L [PZ]</t>
  </si>
  <si>
    <t>TABLERO COMPLETO YBR-125 [PZ]</t>
  </si>
  <si>
    <t>TAPAS</t>
  </si>
  <si>
    <t>TAPA ASPA VENTILADOR SCOOTER [PZ]</t>
  </si>
  <si>
    <t>TAPA COLA TRASERA INFERIOR HONDA-NAVI [PZ]</t>
  </si>
  <si>
    <t>TAPA COLA TRASERA SUPERIOR HONDA-NAVI [PZ]</t>
  </si>
  <si>
    <t>TAPA CUBRE CHAPA CONTACTO KA-150 [PZ]</t>
  </si>
  <si>
    <t>TAPA CUBRE ESTANQUE CENTRAL FZ-16 [PZ] NEGRO</t>
  </si>
  <si>
    <t>TAPA CUBRE ESTANQUE CENTRAL FZ-16 [PZ] ROJO</t>
  </si>
  <si>
    <t>TAPA CUBRE FOCO DELANTERO CENTRAL KA-150 [PZ]</t>
  </si>
  <si>
    <t>TAPA CUBRE FOCO DELANTERO FZ-16 (SUP) [PZ]</t>
  </si>
  <si>
    <t>TAPA CUBRE FOCO DELANTERO FZN-150 (2.0) [PZ]</t>
  </si>
  <si>
    <t>TAPA CUBRE FOCO DELANTERO GIXXER-150 (NEGRO) [PZ]</t>
  </si>
  <si>
    <t>TAPA CUBRE FOCO DELANTERO REX-150 ''DERECHO'' [PZ]</t>
  </si>
  <si>
    <t>TAPA CUBRE FOCO DELANTERO REX-150 ''IZQUIERDO'' [PZ]</t>
  </si>
  <si>
    <t>TAPA CUBRE FOCO DELANTERO XR-190 [PZ]</t>
  </si>
  <si>
    <t>TAPA CUBRE FOCO DELANTERO YBR-125 Z [PZ]</t>
  </si>
  <si>
    <t>TAPA CUBRE FOCO DELANTERO YBR-Z 125 [PZ]</t>
  </si>
  <si>
    <t>TAPA CUBRE FOCO INFERIOR FZN-150 (2.0) NEGRO</t>
  </si>
  <si>
    <t>TAPA CUBRE TABLERO CBF-150 INVICTA [PZ]</t>
  </si>
  <si>
    <t>TAPA ESTANQUE BENCINA AN-125 [PZ]</t>
  </si>
  <si>
    <t>TAPA ESTANQUE BENCINA ATV [PZ]</t>
  </si>
  <si>
    <t>TAPA ESTANQUE BENCINA ATV/ [PZ]</t>
  </si>
  <si>
    <t>TAPA ESTANQUE BENCINA AX-100/HJ-125 ''VINI'' [IM]</t>
  </si>
  <si>
    <t>TAPA ESTANQUE BENCINA CBF-150 INVICTA [PZ]</t>
  </si>
  <si>
    <t>TAPA ESTANQUE BENCINA CBT-250 [PZ]</t>
  </si>
  <si>
    <t>TAPA ESTANQUE BENCINA CG-125 [PZ]</t>
  </si>
  <si>
    <t>TAPA ESTANQUE BENCINA GIXXER-150 ''VINI'' [IM]</t>
  </si>
  <si>
    <t>TAPA ESTANQUE BENCINA GL-150 [PZ]</t>
  </si>
  <si>
    <t>TAPA ESTANQUE BENCINA GN-125H [PZ]</t>
  </si>
  <si>
    <t>TAPA ESTANQUE BENCINA GS-125 [PZ]</t>
  </si>
  <si>
    <t>TAPA ESTANQUE BENCINA GXT-200 [PZ]</t>
  </si>
  <si>
    <t>TAPA ESTANQUE BENCINA PIT BIKE [PZ]</t>
  </si>
  <si>
    <t>TAPA ESTANQUE BENCINA SCOOTER [PZ]</t>
  </si>
  <si>
    <t>TAPA ESTANQUE BENCINA SCOOTER/TIPO GY [PZ]</t>
  </si>
  <si>
    <t>TAPA ESTANQUE BENCINA UNIVERSAL [PZ]</t>
  </si>
  <si>
    <t>TAPA ESTANQUE BENCINA XR-250 TORNADO/CB1-125/CB-125F TWISTER/STORM-125/CBX-250 ''VINI'' [IM]</t>
  </si>
  <si>
    <t>TAPAS DE ESTANQUE</t>
  </si>
  <si>
    <t>TAPA ESTANQUE BENCINA XTZ-125 [PZ]</t>
  </si>
  <si>
    <t>TAPA ESTANQUE BENCINA YBR-125 [PZ]</t>
  </si>
  <si>
    <t>TAPA FILTRO DRENAJE ACEITE GN-125/GS-150/GXT-200/RKS-125/RKS-150 ''VINI'' [IM]</t>
  </si>
  <si>
    <t>TAPA LATERAL FOCO (DEL/IZQ) KA-150 [PZ]</t>
  </si>
  <si>
    <t>TAPA LATERAL IZQUIERDA KA-150 [PZ]</t>
  </si>
  <si>
    <t>TAPA LATERAL TRA/INF/DER VS-125 [PZ] NEGRO</t>
  </si>
  <si>
    <t>TAPA LATERAL TRA/SUP/DER VS-125 [PZ] NEGRO</t>
  </si>
  <si>
    <t>TAPA PARABRISAS KA-150 [PZ]</t>
  </si>
  <si>
    <t>TAPONES</t>
  </si>
  <si>
    <t>TAPA RADIADOR [PZ]</t>
  </si>
  <si>
    <t>TAPA SILENCIADOR FZ-16 (COLA) [PZ]</t>
  </si>
  <si>
    <t>TAPA TIRA CADENA KA-150 [PZ]</t>
  </si>
  <si>
    <t>TAPA TOMA DE AIRE FZN-150 2.0 [PZ]</t>
  </si>
  <si>
    <t>TAPA VALVULA NEUMATICO (AZUL) [PZ]</t>
  </si>
  <si>
    <t>TAPA VALVULA NEUMATICO (CROMADO) [PZ]</t>
  </si>
  <si>
    <t>TAPA VALVULA NEUMATICO (DORADO) [PZ]</t>
  </si>
  <si>
    <t>TAPA VALVULA NEUMATICO (NEGRO) [PZ]</t>
  </si>
  <si>
    <t>TAPA VALVULA NEUMATICO (ROJO) [PZ]</t>
  </si>
  <si>
    <t>TAPABARROS</t>
  </si>
  <si>
    <t>TAPABARRO DELANTERO CB-125 [PZ] AZUL</t>
  </si>
  <si>
    <t>TAPABARRO DELANTERO CB-125 [PZ] NEGRO</t>
  </si>
  <si>
    <t>TAPABARRO DELANTERO CBF125 TWISTER (ROJO) [PZ]</t>
  </si>
  <si>
    <t>TAPABARRO DELANTERO FZ-16 (2.0) [PZ] NEGRO</t>
  </si>
  <si>
    <t>TAPABARRO DELANTERO FZ-16 (2.0) [PZ] ROJO</t>
  </si>
  <si>
    <t>TAPABARRO DELANTERO FZ-16 [PZ] NEGRO</t>
  </si>
  <si>
    <t>TAPABARRO DELANTERO FZ-16 [PZ] ROJO</t>
  </si>
  <si>
    <t>TAPABARRO DELANTERO GL-150 ''NEGRO'' [PZ]</t>
  </si>
  <si>
    <t>TAPABARRO DELANTERO GN-125H [PZ] CROMADO</t>
  </si>
  <si>
    <t>TAPABARRO DELANTERO HONDA-NAVI [PZ]</t>
  </si>
  <si>
    <t>TAPABARRO DELANTERO INFERIOR XRE-300 [PZ]</t>
  </si>
  <si>
    <t>TAPABARRO DELANTERO KA-150 (NARANJO) [PZ]</t>
  </si>
  <si>
    <t>TAPABARRO DELANTERO KA-150 NEGRO [PZ]</t>
  </si>
  <si>
    <t>TAPABARRO DELANTERO NK-150 [PZ] BLANCO</t>
  </si>
  <si>
    <t>TAPABARRO DELANTERO NK-150 [PZ] NEGRO</t>
  </si>
  <si>
    <t>TAPABARRO DELANTERO PULSAR-160NS [PZ] GRIS</t>
  </si>
  <si>
    <t>TAPABARRO DELANTERO PULSAR-200NS [PZ]</t>
  </si>
  <si>
    <t>TAPABARRO DELANTERO SUPERIOR XRE-300 [PZ]</t>
  </si>
  <si>
    <t>TAPABARRO DELANTERO XL-125 [PZ] BLANCO</t>
  </si>
  <si>
    <t>TAPABARRO DELANTERO XR-150L [PZ] ROJO</t>
  </si>
  <si>
    <t>TAPABARRO DELANTERO XR-250 TORNADO [PZ] BLANCO</t>
  </si>
  <si>
    <t>TAPABARRO DELANTERO XR-250 TORNADO [PZ] ROJO</t>
  </si>
  <si>
    <t>TAPABARRO DELANTERO YBR-125 (AZUL) [PZ]</t>
  </si>
  <si>
    <t>TAPABARRO DELANTERO YBR-125 (NEGRO) [PZ]</t>
  </si>
  <si>
    <t>TAPABARRO DELANTERO YBR-125 (ROJO) [PZ]</t>
  </si>
  <si>
    <t>TAPABARRO TRASERO CHOPPER [PZ]</t>
  </si>
  <si>
    <t>TAPABARRO TRASERO FZ-25 [PZ]</t>
  </si>
  <si>
    <t>TAPABARRO TRASERO FZN-150 (2.0) [PZ]</t>
  </si>
  <si>
    <t>TAPABARRO TRASERO HONDA-NAVI [PZ]</t>
  </si>
  <si>
    <t>TAPABARRO TRASERO INTERIOR FZ-16 [PZ]</t>
  </si>
  <si>
    <t>TAPABARRO TRASERO INTERIOR FZ-25 [PZ]</t>
  </si>
  <si>
    <t>TAPABARRO TRASERO KA-150 [PZ]</t>
  </si>
  <si>
    <t>TAPABARRO TRASERO XR-150L [PZ]</t>
  </si>
  <si>
    <t>TAPABARRO TRASERO XR-250 TORNADO [PZ] BLANCO</t>
  </si>
  <si>
    <t>TAPABARRO TRASERO XR-250 TORNADO [PZ] NEGRO</t>
  </si>
  <si>
    <t>TAPABARRO TRASERO XR-250 TORNADO [PZ] ROJO</t>
  </si>
  <si>
    <t>TAPABARRO TRASERO XRE-300 [PZ]</t>
  </si>
  <si>
    <t>TAPABARRO TRASERO XTZ-125 [PZ] AZUL</t>
  </si>
  <si>
    <t>TAPAS CUBRE ESTANQUE. JGO. FZ-16 2.0 [PZ] ROJO</t>
  </si>
  <si>
    <t>TAPAS CUBRE ESTANQUE. JGO. FZ-16 [PZ] NEGRO</t>
  </si>
  <si>
    <t>TAPAS CUBRE ESTANQUE. JGO. FZ-16 [PZ] ROJO</t>
  </si>
  <si>
    <t>TAPAS CUBRE ESTANQUE. JGO. NK-150 [PZ] BLANCO</t>
  </si>
  <si>
    <t>TAPAS CUBRE ESTANQUE. JGO. XR-250 TORNADO [PZ] NEGRO</t>
  </si>
  <si>
    <t>TAPAS CUBRE ESTANQUE. JGO. XR-250 TORNADO [PZ] ROJO</t>
  </si>
  <si>
    <t>TAPAS CUBRE ESTANQUE. JGO. XRE-300 (INFERIORES) [PZ] NEGRO</t>
  </si>
  <si>
    <t>TAPAS CUBRE ESTANQUE. JGO. XRE-300 (SUPERIORES) [PZ] NEGRO</t>
  </si>
  <si>
    <t>TAPAS CUBRE ESTANQUE. JGO. XTZ-125 (BLANCO) [PZ]</t>
  </si>
  <si>
    <t>TAPAS CUBRE FILTRO JGO. XR-250 TORNADO [PZ] NEGRO</t>
  </si>
  <si>
    <t>TAPAS CUBRE FOCO DEL.. JGO. FZ-16 (AZUL) [PZ]</t>
  </si>
  <si>
    <t>TAPAS CUBRE FOCO DEL.. JGO. FZ-16 (GRIS) [PZ]</t>
  </si>
  <si>
    <t>TAPAS CUBRE FOCO DEL.. JGO. FZ-16 (ROJO) [PZ]</t>
  </si>
  <si>
    <t>TAPAS CUBRE FOCO DEL.. JGO. FZ-16 [PZ] AZUL</t>
  </si>
  <si>
    <t>TAPAS CUBRE FOCO DEL.. JGO. NEW-INVICTA (NEGRO) [PZ]</t>
  </si>
  <si>
    <t>TAPAS CUBRE FOCO DELANTERO. JGO. CB-190R (LATERALES) BLANCO/ROJO</t>
  </si>
  <si>
    <t>TAPAS LATERALES CENTRALES. JGO. FZ-16 (NEGRO) [PZ]</t>
  </si>
  <si>
    <t>TAPAS LATERALES CENTRALES. JGO. FZ-16 (ROJO) [PZ]</t>
  </si>
  <si>
    <t>TAPAS LATERALES CENTRALES. JGO. FZ-16 [PZ] ROJO</t>
  </si>
  <si>
    <t>TAPAS LATERALES CENTRALES. JGO. NK-150 [PZ] BLANCO</t>
  </si>
  <si>
    <t>TAPAS LATERALES COLA. JGO. NK-150 [PZ] BLANCO</t>
  </si>
  <si>
    <t>TAPAS LATERALES COLA. JGO. NK-150 [PZ] NEGRO</t>
  </si>
  <si>
    <t>TAPAS LATERALES TRASERAS. JGO. FZ-16 (NEGRO) [PZ]</t>
  </si>
  <si>
    <t>TAPAS LATERALES TRASERAS. JGO. FZ-16 (ROJO) [PZ]</t>
  </si>
  <si>
    <t>TAPAS LATERALES TRASERAS. JGO. FZ-16 [PZ] NEGRO</t>
  </si>
  <si>
    <t>TAPAS LATERALES TRASERAS. JGO. FZ-16 [PZ] ROJO</t>
  </si>
  <si>
    <t>TAPAS LATERALES TRASERAS. JGO. NK-150 [PZ] BLANCO</t>
  </si>
  <si>
    <t>TAPAS LATERALES TRASERAS. JGO. XRE-300 [PZ] NEGRO</t>
  </si>
  <si>
    <t>TAPAS LATERALES TRASERAS. JGO. XRE-300 [PZ] ROJO</t>
  </si>
  <si>
    <t>TAPAS LATERALES. JGO. GN-125H [PZ] NEGRO</t>
  </si>
  <si>
    <t>TAPAS LATERALES. JGO. GN-125H [PZ] ROJO</t>
  </si>
  <si>
    <t>TAPAS LATERALES. JGO. HONDA-NAVI [PZ]</t>
  </si>
  <si>
    <t>TAPAS LATERALES. JGO. NK-150 [PZ]</t>
  </si>
  <si>
    <t>TAPAS LATERALES. JGO. STORM-125 [PZ]</t>
  </si>
  <si>
    <t>TAPAS LATERALES. JGO. TRASERAS SUP. STORM-125 [PZ]</t>
  </si>
  <si>
    <t>TAPAS LATERALES. JGO. XR-190 (NEGRO) [PZ]</t>
  </si>
  <si>
    <t>TAPAS LATERALES. JGO. XR-250 TORNADO (NEGRO) [PZ] BLANCO</t>
  </si>
  <si>
    <t>TAPAS LATERALES. JGO. XR-250 TORNADO (NEGRO) [PZ] NEGRO</t>
  </si>
  <si>
    <t>TAPAS LATERALES. JGO. YBR-125 (NEGRO) [PZ]</t>
  </si>
  <si>
    <t>TAPON ACEITE SPEED 125 [PZ]</t>
  </si>
  <si>
    <t>TAPON CARTER SUZUKI ''14MM'' [PZ]</t>
  </si>
  <si>
    <t>TAPON NIVEL ACEITE SCOOTER-125/150 [PZ]</t>
  </si>
  <si>
    <t>TAPON NIVEL ACEITE SPEED-125 CLASIC [PZ]</t>
  </si>
  <si>
    <t>TAPON REGULACION VALVULAS CG-125 [PZ]</t>
  </si>
  <si>
    <t>TAPON VOLANTE MAGNETICO SUPERIOR [PZ]</t>
  </si>
  <si>
    <t>TAPON VOLANTE MAGNETO ''GXT-200'' ''25MM'' [PZ]</t>
  </si>
  <si>
    <t>TAPONES TAPA VOLANTE. JGO. [PZ]</t>
  </si>
  <si>
    <t>TENSORES</t>
  </si>
  <si>
    <t>TENSOR AUTOMATICO CBF-150 INVICTA/CB-190/XR-150/NK-150 ''VINI'' [IM]</t>
  </si>
  <si>
    <t>TENSOR AUTOMATICO CG-150T/JOB/INVICTA [PZ]</t>
  </si>
  <si>
    <t>TENSOR AUTOMATICO FZ-16/FZN-150 (2.0) ''VINI'' [IM]</t>
  </si>
  <si>
    <t>TENSOR AUTOMATICO FZ-16/FZN-150 (2.0) [PZ]</t>
  </si>
  <si>
    <t>TENSOR AUTOMATICO GIXXER-150 [PZ]</t>
  </si>
  <si>
    <t>TENSOR AUTOMATICO GS-125 ''VINI'' [IM]</t>
  </si>
  <si>
    <t>TENSOR AUTOMATICO GXT-200/DR-200 [PZ]</t>
  </si>
  <si>
    <t>TENSOR AUTOMATICO GXT-200/GN-125/EN-125 ''VINI'' [IM]</t>
  </si>
  <si>
    <t>TENSOR AUTOMATICO GXT-200/GN-125/EN-125 [PZ]</t>
  </si>
  <si>
    <t>TENSOR AUTOMATICO PULSAR-135 [PZ]</t>
  </si>
  <si>
    <t>TENSOR AUTOMATICO PULSAR-180 [PZ]</t>
  </si>
  <si>
    <t>TENSOR AUTOMATICO PULSAR-200NS ''VINI'' [IM]</t>
  </si>
  <si>
    <t>TENSOR AUTOMATICO SCOOTER 125/150 [PZ]</t>
  </si>
  <si>
    <t>TENSOR AUTOMATICO SCOOTER-125 GY6 ''VINI'' [IM]</t>
  </si>
  <si>
    <t>TENSOR AUTOMATICO XR-250 TORNADO/CBR-250/CBX-250 [PZ]</t>
  </si>
  <si>
    <t>TENSOR AUTOMATICO XR-400R/NX-400 FALCON [PZ]</t>
  </si>
  <si>
    <t>TENSOR AUTOMATICO YBR-125 [PZ]</t>
  </si>
  <si>
    <t>TENSOR AUTOMATICO YBR-125/XTZ-125 ''VINI'' [IM]</t>
  </si>
  <si>
    <t>TENSOR AUTOMATICO YW-125 BWS ''VINI'' [IM]</t>
  </si>
  <si>
    <t>TENSOR CADENA DIST. CBF-125/CBF-150 INVICTA [PZ]</t>
  </si>
  <si>
    <t>TENSOR CADENA DIST. DR-200/GXT-200/GN-125 [PZ]</t>
  </si>
  <si>
    <t>TENSOR CADENA DIST. FZ-16 [PZ]</t>
  </si>
  <si>
    <t>TENSOR CADENA DIST. GL-150 [PZ]</t>
  </si>
  <si>
    <t>TENSOR CADENA DIST. GN-125H/EN-125/GXT-200 [PZ]</t>
  </si>
  <si>
    <t>TENSOR CADENA DIST. XL-185/XR-200 [PZ]</t>
  </si>
  <si>
    <t>TENSOR CADENA DIST. XL/XR-200 BRASIL [PZ]</t>
  </si>
  <si>
    <t>TENSOR CADENA DIST. YBR-125 [PZ]</t>
  </si>
  <si>
    <t>TENSOR CADENA TRANSMISION UNIVERSAL [PZ]</t>
  </si>
  <si>
    <t>TENSOR MANUBRIO (COLORES) [PZ]</t>
  </si>
  <si>
    <t>TERMINAL DIRECCION 10X1.5MM [PZ]</t>
  </si>
  <si>
    <t>TERMINAL DIRECCION 12X1.5MM [PZ]</t>
  </si>
  <si>
    <t>TERMINAL DIRECCION ATV [PZ]</t>
  </si>
  <si>
    <t>VEHÍCULO</t>
  </si>
  <si>
    <t>TIPO DE VEHÍCULO: CAMIONETA</t>
  </si>
  <si>
    <t>INSCRIPCIÓN: HCDJ.74-6</t>
  </si>
  <si>
    <t>MARCA: KIA MOTORS</t>
  </si>
  <si>
    <t>AÑO: 2015</t>
  </si>
  <si>
    <t>MODELO: FRONTIER 2.5</t>
  </si>
  <si>
    <t>N° MOTOR: D4CBF669740</t>
  </si>
  <si>
    <t>N° CHASIS: KNCSJX76AF7948233</t>
  </si>
  <si>
    <t>COLOR: BLANCO INVIERNO</t>
  </si>
  <si>
    <t>COMBUSTIBLE: DIESEL</t>
  </si>
  <si>
    <t>PBV: 3.240 KILOS</t>
  </si>
  <si>
    <t>TIRA CADENAS</t>
  </si>
  <si>
    <t>TIRA CADENA CBT-250 [PZ]</t>
  </si>
  <si>
    <t>TIRA CADENA FZ-16 [OF]</t>
  </si>
  <si>
    <t>TIRA CADENA GL-150 [PZ]</t>
  </si>
  <si>
    <t>TIRA CADENA JGO. GN-125/GS-125 [PZ]</t>
  </si>
  <si>
    <t>TIRA CADENA KA/EH-150 [PZ]</t>
  </si>
  <si>
    <t>TIRA CADENA XR-150L/XR-190L [PZ]</t>
  </si>
  <si>
    <t>TIRA CADENA. JGO. CB1-125 [PZ]</t>
  </si>
  <si>
    <t>TIRA CADENA. JGO. CG-125 (CHICO) [PZ]</t>
  </si>
  <si>
    <t>TIRA CADENA. JGO. CG-125 (GRANDE) [PZ]</t>
  </si>
  <si>
    <t>TIRA CADENA. JGO. CG-125 [PZ]</t>
  </si>
  <si>
    <t>TIRA CADENA. JGO. DSR-200 [PZ]</t>
  </si>
  <si>
    <t>TIRA CADENA. JGO. DY-100 / EXPRESS-100 [PZ]</t>
  </si>
  <si>
    <t>TIRA CADENA. JGO. FZ-16/FZN-150 (2.0) [PZ]</t>
  </si>
  <si>
    <t>TIRA CADENA. JGO. GIXXER-150 [PZ]</t>
  </si>
  <si>
    <t>TIRA CADENA. JGO. GXT-200 [PZ]</t>
  </si>
  <si>
    <t>TIRA CADENA. JGO. TX-200 [PZ]</t>
  </si>
  <si>
    <t>TIRA CADENA. JGO. WY [PZ]</t>
  </si>
  <si>
    <t>TIRA CADENA. JGO. WY-125 [PZ]</t>
  </si>
  <si>
    <t>TIRADOR HIDRAULICO EMBRAGUE (AZUL) [PZ]</t>
  </si>
  <si>
    <t>TIRADOR POCKET (C/PIÑON METALICO) [PZ]</t>
  </si>
  <si>
    <t>TIRADOR POCKET (C/PIÑON PASTICO) [PZ]</t>
  </si>
  <si>
    <t>TIRANTES MOTOS. JGO. (NARANJO) [PZ]</t>
  </si>
  <si>
    <t>TIRANTES MOTOS. JGO. (NEGRO) [PZ]</t>
  </si>
  <si>
    <t>TIRANTES MOTOS. JGO. UNIVERSAL [PZ]</t>
  </si>
  <si>
    <t>TOMAS DE AIRE</t>
  </si>
  <si>
    <t>TOMAS AIRE JGO. NEW-INVICTA (ROJO) [PZ]</t>
  </si>
  <si>
    <t>TOMAS AIRE. JGO. FZ-16 [PZ] AZUL</t>
  </si>
  <si>
    <t>TOMAS AIRE. JGO. FZ-16 [PZ] NEGRO</t>
  </si>
  <si>
    <t>TOMAS AIRE. JGO. FZ-16 [PZ] ROJO</t>
  </si>
  <si>
    <t>TOMAS AIRE. JGO. FZN-150 (2.0) (ROJO) [PZ]</t>
  </si>
  <si>
    <t>TOPE FUNDA CABLE METÁLICO 2MM [PZ]</t>
  </si>
  <si>
    <t>TOPE FUNDA CABLE PLÁSTICO 4MM [PZ]</t>
  </si>
  <si>
    <t>TOPES CAIDA. JGO. UNIVERSAL (AMARILLO) [PZ]</t>
  </si>
  <si>
    <t>TOPES CAIDA. JGO. UNIVERSAL (AZUL) [PZ]</t>
  </si>
  <si>
    <t>TOPES CAIDA. JGO. UNIVERSAL (AZUL) [PZ] AZUL</t>
  </si>
  <si>
    <t>TOPES CAIDA. JGO. UNIVERSAL (BLANCO) [PZ]</t>
  </si>
  <si>
    <t>TOPES CAIDA. JGO. UNIVERSAL (NARANJA) [PZ]</t>
  </si>
  <si>
    <t>TOPES CAIDA. JGO. UNIVERSAL (NEGRO) [PZ]</t>
  </si>
  <si>
    <t>TOPES CAIDA. JGO. UNIVERSAL (NEGRO) [PZ] NEGRO</t>
  </si>
  <si>
    <t>TOPES CAIDA. JGO. UNIVERSAL PARA EJE DE RUEDA [PZ] AZUL</t>
  </si>
  <si>
    <t>TOPES CAIDA. JGO. UNIVERSAL PARA EJE DE RUEDA [PZ] DORADO</t>
  </si>
  <si>
    <t>TOPES CAIDA. JGO. UNIVERSAL PARA EJE DE RUEDA [PZ] MORADO</t>
  </si>
  <si>
    <t>TOPES CAIDA. JGO. UNIVERSAL PARA EJE DE RUEDA [PZ] NEGRO</t>
  </si>
  <si>
    <t>TOPES CAIDA. JGO. UNIVERSAL PARA EJE DE RUEDA [PZ] PLATEADO</t>
  </si>
  <si>
    <t>TOPES CAIDA. JGO. UNIVERSAL PARA EJE DE RUEDA [PZ] ROJO</t>
  </si>
  <si>
    <t>TOPES CAIDA. JGO. UNIVERSAL RIZOMA [PZ] NEGRO</t>
  </si>
  <si>
    <t>TORNILLO CARENADO UNIDAD [PZ] NEGRO</t>
  </si>
  <si>
    <t>TORNILLO Y SEGURO [PZ]</t>
  </si>
  <si>
    <t>TORRE DIRECCION EXPRESS-100 [PZ]</t>
  </si>
  <si>
    <t>TORRE DIRECCION KINLON [PZ]</t>
  </si>
  <si>
    <t>TORRE DIRECCION YBR-125 [PZ]</t>
  </si>
  <si>
    <t>TR-150S MOTOCICLETA: NUEVA</t>
  </si>
  <si>
    <t>MODELO: TR-150S</t>
  </si>
  <si>
    <t>Nº DE CHASIS: LC6PCKAH0N0000864</t>
  </si>
  <si>
    <t>Nº DE MOTOR: 157FMJY1M02223</t>
  </si>
  <si>
    <t>TRAJE AGUA TALLA (L) AZUL [PZ]</t>
  </si>
  <si>
    <t>TRAJE AGUA TALLA (XL) JARDINERA NARANJO [PZ]</t>
  </si>
  <si>
    <t>TRAJE AGUA TALLA (XL) [PZ]</t>
  </si>
  <si>
    <t>TRAJE AGUA TALLA (XXL) [PZ]</t>
  </si>
  <si>
    <t>TUBO ACELERADOR (DOBLE) (1/4 VUELTA) UNIVERSAL [PZ]</t>
  </si>
  <si>
    <t>TUBO ACELERADOR 1/4 VUELTA (AZUL) ''VINI'' [OF]</t>
  </si>
  <si>
    <t>TUBO ACELERADOR 1/4 VUELTA (AZUL) [PZ]</t>
  </si>
  <si>
    <t>TUBO ACELERADOR 1/4 VUELTA (DORADO) [PZ]</t>
  </si>
  <si>
    <t>TUBO ACELERADOR 1/4 VUELTA (GRIS) ''VINI'' [OF]</t>
  </si>
  <si>
    <t>TUBO ACELERADOR 1/4 VUELTA (NARANJO) [PZ]</t>
  </si>
  <si>
    <t>TUBO ACELERADOR 1/4 VUELTA (NEGRO) ''VINI'' [OF]</t>
  </si>
  <si>
    <t>TUBO ACELERADOR 1/4 VUELTA (ROJO) ''VINI'' [OF]</t>
  </si>
  <si>
    <t>TUBO ACELERADOR 1/4 VUELTA (ROJO) [PZ]</t>
  </si>
  <si>
    <t>TUBO ACELERADOR 1/4 VUELTA [PZ]</t>
  </si>
  <si>
    <t>TUBO ACELERADOR UNIVERSAL (DOBLE) [PZ]</t>
  </si>
  <si>
    <t>TUERCA CIGUEÑAL SCOOTER 21MM [PZ]</t>
  </si>
  <si>
    <t>TUERCA EJE TRASERO 12MM C/SEGURO [PZ]</t>
  </si>
  <si>
    <t>VALVULAS</t>
  </si>
  <si>
    <t>VALVULA ADMISION BICIMOTO (ST-50) [PZ]</t>
  </si>
  <si>
    <t>VALVULA ADMISION BWS-125 [PZ]</t>
  </si>
  <si>
    <t>VÁLVULAS</t>
  </si>
  <si>
    <t>VALVULA ADMISION CB-190R [PZ]</t>
  </si>
  <si>
    <t>VALVULA ADMISION CBF-125/NEW-STORM [PZ]</t>
  </si>
  <si>
    <t>VALVULA ADMISION CG-125/JL125 [PZ]</t>
  </si>
  <si>
    <t>VALVULA ADMISION CRYPTON/YD-110 CRUX [PZ]</t>
  </si>
  <si>
    <t>VALVULA ADMISION FZ-16 CRYSTAL HJ125T-11A [PZ]</t>
  </si>
  <si>
    <t>VALVULA ADMISION GN-125 [PZ]</t>
  </si>
  <si>
    <t>VALVULA ADMISION GN-125H [PZ]</t>
  </si>
  <si>
    <t>VALVULA ADMISION GZ-150 [PZ]</t>
  </si>
  <si>
    <t>VALVULA ADMISION JL-110/AKT-110 [PZ]</t>
  </si>
  <si>
    <t>VALVULA ADMISION JL110/AKT-110 [PZ]</t>
  </si>
  <si>
    <t>VALVULA ADMISION JL125 [PZ]</t>
  </si>
  <si>
    <t>VALVULA ADMISION NK-150 [PZ]</t>
  </si>
  <si>
    <t>VALVULA ADMISION PULSAR-135 [PZ]</t>
  </si>
  <si>
    <t>VALVULA ADMISION PULSAR-180 [PZ]</t>
  </si>
  <si>
    <t>VALVULA ADMISION PULSAR-200NS [PZ]</t>
  </si>
  <si>
    <t>VALVULA ADMISION XL-125/185 [PZ]</t>
  </si>
  <si>
    <t>VALVULA ADMISION XR-125L [PZ]</t>
  </si>
  <si>
    <t>VALVULA ADMISION XR-200 (BRASIL) [PZ]</t>
  </si>
  <si>
    <t>VALVULA ADMISION XR-250 TORNADO [PZ]</t>
  </si>
  <si>
    <t>VALVULA ADMISION YZF-R15 [PZ]</t>
  </si>
  <si>
    <t>VALVULA ESCAPE BICIMOTO (ST-50) [PZ]</t>
  </si>
  <si>
    <t>VALVULA ESCAPE C-90 [PZ]</t>
  </si>
  <si>
    <t>VALVULA ESCAPE CB-190R [PZ]</t>
  </si>
  <si>
    <t>VALVULA ESCAPE CBF-125/NEW-STORM [PZ]</t>
  </si>
  <si>
    <t>VALVULA ESCAPE CG-150/JL-150 [PZ]</t>
  </si>
  <si>
    <t>VALVULA ESCAPE CG-150T/JOB/INVICTA [PZ]</t>
  </si>
  <si>
    <t>VALVULA ESCAPE GN-125 [PZ]</t>
  </si>
  <si>
    <t>VALVULA ESCAPE JL125/CG-125 [PZ]</t>
  </si>
  <si>
    <t>VALVULA ESCAPE KA-150 [PZ]</t>
  </si>
  <si>
    <t>VALVULA ESCAPE PULSAR-135 [PZ]</t>
  </si>
  <si>
    <t>VALVULA ESCAPE PULSAR-180 [PZ]</t>
  </si>
  <si>
    <t>VALVULA ESCAPE PULSAR-200NS [PZ]</t>
  </si>
  <si>
    <t>VALVULA ESCAPE SCOOTER-125 [PZ]</t>
  </si>
  <si>
    <t>VALVULA ESCAPE STORM-125 [PZ]</t>
  </si>
  <si>
    <t>VALVULA ESCAPE XL-125/185 [PZ]</t>
  </si>
  <si>
    <t>VALVULA ESCAPE XR-125L [PZ]</t>
  </si>
  <si>
    <t>VALVULA ESCAPE XR-200 (BRASIL) [PZ]</t>
  </si>
  <si>
    <t>VALVULA ESCAPE XR-250 TORNADO [PZ]</t>
  </si>
  <si>
    <t>VALVULA ESCAPE XR-250R (86/95) NEGRA [PZ]</t>
  </si>
  <si>
    <t>VALVULA ESCAPE XR-250R (86/95) [PZ]</t>
  </si>
  <si>
    <t>VALVULA ESCAPE YBR-125/XTZ-125 [PZ]</t>
  </si>
  <si>
    <t>VALVULA ESCAPE YD 110 CRUX [PZ]</t>
  </si>
  <si>
    <t>VALVULA ESCAPE YW-125 BWS [PZ]</t>
  </si>
  <si>
    <t>VALVULA ESCAPE YZF-R15 [PZ]</t>
  </si>
  <si>
    <t>VALVULA PARA TUBULAR [PZ]</t>
  </si>
  <si>
    <t>VALVULA PARA TUBULAR [PZ] CURVA</t>
  </si>
  <si>
    <t>VALVULA PARA TUBULAR [PZ] RECTA</t>
  </si>
  <si>
    <t>VALVULA TUBULAR CURVA [PZ]</t>
  </si>
  <si>
    <t>VALVULAS. JGO. AN-125 [PZ]</t>
  </si>
  <si>
    <t>VALVULAS. JGO. CB-190R/XR-190L [PZ]</t>
  </si>
  <si>
    <t>VALVULAS. JGO. CB-250 ''5MM'' [PZ]</t>
  </si>
  <si>
    <t>VALVULAS. JGO. CB-250/QM-200 ''5.5MM'' [PZ]</t>
  </si>
  <si>
    <t>VALVULAS. JGO. CB1-125 [PZ]</t>
  </si>
  <si>
    <t>VALVULAS. JGO. CBF-150 INVICTA/XR-150/NK-150 ''VINI'' [IM]</t>
  </si>
  <si>
    <t>VALVULAS. JGO. CD-100 ''VINI'' [IM]</t>
  </si>
  <si>
    <t>VALVULAS. JGO. CG-125 ''VINI'' [IM]</t>
  </si>
  <si>
    <t>VALVULAS. JGO. CG-125 [PZ]</t>
  </si>
  <si>
    <t>VALVULAS. JGO. CG-150 ''VINI'' [IM]</t>
  </si>
  <si>
    <t>VALVULAS. JGO. CG-150 [PZ]</t>
  </si>
  <si>
    <t>VALVULAS. JGO. CG-200 ''VINI'' [IM]</t>
  </si>
  <si>
    <t>VALVULAS. JGO. CG-250 ''VINI'' [IM]</t>
  </si>
  <si>
    <t>VALVULAS. JGO. CG-250 [PZ]</t>
  </si>
  <si>
    <t>VALVULAS. JGO. EN-125/GN-125H/RKS-150 ''VINI'' [IM]</t>
  </si>
  <si>
    <t>VALVULAS. JGO. FZ-16 2.0 [PZ]</t>
  </si>
  <si>
    <t>VALVULAS. JGO. FZ-16 [PZ]</t>
  </si>
  <si>
    <t>VALVULAS. JGO. GIXXER-150 [PZ] 23mm/29mm 5mm/5mm 85.5mm/86.5mm</t>
  </si>
  <si>
    <t>VALVULAS. JGO. GN-125/EN-125 ''ANTIGUA 5.5MM'' [PZ]</t>
  </si>
  <si>
    <t>VALVULAS. JGO. GN-125/EN-125 [PZ]</t>
  </si>
  <si>
    <t>VALVULAS. JGO. GXT-200 [PZ]</t>
  </si>
  <si>
    <t>VALVULAS. JGO. GY-80 [PZ]</t>
  </si>
  <si>
    <t>VALVULAS. JGO. JL-250A/CA-250 (REBEL-250) [PZ]</t>
  </si>
  <si>
    <t>VALVULAS. JGO. JL110 [PZ]</t>
  </si>
  <si>
    <t>VALVULAS. JGO. PULSAR-180 [PZ]</t>
  </si>
  <si>
    <t>VALVULAS. JGO. RE-250 [PZ]</t>
  </si>
  <si>
    <t>VALVULAS. JGO. RENEGADE-200 [PZ]</t>
  </si>
  <si>
    <t>VALVULAS. JGO. SCOOTER-125 [PZ]</t>
  </si>
  <si>
    <t>VALVULAS. JGO. SCOOTER-125/150 ''VINI'' [IM]</t>
  </si>
  <si>
    <t>VALVULAS. JGO. SCOOTER-125/150 [PZ]</t>
  </si>
  <si>
    <t>VALVULAS. JGO. XR-200/CTX-200 ''VINI'' [IM]</t>
  </si>
  <si>
    <t>VALVULAS. JGO. XR-250 TORNADO ''VINI'' [IM]</t>
  </si>
  <si>
    <t>VALVULAS. JGO. YBR-125 ''VINI'' [IM]</t>
  </si>
  <si>
    <t>VALVULAS. JGO. YBR-125 [PZ]</t>
  </si>
  <si>
    <t>VARIADORES</t>
  </si>
  <si>
    <t>VARIADOR COMPLETO AN-125 [PZ]</t>
  </si>
  <si>
    <t>VARIADOR COMPLETO ELITE-125 FI [PZ]</t>
  </si>
  <si>
    <t>VARIADOR COMPLETO SCOOTER 125/150 ''VINI'' [IM]</t>
  </si>
  <si>
    <t>VARIADOR COMPLETO SCOOTER 125/150 [PZ]</t>
  </si>
  <si>
    <t>VARIADOR COMPLETO SCOOTER-125 GY6 ''VINI'' [IM]</t>
  </si>
  <si>
    <t>VARIADOR COMPLETO YW-100 BWS ''VINI'' [IM]</t>
  </si>
  <si>
    <t>VARIADOR COMPLETO YW-100 BWS [PZ]</t>
  </si>
  <si>
    <t>VARIADOR COMPLETO YW-125 BWS ''VINI'' [IM]</t>
  </si>
  <si>
    <t>VARIADOR COMPLETO YW-125 BWS [PZ]</t>
  </si>
  <si>
    <t>VARILLAS ALZA VÁLVULAS</t>
  </si>
  <si>
    <t>VARILLA ALZA VALVULA AKT AK-125 [PZ]</t>
  </si>
  <si>
    <t>VARILLAS DE FRENO</t>
  </si>
  <si>
    <t>VARILLA FRENO CG-125 [PZ]</t>
  </si>
  <si>
    <t>VARILLA FRENO GN-125 [PZ]</t>
  </si>
  <si>
    <t>VARILLA FRENO MOTO CHINA [PZ]</t>
  </si>
  <si>
    <t>VARILLAS ALZA VALVULA. JGO. CG-125 ''VINI'' [IM]</t>
  </si>
  <si>
    <t>VARILLAS ALZA VALVULA. JGO. CG-125 [PZ]</t>
  </si>
  <si>
    <t>VARILLAS ALZA VALVULA. JGO. CG-150 [PZ]</t>
  </si>
  <si>
    <t>VARILLAS ALZA VALVULA. JGO. CG-200 ''VINI'' [IM]</t>
  </si>
  <si>
    <t>VARILLAS ALZA VALVULA. JGO. CG-200 [PZ]</t>
  </si>
  <si>
    <t>TAPA</t>
  </si>
  <si>
    <t>VISERA FOCO DELANTERO CB-190 [PZ]</t>
  </si>
  <si>
    <t>VISERA FOCO DELANTERO GIXXER-150 [PZ]</t>
  </si>
  <si>
    <t>VISERA FOCO DELANTERO YBR-125 Z C/MICA [PZ]</t>
  </si>
  <si>
    <t>VISERA FOCO DELANTERO YBR-125 Z [PZ]</t>
  </si>
  <si>
    <t>VOLANTE MAGNETICO XV-250 [PZ]</t>
  </si>
  <si>
    <t>VS-125 MOTOCICLETA: NUEVA</t>
  </si>
  <si>
    <t>MODELO: VS-125</t>
  </si>
  <si>
    <t>COLOR: AZUL</t>
  </si>
  <si>
    <t>Nº DE CHASIS: LC6TCJ904N0001443</t>
  </si>
  <si>
    <t>Nº DE MOTOR: 1P53QMIF2Y05538</t>
  </si>
  <si>
    <t>Nº DE CHASIS: LC6TCJ908N0001445</t>
  </si>
  <si>
    <t>Nº DE MOTOR: 1P53QMIF2Y05536</t>
  </si>
  <si>
    <t>SOBREXISTENCIA</t>
  </si>
  <si>
    <t>CASCO INTEGRAL LS2 FF352 [OF] MEIN NEGRO/ROJO MATTE (TALLA: L) [OF]</t>
  </si>
  <si>
    <t>Nº DE CHASIS: LC6PCKBE5N0003537</t>
  </si>
  <si>
    <t>Nº DE MOTOR: 157FMJY1N03837</t>
  </si>
  <si>
    <t>COLOR: BLANCO</t>
  </si>
  <si>
    <t>Nº DE CHASIS: LC6JCK4P0N0020234</t>
  </si>
  <si>
    <t>Nº DE MOTOR: 157FMJ3G2S08118</t>
  </si>
  <si>
    <t>Nº DE CHASIS: LC6JCK4P9N0020412</t>
  </si>
  <si>
    <t>Nº DE MOTOR: 157FMJ3G2S08305</t>
  </si>
  <si>
    <t>Nº DE CHASIS: LD3PCK4J7N2000718</t>
  </si>
  <si>
    <t>Nº DE MOTOR: KD162FMJ22409015</t>
  </si>
  <si>
    <t>Nº DE CHASIS: LD3PCK4J6N2000760</t>
  </si>
  <si>
    <t>Nº DE MOTOR: KD162FMJ22408841</t>
  </si>
  <si>
    <t>CHACABUCO 234</t>
  </si>
  <si>
    <t>NEUMATICO ATV (10) ''WANDA'' P306A [PZ]</t>
  </si>
  <si>
    <t>NEUMATICO ATV (10) ''WANDA'' P311 [PZ]</t>
  </si>
  <si>
    <t>NEUMATICO ATV (10) ''WANDA'' P348 [PZ]</t>
  </si>
  <si>
    <t>NEUMATICO ATV (10) ''WANDA'' P356 [PZ]</t>
  </si>
  <si>
    <t>NEUMATICO ATV (10) ''WANDA'' P357 [PZ]</t>
  </si>
  <si>
    <t>NEUMATICO ATV (11) ''WANDA'' P306 [PZ]</t>
  </si>
  <si>
    <t>NEUMATICO ATV (11) ''WANDA'' P375 [PZ]</t>
  </si>
  <si>
    <t>NEUMATICO ATV (12) ''WANDA'' P306 [PZ]</t>
  </si>
  <si>
    <t>NEUMATICO ATV (6) ''WANDA'' P319 [PZ]</t>
  </si>
  <si>
    <t>NEUMATICO ATV (7) ''WANDA'' P319 [PZ]</t>
  </si>
  <si>
    <t>NEUMATICO ATV (8) ''WANDA'' P311 [PZ]</t>
  </si>
  <si>
    <t>NEUMATICO ATV (8) ''WANDA'' P316 [PZ]</t>
  </si>
  <si>
    <t>NEUMATICO ATV (8) ''WANDA'' P322 [PZ]</t>
  </si>
  <si>
    <t>NEUMATICO ATV (9) ''WANDA'' P347 [PZ]</t>
  </si>
  <si>
    <t>NEUMATICO ATV (9) ''WANDA'' P357 [PZ]</t>
  </si>
  <si>
    <t>NEUMATICO CALLE (13) ''WANDA'' P297 SCOOTER [PZ]</t>
  </si>
  <si>
    <t>NEUMATICO CALLE (15) ''WANDA'' P265 [PZ]</t>
  </si>
  <si>
    <t>NEUMATICO CALLE (16) ''WANDA'' P265 [PZ]</t>
  </si>
  <si>
    <t>NEUMATICO CALLE (17) ''IRC'' S99 [PZ]</t>
  </si>
  <si>
    <t>NEUMATICO CALLE (17) ''PNEUS-TECHNIC'' STROKER CITY [PZ]</t>
  </si>
  <si>
    <t>NEUMATICO CALLE (17) ''PNEUS-TECHNIC'' STROKER [PZ]</t>
  </si>
  <si>
    <t>NEUMATICO CALLE (17) ''WANDA'' SR30F [PZ]</t>
  </si>
  <si>
    <t>NEUMATICO CALLE (18) ''WANDA'' P227 [PZ]</t>
  </si>
  <si>
    <t>NEUMATICO CALLE (18) ''WANDA'' P253 [PZ]</t>
  </si>
  <si>
    <t>NEUMATICO CALLE (18) ''WANDA'' P6011 [PZ]</t>
  </si>
  <si>
    <t>NEUMATICO CALLE (18) ''WANDA'' P6012 [PZ]</t>
  </si>
  <si>
    <t>NEUMATICO CROSS (14) ''IRC'' IX-05H [PZ]</t>
  </si>
  <si>
    <t>NEUMATICO CROSS (16) ''IRC'' IX-05H [PZ]</t>
  </si>
  <si>
    <t>NEUMATICO CROSS (17) ''IRC'' IX-05H [PZ]</t>
  </si>
  <si>
    <t>NEUMATICO CROSS (17) ''IRC'' VE33 [PZ]</t>
  </si>
  <si>
    <t>NEUMATICO CROSS (18) ''IRC'' VE33 [PZ]</t>
  </si>
  <si>
    <t>NEUMATICO CROSS (18) ''PNEUS-TECHNIC'' CROSS [PZ]</t>
  </si>
  <si>
    <t>NEUMATICO CROSS (18) ''WANDA'' P2001 AGX-63 [PZ]</t>
  </si>
  <si>
    <t>NEUMATICO CROSS (18) ''WANDA'' P2002 MTX-78 [PZ]</t>
  </si>
  <si>
    <t>NEUMATICO CROSS (18) ''WANDA'' P2006 [PZ]</t>
  </si>
  <si>
    <t>NEUMATICO CROSS (19) ''IRC'' IX-05H [PZ]</t>
  </si>
  <si>
    <t>NEUMATICO CROSS (19) ''IRC'' M62 [PZ]</t>
  </si>
  <si>
    <t>NEUMATICO CROSS (19) ''IRC'' VE33 [PZ]</t>
  </si>
  <si>
    <t>NEUMATICO CROSS (19) ''PNEUS-TECHNIC'' CROSS [PZ]</t>
  </si>
  <si>
    <t>NEUMATICO CROSS (19) ''WANDA'' P2002 MTX-78 [PZ]</t>
  </si>
  <si>
    <t>NEUMATICO CROSS (19) ''WANDA'' P2006 MTX-80 [PZ]</t>
  </si>
  <si>
    <t>NEUMATICO CROSS (19) ''WANDA'' P2006 [PZ]</t>
  </si>
  <si>
    <t>NEUMATICO CROSS (21) ''IRC'' VE35 [PZ]</t>
  </si>
  <si>
    <t>NEUMATICO CROSS (21) ''PNEUS-TECHNIC'' CROSS [PZ]</t>
  </si>
  <si>
    <t>NEUMATICO CROSS (21) ''WANDA'' P2007 MTX-77 [PZ]</t>
  </si>
  <si>
    <t>NEUMATICO CROSS (21) ''WANDA'' P262 MTX-73 [PZ]</t>
  </si>
  <si>
    <t>NEUMATICO DUAL SPORT (18) ''PNEUS-TECHNIC'' ENDURANCE DUAL [PZ]</t>
  </si>
  <si>
    <t>NEUMATICO DUAL SPORT (19) ''PNEUS-TECHNIC'' STROKER TRIAL [PZ]</t>
  </si>
  <si>
    <t>NEUMATICO DUAL SPORT (21) ''PNEUS-TECHNIC'' STROKER TRIAL [PZ]</t>
  </si>
  <si>
    <t>NEUMATICO TRIAL (17) ''PNEUS-TECHNIC'' TMX TRILHA [PZ]</t>
  </si>
  <si>
    <t>NEUMATICO TRIAL (18) ''PNEUS-TECHNIC'' TK BLOCK [PZ]</t>
  </si>
  <si>
    <t>NEUMATICO TRIAL (18) ''PNEUS-TECHNIC'' TMX TRILHA [PZ]</t>
  </si>
  <si>
    <t>NEUMATICO TRIAL (18) ''WANDA'' P2008 [PZ]</t>
  </si>
  <si>
    <t>NEUMATICO TRIAL (18) ''WANDA'' P217 [PZ]</t>
  </si>
  <si>
    <t>NEUMATICO TRIAL (19) ''PNEUS-TECHNIC'' TMX TRILHA [PZ]</t>
  </si>
  <si>
    <t>NEUMATICO TRIAL (21) ''PNEUS-TECHNIC'' TK BLOCK [PZ]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</si>
</sst>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07"/>
  <sheetViews>
    <sheetView showGridLines="0" tabSelected="1" topLeftCell="A6336" workbookViewId="0">
      <selection sqref="A1:B1"/>
    </sheetView>
  </sheetViews>
  <sheetFormatPr baseColWidth="10" defaultRowHeight="16" x14ac:dyDescent="0.2"/>
  <cols>
    <col min="1" max="1" width="20" bestFit="1" customWidth="1"/>
    <col min="2" max="2" width="43.33203125" bestFit="1" customWidth="1"/>
    <col min="3" max="3" width="10.5" bestFit="1" customWidth="1"/>
    <col min="4" max="4" width="3.83203125" bestFit="1" customWidth="1"/>
    <col min="5" max="5" width="12.83203125" bestFit="1" customWidth="1"/>
    <col min="6" max="6" width="4.83203125" bestFit="1" customWidth="1"/>
    <col min="7" max="7" width="18.33203125" bestFit="1" customWidth="1"/>
    <col min="8" max="8" width="16.5" bestFit="1" customWidth="1"/>
    <col min="9" max="9" width="17" bestFit="1" customWidth="1"/>
    <col min="10" max="10" width="14.1640625" bestFit="1" customWidth="1"/>
    <col min="11" max="11" width="8" bestFit="1" customWidth="1"/>
  </cols>
  <sheetData>
    <row r="1" spans="1:11" x14ac:dyDescent="0.2">
      <c r="A1" s="2" t="s">
        <v>0</v>
      </c>
      <c r="B1" s="2"/>
      <c r="C1" s="2" t="s">
        <v>1</v>
      </c>
      <c r="D1" s="2"/>
      <c r="E1" s="2"/>
      <c r="F1" s="2"/>
      <c r="G1" s="2"/>
      <c r="H1" s="2"/>
      <c r="I1" s="2"/>
    </row>
    <row r="2" spans="1:11" x14ac:dyDescent="0.2">
      <c r="A2" s="2" t="s">
        <v>2</v>
      </c>
      <c r="B2" s="2"/>
      <c r="C2" s="2" t="s">
        <v>3</v>
      </c>
      <c r="D2" s="2"/>
      <c r="E2" s="2"/>
      <c r="F2" s="2"/>
      <c r="G2" s="2"/>
      <c r="H2" s="2"/>
      <c r="I2" s="2"/>
    </row>
    <row r="3" spans="1:11" x14ac:dyDescent="0.2">
      <c r="A3" s="2" t="s">
        <v>4</v>
      </c>
      <c r="B3" s="2"/>
      <c r="C3" s="3"/>
      <c r="D3" s="3"/>
      <c r="E3" s="3"/>
      <c r="F3" s="3"/>
      <c r="G3" s="3"/>
      <c r="H3" s="3"/>
      <c r="I3" s="3"/>
    </row>
    <row r="4" spans="1:11" x14ac:dyDescent="0.2">
      <c r="A4" s="3"/>
      <c r="B4" s="3"/>
      <c r="C4" s="3"/>
      <c r="D4" s="3"/>
      <c r="E4" s="3"/>
      <c r="F4" s="3"/>
      <c r="G4" s="3"/>
      <c r="H4" s="3"/>
      <c r="I4" s="3"/>
    </row>
    <row r="5" spans="1:11" x14ac:dyDescent="0.2">
      <c r="A5" s="1" t="s">
        <v>5</v>
      </c>
      <c r="B5" s="1" t="s">
        <v>6</v>
      </c>
      <c r="C5" s="1" t="s">
        <v>7</v>
      </c>
      <c r="D5" s="1" t="s">
        <v>8</v>
      </c>
      <c r="E5" s="1" t="s">
        <v>0</v>
      </c>
      <c r="F5" s="1" t="s">
        <v>9</v>
      </c>
      <c r="G5" s="1" t="s">
        <v>10</v>
      </c>
      <c r="H5" s="1" t="s">
        <v>11</v>
      </c>
      <c r="I5" s="1" t="s">
        <v>12</v>
      </c>
      <c r="J5" s="1" t="s">
        <v>13</v>
      </c>
      <c r="K5" s="1" t="s">
        <v>14</v>
      </c>
    </row>
    <row r="6" spans="1:11" x14ac:dyDescent="0.2">
      <c r="A6" s="1" t="s">
        <v>15</v>
      </c>
      <c r="B6" s="1" t="s">
        <v>16</v>
      </c>
      <c r="C6" s="1" t="str">
        <f>"66298785811225"</f>
        <v>66298785811225</v>
      </c>
      <c r="D6" s="1" t="str">
        <f>"7837"</f>
        <v>7837</v>
      </c>
      <c r="E6" s="1" t="s">
        <v>17</v>
      </c>
      <c r="F6" s="1">
        <v>4</v>
      </c>
      <c r="G6" s="1">
        <v>1</v>
      </c>
      <c r="H6" s="1">
        <v>4</v>
      </c>
      <c r="I6" s="1">
        <v>0</v>
      </c>
      <c r="J6" s="1">
        <v>4</v>
      </c>
      <c r="K6" s="1">
        <v>0</v>
      </c>
    </row>
    <row r="7" spans="1:11" x14ac:dyDescent="0.2">
      <c r="A7" s="1" t="s">
        <v>18</v>
      </c>
      <c r="B7" s="1" t="s">
        <v>19</v>
      </c>
      <c r="C7" s="1" t="str">
        <f>"H1066"</f>
        <v>H1066</v>
      </c>
      <c r="D7" s="1" t="str">
        <f>"H1066"</f>
        <v>H1066</v>
      </c>
      <c r="E7" s="1" t="s">
        <v>17</v>
      </c>
      <c r="F7" s="1">
        <v>7</v>
      </c>
      <c r="G7" s="1">
        <v>502.86</v>
      </c>
      <c r="H7" s="1">
        <v>3520</v>
      </c>
      <c r="I7" s="1">
        <v>0</v>
      </c>
      <c r="J7" s="1">
        <v>7</v>
      </c>
      <c r="K7" s="1">
        <v>0</v>
      </c>
    </row>
    <row r="8" spans="1:11" x14ac:dyDescent="0.2">
      <c r="A8" s="1" t="s">
        <v>18</v>
      </c>
      <c r="B8" s="1" t="s">
        <v>20</v>
      </c>
      <c r="C8" s="1" t="str">
        <f>"66298785890928"</f>
        <v>66298785890928</v>
      </c>
      <c r="D8" s="1" t="str">
        <f>"A-SCOOTER"</f>
        <v>A-SCOOTER</v>
      </c>
      <c r="E8" s="1" t="s">
        <v>17</v>
      </c>
      <c r="F8" s="1">
        <v>1</v>
      </c>
      <c r="G8" s="1">
        <v>1646</v>
      </c>
      <c r="H8" s="1">
        <v>1646</v>
      </c>
      <c r="I8" s="1">
        <v>0</v>
      </c>
      <c r="J8" s="1">
        <v>1</v>
      </c>
      <c r="K8" s="1">
        <v>0</v>
      </c>
    </row>
    <row r="9" spans="1:11" x14ac:dyDescent="0.2">
      <c r="A9" s="1" t="s">
        <v>18</v>
      </c>
      <c r="B9" s="1" t="s">
        <v>21</v>
      </c>
      <c r="C9" s="1" t="str">
        <f>"66298785932760"</f>
        <v>66298785932760</v>
      </c>
      <c r="D9" s="1" t="str">
        <f>"H257"</f>
        <v>H257</v>
      </c>
      <c r="E9" s="1" t="s">
        <v>17</v>
      </c>
      <c r="F9" s="1">
        <v>30</v>
      </c>
      <c r="G9" s="1">
        <v>140</v>
      </c>
      <c r="H9" s="1">
        <v>4200</v>
      </c>
      <c r="I9" s="1">
        <v>0</v>
      </c>
      <c r="J9" s="1">
        <v>30</v>
      </c>
      <c r="K9" s="1">
        <v>0</v>
      </c>
    </row>
    <row r="10" spans="1:11" x14ac:dyDescent="0.2">
      <c r="A10" s="1" t="s">
        <v>18</v>
      </c>
      <c r="B10" s="1" t="s">
        <v>22</v>
      </c>
      <c r="C10" s="1" t="str">
        <f>"66298785974589"</f>
        <v>66298785974589</v>
      </c>
      <c r="D10" s="1" t="str">
        <f>"82780"</f>
        <v>82780</v>
      </c>
      <c r="E10" s="1" t="s">
        <v>17</v>
      </c>
      <c r="F10" s="1">
        <v>21</v>
      </c>
      <c r="G10" s="1">
        <v>33</v>
      </c>
      <c r="H10" s="1">
        <v>693</v>
      </c>
      <c r="I10" s="1">
        <v>0</v>
      </c>
      <c r="J10" s="1">
        <v>21</v>
      </c>
      <c r="K10" s="1">
        <v>0</v>
      </c>
    </row>
    <row r="11" spans="1:11" x14ac:dyDescent="0.2">
      <c r="A11" s="1" t="s">
        <v>15</v>
      </c>
      <c r="B11" s="1" t="s">
        <v>23</v>
      </c>
      <c r="C11" s="1" t="str">
        <f>"66298786013798"</f>
        <v>66298786013798</v>
      </c>
      <c r="D11" s="1" t="str">
        <f>"2716"</f>
        <v>2716</v>
      </c>
      <c r="E11" s="1" t="s">
        <v>17</v>
      </c>
      <c r="F11" s="1">
        <v>8</v>
      </c>
      <c r="G11" s="1">
        <v>10489.2</v>
      </c>
      <c r="H11" s="1">
        <v>83914</v>
      </c>
      <c r="I11" s="1">
        <v>0</v>
      </c>
      <c r="J11" s="1">
        <v>8</v>
      </c>
      <c r="K11" s="1">
        <v>0</v>
      </c>
    </row>
    <row r="12" spans="1:11" x14ac:dyDescent="0.2">
      <c r="A12" s="1" t="s">
        <v>15</v>
      </c>
      <c r="B12" s="1" t="s">
        <v>24</v>
      </c>
      <c r="C12" s="1" t="str">
        <f>"66298786051003"</f>
        <v>66298786051003</v>
      </c>
      <c r="D12" s="1" t="str">
        <f>"2715"</f>
        <v>2715</v>
      </c>
      <c r="E12" s="1" t="s">
        <v>17</v>
      </c>
      <c r="F12" s="1">
        <v>5</v>
      </c>
      <c r="G12" s="1">
        <v>10313.6</v>
      </c>
      <c r="H12" s="1">
        <v>51568</v>
      </c>
      <c r="I12" s="1">
        <v>0</v>
      </c>
      <c r="J12" s="1">
        <v>5</v>
      </c>
      <c r="K12" s="1">
        <v>0</v>
      </c>
    </row>
    <row r="13" spans="1:11" x14ac:dyDescent="0.2">
      <c r="A13" s="1" t="s">
        <v>15</v>
      </c>
      <c r="B13" s="1" t="s">
        <v>25</v>
      </c>
      <c r="C13" s="1" t="str">
        <f>"66298786092420"</f>
        <v>66298786092420</v>
      </c>
      <c r="D13" s="1" t="str">
        <f>"2717"</f>
        <v>2717</v>
      </c>
      <c r="E13" s="1" t="s">
        <v>17</v>
      </c>
      <c r="F13" s="1">
        <v>8</v>
      </c>
      <c r="G13" s="1">
        <v>11016.8</v>
      </c>
      <c r="H13" s="1">
        <v>88134</v>
      </c>
      <c r="I13" s="1">
        <v>0</v>
      </c>
      <c r="J13" s="1">
        <v>8</v>
      </c>
      <c r="K13" s="1">
        <v>0</v>
      </c>
    </row>
    <row r="14" spans="1:11" x14ac:dyDescent="0.2">
      <c r="A14" s="1" t="s">
        <v>15</v>
      </c>
      <c r="B14" s="1" t="s">
        <v>26</v>
      </c>
      <c r="C14" s="1" t="str">
        <f>"66298786132099"</f>
        <v>66298786132099</v>
      </c>
      <c r="D14" s="1" t="str">
        <f>"2719"</f>
        <v>2719</v>
      </c>
      <c r="E14" s="1" t="s">
        <v>17</v>
      </c>
      <c r="F14" s="1">
        <v>6</v>
      </c>
      <c r="G14" s="1">
        <v>10313.6</v>
      </c>
      <c r="H14" s="1">
        <v>61882</v>
      </c>
      <c r="I14" s="1">
        <v>0</v>
      </c>
      <c r="J14" s="1">
        <v>6</v>
      </c>
      <c r="K14" s="1">
        <v>0</v>
      </c>
    </row>
    <row r="15" spans="1:11" x14ac:dyDescent="0.2">
      <c r="A15" s="1" t="s">
        <v>15</v>
      </c>
      <c r="B15" s="1" t="s">
        <v>27</v>
      </c>
      <c r="C15" s="1" t="str">
        <f>"66298786174946"</f>
        <v>66298786174946</v>
      </c>
      <c r="D15" s="1" t="str">
        <f>"15AE86"</f>
        <v>15AE86</v>
      </c>
      <c r="E15" s="1" t="s">
        <v>17</v>
      </c>
      <c r="F15" s="1">
        <v>2</v>
      </c>
      <c r="G15" s="1">
        <v>12050</v>
      </c>
      <c r="H15" s="1">
        <v>24100</v>
      </c>
      <c r="I15" s="1">
        <v>0</v>
      </c>
      <c r="J15" s="1">
        <v>2</v>
      </c>
      <c r="K15" s="1">
        <v>0</v>
      </c>
    </row>
    <row r="16" spans="1:11" x14ac:dyDescent="0.2">
      <c r="A16" s="1" t="s">
        <v>15</v>
      </c>
      <c r="B16" s="1" t="s">
        <v>28</v>
      </c>
      <c r="C16" s="1" t="str">
        <f>"66298786219665"</f>
        <v>66298786219665</v>
      </c>
      <c r="D16" s="1" t="str">
        <f>"15AEAB"</f>
        <v>15AEAB</v>
      </c>
      <c r="E16" s="1" t="s">
        <v>17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 x14ac:dyDescent="0.2">
      <c r="A17" s="1" t="s">
        <v>15</v>
      </c>
      <c r="B17" s="1" t="s">
        <v>29</v>
      </c>
      <c r="C17" s="1" t="str">
        <f>"66298786260155"</f>
        <v>66298786260155</v>
      </c>
      <c r="D17" s="1" t="str">
        <f>"15D905"</f>
        <v>15D905</v>
      </c>
      <c r="E17" s="1" t="s">
        <v>17</v>
      </c>
      <c r="F17" s="1">
        <v>3</v>
      </c>
      <c r="G17" s="1">
        <v>5500</v>
      </c>
      <c r="H17" s="1">
        <v>16500</v>
      </c>
      <c r="I17" s="1">
        <v>0</v>
      </c>
      <c r="J17" s="1">
        <v>3</v>
      </c>
      <c r="K17" s="1">
        <v>0</v>
      </c>
    </row>
    <row r="18" spans="1:11" x14ac:dyDescent="0.2">
      <c r="A18" s="1" t="s">
        <v>15</v>
      </c>
      <c r="B18" s="1" t="s">
        <v>30</v>
      </c>
      <c r="C18" s="1" t="str">
        <f>"15DEA9"</f>
        <v>15DEA9</v>
      </c>
      <c r="D18" s="1" t="str">
        <f>"15DEA9"</f>
        <v>15DEA9</v>
      </c>
      <c r="E18" s="1" t="s">
        <v>17</v>
      </c>
      <c r="F18" s="1">
        <v>87</v>
      </c>
      <c r="G18" s="1">
        <v>9929.0499999999993</v>
      </c>
      <c r="H18" s="1">
        <v>863828</v>
      </c>
      <c r="I18" s="1">
        <v>0</v>
      </c>
      <c r="J18" s="1">
        <v>87</v>
      </c>
      <c r="K18" s="1">
        <v>0</v>
      </c>
    </row>
    <row r="19" spans="1:11" x14ac:dyDescent="0.2">
      <c r="A19" s="1" t="s">
        <v>15</v>
      </c>
      <c r="B19" s="1" t="s">
        <v>31</v>
      </c>
      <c r="C19" s="1" t="str">
        <f>"66298786302608"</f>
        <v>66298786302608</v>
      </c>
      <c r="D19" s="1" t="str">
        <f>"15D906"</f>
        <v>15D906</v>
      </c>
      <c r="E19" s="1" t="s">
        <v>17</v>
      </c>
      <c r="F19" s="1">
        <v>25</v>
      </c>
      <c r="G19" s="1">
        <v>5496.8</v>
      </c>
      <c r="H19" s="1">
        <v>137420</v>
      </c>
      <c r="I19" s="1">
        <v>0</v>
      </c>
      <c r="J19" s="1">
        <v>25</v>
      </c>
      <c r="K19" s="1">
        <v>0</v>
      </c>
    </row>
    <row r="20" spans="1:11" x14ac:dyDescent="0.2">
      <c r="A20" s="1" t="s">
        <v>15</v>
      </c>
      <c r="B20" s="1" t="s">
        <v>32</v>
      </c>
      <c r="C20" s="1" t="str">
        <f>"15D2C2"</f>
        <v>15D2C2</v>
      </c>
      <c r="D20" s="1" t="str">
        <f>"15D2C2"</f>
        <v>15D2C2</v>
      </c>
      <c r="E20" s="1" t="s">
        <v>17</v>
      </c>
      <c r="F20" s="1">
        <v>20</v>
      </c>
      <c r="G20" s="1">
        <v>8361.5</v>
      </c>
      <c r="H20" s="1">
        <v>167230</v>
      </c>
      <c r="I20" s="1">
        <v>0</v>
      </c>
      <c r="J20" s="1">
        <v>20</v>
      </c>
      <c r="K20" s="1">
        <v>0</v>
      </c>
    </row>
    <row r="21" spans="1:11" x14ac:dyDescent="0.2">
      <c r="A21" s="1" t="s">
        <v>15</v>
      </c>
      <c r="B21" s="1" t="s">
        <v>33</v>
      </c>
      <c r="C21" s="1" t="str">
        <f>"15AF5D"</f>
        <v>15AF5D</v>
      </c>
      <c r="D21" s="1" t="str">
        <f>"15AF5D"</f>
        <v>15AF5D</v>
      </c>
      <c r="E21" s="1" t="s">
        <v>17</v>
      </c>
      <c r="F21" s="1">
        <v>83</v>
      </c>
      <c r="G21" s="1">
        <v>7738.73</v>
      </c>
      <c r="H21" s="1">
        <v>642315</v>
      </c>
      <c r="I21" s="1">
        <v>0</v>
      </c>
      <c r="J21" s="1">
        <v>83</v>
      </c>
      <c r="K21" s="1">
        <v>0</v>
      </c>
    </row>
    <row r="22" spans="1:11" x14ac:dyDescent="0.2">
      <c r="A22" s="1" t="s">
        <v>15</v>
      </c>
      <c r="B22" s="1" t="s">
        <v>34</v>
      </c>
      <c r="C22" s="1" t="str">
        <f>"15C7C9"</f>
        <v>15C7C9</v>
      </c>
      <c r="D22" s="1" t="str">
        <f>"15C7C9"</f>
        <v>15C7C9</v>
      </c>
      <c r="E22" s="1" t="s">
        <v>17</v>
      </c>
      <c r="F22" s="1">
        <v>119</v>
      </c>
      <c r="G22" s="1">
        <v>7698.32</v>
      </c>
      <c r="H22" s="1">
        <v>916100</v>
      </c>
      <c r="I22" s="1">
        <v>0</v>
      </c>
      <c r="J22" s="1">
        <v>119</v>
      </c>
      <c r="K22" s="1">
        <v>0</v>
      </c>
    </row>
    <row r="23" spans="1:11" x14ac:dyDescent="0.2">
      <c r="A23" s="1" t="s">
        <v>15</v>
      </c>
      <c r="B23" s="1" t="s">
        <v>35</v>
      </c>
      <c r="C23" s="1" t="str">
        <f>"15D2C4"</f>
        <v>15D2C4</v>
      </c>
      <c r="D23" s="1" t="str">
        <f>"15D2C4"</f>
        <v>15D2C4</v>
      </c>
      <c r="E23" s="1" t="s">
        <v>17</v>
      </c>
      <c r="F23" s="1">
        <v>12</v>
      </c>
      <c r="G23" s="1">
        <v>3800</v>
      </c>
      <c r="H23" s="1">
        <v>45600</v>
      </c>
      <c r="I23" s="1">
        <v>0</v>
      </c>
      <c r="J23" s="1">
        <v>12</v>
      </c>
      <c r="K23" s="1">
        <v>0</v>
      </c>
    </row>
    <row r="24" spans="1:11" x14ac:dyDescent="0.2">
      <c r="A24" s="1" t="s">
        <v>15</v>
      </c>
      <c r="B24" s="1" t="s">
        <v>36</v>
      </c>
      <c r="C24" s="1" t="str">
        <f>"66298786386572"</f>
        <v>66298786386572</v>
      </c>
      <c r="D24" s="1" t="str">
        <f>"15D9C1"</f>
        <v>15D9C1</v>
      </c>
      <c r="E24" s="1" t="s">
        <v>17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 x14ac:dyDescent="0.2">
      <c r="A25" s="1" t="s">
        <v>15</v>
      </c>
      <c r="B25" s="1" t="s">
        <v>37</v>
      </c>
      <c r="C25" s="1" t="str">
        <f>"51426LUB01LT"</f>
        <v>51426LUB01LT</v>
      </c>
      <c r="D25" s="1" t="str">
        <f>"51426LUB01LT"</f>
        <v>51426LUB01LT</v>
      </c>
      <c r="E25" s="1" t="s">
        <v>17</v>
      </c>
      <c r="F25" s="1">
        <v>89</v>
      </c>
      <c r="G25" s="1">
        <v>4354</v>
      </c>
      <c r="H25" s="1">
        <v>387506</v>
      </c>
      <c r="I25" s="1">
        <v>0</v>
      </c>
      <c r="J25" s="1">
        <v>89</v>
      </c>
      <c r="K25" s="1">
        <v>0</v>
      </c>
    </row>
    <row r="26" spans="1:11" x14ac:dyDescent="0.2">
      <c r="A26" s="1" t="s">
        <v>15</v>
      </c>
      <c r="B26" s="1" t="s">
        <v>38</v>
      </c>
      <c r="C26" s="1" t="str">
        <f>"51428LUB01LT"</f>
        <v>51428LUB01LT</v>
      </c>
      <c r="D26" s="1" t="str">
        <f>"51428LUB01LT"</f>
        <v>51428LUB01LT</v>
      </c>
      <c r="E26" s="1" t="s">
        <v>17</v>
      </c>
      <c r="F26" s="1">
        <v>49</v>
      </c>
      <c r="G26" s="1">
        <v>4991</v>
      </c>
      <c r="H26" s="1">
        <v>244559</v>
      </c>
      <c r="I26" s="1">
        <v>0</v>
      </c>
      <c r="J26" s="1">
        <v>49</v>
      </c>
      <c r="K26" s="1">
        <v>0</v>
      </c>
    </row>
    <row r="27" spans="1:11" x14ac:dyDescent="0.2">
      <c r="A27" s="1" t="s">
        <v>15</v>
      </c>
      <c r="B27" s="1" t="s">
        <v>39</v>
      </c>
      <c r="C27" s="1" t="str">
        <f>"51423LUB01LT"</f>
        <v>51423LUB01LT</v>
      </c>
      <c r="D27" s="1" t="str">
        <f>"51423LUB01LT"</f>
        <v>51423LUB01LT</v>
      </c>
      <c r="E27" s="1" t="s">
        <v>17</v>
      </c>
      <c r="F27" s="1">
        <v>47</v>
      </c>
      <c r="G27" s="1">
        <v>3531</v>
      </c>
      <c r="H27" s="1">
        <v>165957</v>
      </c>
      <c r="I27" s="1">
        <v>0</v>
      </c>
      <c r="J27" s="1">
        <v>47</v>
      </c>
      <c r="K27" s="1">
        <v>0</v>
      </c>
    </row>
    <row r="28" spans="1:11" ht="30" x14ac:dyDescent="0.2">
      <c r="A28" s="1" t="s">
        <v>15</v>
      </c>
      <c r="B28" s="1" t="s">
        <v>40</v>
      </c>
      <c r="C28" s="1" t="str">
        <f>"66298786429982"</f>
        <v>66298786429982</v>
      </c>
      <c r="D28" s="1" t="str">
        <f>"800090"</f>
        <v>800090</v>
      </c>
      <c r="E28" s="1" t="s">
        <v>17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 x14ac:dyDescent="0.2">
      <c r="A29" s="1" t="s">
        <v>15</v>
      </c>
      <c r="B29" s="1" t="s">
        <v>41</v>
      </c>
      <c r="C29" s="1" t="str">
        <f>"66298786468714"</f>
        <v>66298786468714</v>
      </c>
      <c r="D29" s="1" t="str">
        <f>"800043"</f>
        <v>800043</v>
      </c>
      <c r="E29" s="1" t="s">
        <v>17</v>
      </c>
      <c r="F29" s="1">
        <v>1</v>
      </c>
      <c r="G29" s="1">
        <v>7559</v>
      </c>
      <c r="H29" s="1">
        <v>7559</v>
      </c>
      <c r="I29" s="1">
        <v>0</v>
      </c>
      <c r="J29" s="1">
        <v>1</v>
      </c>
      <c r="K29" s="1">
        <v>0</v>
      </c>
    </row>
    <row r="30" spans="1:11" ht="30" x14ac:dyDescent="0.2">
      <c r="A30" s="1" t="s">
        <v>15</v>
      </c>
      <c r="B30" s="1" t="s">
        <v>42</v>
      </c>
      <c r="C30" s="1" t="str">
        <f>"66298786516712"</f>
        <v>66298786516712</v>
      </c>
      <c r="D30" s="1" t="str">
        <f>"20753"</f>
        <v>20753</v>
      </c>
      <c r="E30" s="1" t="s">
        <v>17</v>
      </c>
      <c r="F30" s="1">
        <v>19</v>
      </c>
      <c r="G30" s="1">
        <v>12054.38</v>
      </c>
      <c r="H30" s="1">
        <v>229033</v>
      </c>
      <c r="I30" s="1">
        <v>0</v>
      </c>
      <c r="J30" s="1">
        <v>19</v>
      </c>
      <c r="K30" s="1">
        <v>0</v>
      </c>
    </row>
    <row r="31" spans="1:11" ht="30" x14ac:dyDescent="0.2">
      <c r="A31" s="1" t="s">
        <v>15</v>
      </c>
      <c r="B31" s="1" t="s">
        <v>43</v>
      </c>
      <c r="C31" s="1" t="str">
        <f>"66298786572048"</f>
        <v>66298786572048</v>
      </c>
      <c r="D31" s="1" t="str">
        <f>"1521"</f>
        <v>1521</v>
      </c>
      <c r="E31" s="1" t="s">
        <v>17</v>
      </c>
      <c r="F31" s="1">
        <v>48</v>
      </c>
      <c r="G31" s="1">
        <v>8016.2</v>
      </c>
      <c r="H31" s="1">
        <v>384778</v>
      </c>
      <c r="I31" s="1">
        <v>0</v>
      </c>
      <c r="J31" s="1">
        <v>48</v>
      </c>
      <c r="K31" s="1">
        <v>0</v>
      </c>
    </row>
    <row r="32" spans="1:11" x14ac:dyDescent="0.2">
      <c r="A32" s="1" t="s">
        <v>15</v>
      </c>
      <c r="B32" s="1" t="s">
        <v>44</v>
      </c>
      <c r="C32" s="1" t="str">
        <f>"66298786613951"</f>
        <v>66298786613951</v>
      </c>
      <c r="D32" s="1" t="str">
        <f>"1502"</f>
        <v>1502</v>
      </c>
      <c r="E32" s="1" t="s">
        <v>17</v>
      </c>
      <c r="F32" s="1">
        <v>26</v>
      </c>
      <c r="G32" s="1">
        <v>10961.85</v>
      </c>
      <c r="H32" s="1">
        <v>285008</v>
      </c>
      <c r="I32" s="1">
        <v>0</v>
      </c>
      <c r="J32" s="1">
        <v>26</v>
      </c>
      <c r="K32" s="1">
        <v>0</v>
      </c>
    </row>
    <row r="33" spans="1:11" x14ac:dyDescent="0.2">
      <c r="A33" s="1" t="s">
        <v>15</v>
      </c>
      <c r="B33" s="1" t="s">
        <v>45</v>
      </c>
      <c r="C33" s="1" t="str">
        <f>"66298786653154"</f>
        <v>66298786653154</v>
      </c>
      <c r="D33" s="1" t="str">
        <f>"1525"</f>
        <v>1525</v>
      </c>
      <c r="E33" s="1" t="s">
        <v>17</v>
      </c>
      <c r="F33" s="1">
        <v>17</v>
      </c>
      <c r="G33" s="1">
        <v>12464.71</v>
      </c>
      <c r="H33" s="1">
        <v>211900</v>
      </c>
      <c r="I33" s="1">
        <v>0</v>
      </c>
      <c r="J33" s="1">
        <v>17</v>
      </c>
      <c r="K33" s="1">
        <v>0</v>
      </c>
    </row>
    <row r="34" spans="1:11" ht="30" x14ac:dyDescent="0.2">
      <c r="A34" s="1" t="s">
        <v>15</v>
      </c>
      <c r="B34" s="1" t="s">
        <v>46</v>
      </c>
      <c r="C34" s="1" t="str">
        <f>"66298786691589"</f>
        <v>66298786691589</v>
      </c>
      <c r="D34" s="1" t="str">
        <f>"2555"</f>
        <v>2555</v>
      </c>
      <c r="E34" s="1" t="s">
        <v>17</v>
      </c>
      <c r="F34" s="1">
        <v>18</v>
      </c>
      <c r="G34" s="1">
        <v>10136.200000000001</v>
      </c>
      <c r="H34" s="1">
        <v>182452</v>
      </c>
      <c r="I34" s="1">
        <v>0</v>
      </c>
      <c r="J34" s="1">
        <v>18</v>
      </c>
      <c r="K34" s="1">
        <v>0</v>
      </c>
    </row>
    <row r="35" spans="1:11" x14ac:dyDescent="0.2">
      <c r="A35" s="1" t="s">
        <v>15</v>
      </c>
      <c r="B35" s="1" t="s">
        <v>47</v>
      </c>
      <c r="C35" s="1" t="str">
        <f>"1500"</f>
        <v>1500</v>
      </c>
      <c r="D35" s="1" t="str">
        <f>"1500"</f>
        <v>1500</v>
      </c>
      <c r="E35" s="1" t="s">
        <v>17</v>
      </c>
      <c r="F35" s="1">
        <v>9</v>
      </c>
      <c r="G35" s="1">
        <v>7016.2</v>
      </c>
      <c r="H35" s="1">
        <v>63146</v>
      </c>
      <c r="I35" s="1">
        <v>0</v>
      </c>
      <c r="J35" s="1">
        <v>9</v>
      </c>
      <c r="K35" s="1">
        <v>0</v>
      </c>
    </row>
    <row r="36" spans="1:11" x14ac:dyDescent="0.2">
      <c r="A36" s="1" t="s">
        <v>15</v>
      </c>
      <c r="B36" s="1" t="s">
        <v>48</v>
      </c>
      <c r="C36" s="1" t="str">
        <f>"66298786775369"</f>
        <v>66298786775369</v>
      </c>
      <c r="D36" s="1" t="str">
        <f>"3816"</f>
        <v>3816</v>
      </c>
      <c r="E36" s="1" t="s">
        <v>17</v>
      </c>
      <c r="F36" s="1">
        <v>40</v>
      </c>
      <c r="G36" s="1">
        <v>13736</v>
      </c>
      <c r="H36" s="1">
        <v>549440</v>
      </c>
      <c r="I36" s="1">
        <v>0</v>
      </c>
      <c r="J36" s="1">
        <v>40</v>
      </c>
      <c r="K36" s="1">
        <v>0</v>
      </c>
    </row>
    <row r="37" spans="1:11" x14ac:dyDescent="0.2">
      <c r="A37" s="1" t="s">
        <v>15</v>
      </c>
      <c r="B37" s="1" t="s">
        <v>49</v>
      </c>
      <c r="C37" s="1" t="str">
        <f>"66298786814445"</f>
        <v>66298786814445</v>
      </c>
      <c r="D37" s="1" t="str">
        <f>"10110"</f>
        <v>10110</v>
      </c>
      <c r="E37" s="1" t="s">
        <v>17</v>
      </c>
      <c r="F37" s="1">
        <v>4</v>
      </c>
      <c r="G37" s="1">
        <v>6873</v>
      </c>
      <c r="H37" s="1">
        <v>27492</v>
      </c>
      <c r="I37" s="1">
        <v>0</v>
      </c>
      <c r="J37" s="1">
        <v>4</v>
      </c>
      <c r="K37" s="1">
        <v>0</v>
      </c>
    </row>
    <row r="38" spans="1:11" x14ac:dyDescent="0.2">
      <c r="A38" s="1" t="s">
        <v>15</v>
      </c>
      <c r="B38" s="1" t="s">
        <v>50</v>
      </c>
      <c r="C38" s="1" t="str">
        <f>"66298786852838"</f>
        <v>66298786852838</v>
      </c>
      <c r="D38" s="1" t="str">
        <f>"10767"</f>
        <v>10767</v>
      </c>
      <c r="E38" s="1" t="s">
        <v>17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">
      <c r="A39" s="1" t="s">
        <v>15</v>
      </c>
      <c r="B39" s="1" t="s">
        <v>51</v>
      </c>
      <c r="C39" s="1" t="str">
        <f>"66298787339724"</f>
        <v>66298787339724</v>
      </c>
      <c r="D39" s="1" t="str">
        <f>"104034"</f>
        <v>104034</v>
      </c>
      <c r="E39" s="1" t="s">
        <v>17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</row>
    <row r="40" spans="1:11" x14ac:dyDescent="0.2">
      <c r="A40" s="1" t="s">
        <v>15</v>
      </c>
      <c r="B40" s="1" t="s">
        <v>52</v>
      </c>
      <c r="C40" s="1" t="str">
        <f>"66298787255546"</f>
        <v>66298787255546</v>
      </c>
      <c r="D40" s="1" t="str">
        <f>"6010230"</f>
        <v>6010230</v>
      </c>
      <c r="E40" s="1" t="s">
        <v>17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</row>
    <row r="41" spans="1:11" x14ac:dyDescent="0.2">
      <c r="A41" s="1" t="s">
        <v>15</v>
      </c>
      <c r="B41" s="1" t="s">
        <v>53</v>
      </c>
      <c r="C41" s="1" t="str">
        <f>"6010275"</f>
        <v>6010275</v>
      </c>
      <c r="D41" s="1" t="str">
        <f>"6010275"</f>
        <v>6010275</v>
      </c>
      <c r="E41" s="1" t="s">
        <v>17</v>
      </c>
      <c r="F41" s="1">
        <v>12</v>
      </c>
      <c r="G41" s="1">
        <v>5990</v>
      </c>
      <c r="H41" s="1">
        <v>71880</v>
      </c>
      <c r="I41" s="1">
        <v>0</v>
      </c>
      <c r="J41" s="1">
        <v>12</v>
      </c>
      <c r="K41" s="1">
        <v>0</v>
      </c>
    </row>
    <row r="42" spans="1:11" ht="30" x14ac:dyDescent="0.2">
      <c r="A42" s="1" t="s">
        <v>15</v>
      </c>
      <c r="B42" s="1" t="s">
        <v>54</v>
      </c>
      <c r="C42" s="1" t="str">
        <f>"66298787089530"</f>
        <v>66298787089530</v>
      </c>
      <c r="D42" s="1" t="str">
        <f>"6010106"</f>
        <v>6010106</v>
      </c>
      <c r="E42" s="1" t="s">
        <v>17</v>
      </c>
      <c r="F42" s="1">
        <v>130</v>
      </c>
      <c r="G42" s="1">
        <v>6820</v>
      </c>
      <c r="H42" s="1">
        <v>886600</v>
      </c>
      <c r="I42" s="1">
        <v>0</v>
      </c>
      <c r="J42" s="1">
        <v>130</v>
      </c>
      <c r="K42" s="1">
        <v>0</v>
      </c>
    </row>
    <row r="43" spans="1:11" ht="30" x14ac:dyDescent="0.2">
      <c r="A43" s="1" t="s">
        <v>15</v>
      </c>
      <c r="B43" s="1" t="s">
        <v>55</v>
      </c>
      <c r="C43" s="1" t="str">
        <f>"66298787132729"</f>
        <v>66298787132729</v>
      </c>
      <c r="D43" s="1" t="str">
        <f>"6010262"</f>
        <v>6010262</v>
      </c>
      <c r="E43" s="1" t="s">
        <v>17</v>
      </c>
      <c r="F43" s="1">
        <v>32</v>
      </c>
      <c r="G43" s="1">
        <v>6836.75</v>
      </c>
      <c r="H43" s="1">
        <v>218776</v>
      </c>
      <c r="I43" s="1">
        <v>0</v>
      </c>
      <c r="J43" s="1">
        <v>32</v>
      </c>
      <c r="K43" s="1">
        <v>0</v>
      </c>
    </row>
    <row r="44" spans="1:11" ht="30" x14ac:dyDescent="0.2">
      <c r="A44" s="1" t="s">
        <v>15</v>
      </c>
      <c r="B44" s="1" t="s">
        <v>56</v>
      </c>
      <c r="C44" s="1" t="str">
        <f>"66298787171944"</f>
        <v>66298787171944</v>
      </c>
      <c r="D44" s="1" t="str">
        <f>"6010107"</f>
        <v>6010107</v>
      </c>
      <c r="E44" s="1" t="s">
        <v>17</v>
      </c>
      <c r="F44" s="1">
        <v>25</v>
      </c>
      <c r="G44" s="1">
        <v>6820</v>
      </c>
      <c r="H44" s="1">
        <v>170500</v>
      </c>
      <c r="I44" s="1">
        <v>0</v>
      </c>
      <c r="J44" s="1">
        <v>25</v>
      </c>
      <c r="K44" s="1">
        <v>0</v>
      </c>
    </row>
    <row r="45" spans="1:11" ht="30" x14ac:dyDescent="0.2">
      <c r="A45" s="1" t="s">
        <v>15</v>
      </c>
      <c r="B45" s="1" t="s">
        <v>57</v>
      </c>
      <c r="C45" s="1" t="str">
        <f>"66298787298518"</f>
        <v>66298787298518</v>
      </c>
      <c r="D45" s="1" t="str">
        <f>"6010233"</f>
        <v>6010233</v>
      </c>
      <c r="E45" s="1" t="s">
        <v>17</v>
      </c>
      <c r="F45" s="1">
        <v>143</v>
      </c>
      <c r="G45" s="1">
        <v>6820</v>
      </c>
      <c r="H45" s="1">
        <v>975260</v>
      </c>
      <c r="I45" s="1">
        <v>0</v>
      </c>
      <c r="J45" s="1">
        <v>143</v>
      </c>
      <c r="K45" s="1">
        <v>0</v>
      </c>
    </row>
    <row r="46" spans="1:11" ht="30" x14ac:dyDescent="0.2">
      <c r="A46" s="1" t="s">
        <v>15</v>
      </c>
      <c r="B46" s="1" t="s">
        <v>58</v>
      </c>
      <c r="C46" s="1" t="str">
        <f>"66298787048177"</f>
        <v>66298787048177</v>
      </c>
      <c r="D46" s="1" t="str">
        <f>"6010215"</f>
        <v>6010215</v>
      </c>
      <c r="E46" s="1" t="s">
        <v>17</v>
      </c>
      <c r="F46" s="1">
        <v>71</v>
      </c>
      <c r="G46" s="1">
        <v>11380</v>
      </c>
      <c r="H46" s="1">
        <v>807980</v>
      </c>
      <c r="I46" s="1">
        <v>0</v>
      </c>
      <c r="J46" s="1">
        <v>71</v>
      </c>
      <c r="K46" s="1">
        <v>0</v>
      </c>
    </row>
    <row r="47" spans="1:11" ht="30" x14ac:dyDescent="0.2">
      <c r="A47" s="1" t="s">
        <v>15</v>
      </c>
      <c r="B47" s="1" t="s">
        <v>59</v>
      </c>
      <c r="C47" s="1" t="str">
        <f>"66298787215129"</f>
        <v>66298787215129</v>
      </c>
      <c r="D47" s="1" t="str">
        <f>"6010111"</f>
        <v>6010111</v>
      </c>
      <c r="E47" s="1" t="s">
        <v>17</v>
      </c>
      <c r="F47" s="1">
        <v>77</v>
      </c>
      <c r="G47" s="1">
        <v>11380</v>
      </c>
      <c r="H47" s="1">
        <v>876260</v>
      </c>
      <c r="I47" s="1">
        <v>0</v>
      </c>
      <c r="J47" s="1">
        <v>77</v>
      </c>
      <c r="K47" s="1">
        <v>0</v>
      </c>
    </row>
    <row r="48" spans="1:11" x14ac:dyDescent="0.2">
      <c r="A48" s="1" t="s">
        <v>15</v>
      </c>
      <c r="B48" s="1" t="s">
        <v>60</v>
      </c>
      <c r="C48" s="1" t="str">
        <f>"66298787378834"</f>
        <v>66298787378834</v>
      </c>
      <c r="D48" s="1" t="str">
        <f>"NITROIL10W-40"</f>
        <v>NITROIL10W-40</v>
      </c>
      <c r="E48" s="1" t="s">
        <v>17</v>
      </c>
      <c r="F48" s="1">
        <v>3</v>
      </c>
      <c r="G48" s="1">
        <v>1983</v>
      </c>
      <c r="H48" s="1">
        <v>5949</v>
      </c>
      <c r="I48" s="1">
        <v>0</v>
      </c>
      <c r="J48" s="1">
        <v>3</v>
      </c>
      <c r="K48" s="1">
        <v>0</v>
      </c>
    </row>
    <row r="49" spans="1:11" x14ac:dyDescent="0.2">
      <c r="A49" s="1" t="s">
        <v>15</v>
      </c>
      <c r="B49" s="1" t="s">
        <v>61</v>
      </c>
      <c r="C49" s="1" t="str">
        <f>"NITROIL20W-50"</f>
        <v>NITROIL20W-50</v>
      </c>
      <c r="D49" s="1" t="str">
        <f>"NITROIL20W-50"</f>
        <v>NITROIL20W-50</v>
      </c>
      <c r="E49" s="1" t="s">
        <v>17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</row>
    <row r="50" spans="1:11" x14ac:dyDescent="0.2">
      <c r="A50" s="1" t="s">
        <v>15</v>
      </c>
      <c r="B50" s="1" t="s">
        <v>62</v>
      </c>
      <c r="C50" s="1" t="str">
        <f>"66298787421628"</f>
        <v>66298787421628</v>
      </c>
      <c r="D50" s="1" t="str">
        <f>"160N51"</f>
        <v>160N51</v>
      </c>
      <c r="E50" s="1" t="s">
        <v>17</v>
      </c>
      <c r="F50" s="1">
        <v>1</v>
      </c>
      <c r="G50" s="1">
        <v>9240</v>
      </c>
      <c r="H50" s="1">
        <v>9240</v>
      </c>
      <c r="I50" s="1">
        <v>0</v>
      </c>
      <c r="J50" s="1">
        <v>1</v>
      </c>
      <c r="K50" s="1">
        <v>0</v>
      </c>
    </row>
    <row r="51" spans="1:11" x14ac:dyDescent="0.2">
      <c r="A51" s="1" t="s">
        <v>15</v>
      </c>
      <c r="B51" s="1" t="s">
        <v>63</v>
      </c>
      <c r="C51" s="1" t="str">
        <f>"66298787461211"</f>
        <v>66298787461211</v>
      </c>
      <c r="D51" s="1" t="str">
        <f>"160M51"</f>
        <v>160M51</v>
      </c>
      <c r="E51" s="1" t="s">
        <v>17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</row>
    <row r="52" spans="1:11" x14ac:dyDescent="0.2">
      <c r="A52" s="1" t="s">
        <v>15</v>
      </c>
      <c r="B52" s="1" t="s">
        <v>64</v>
      </c>
      <c r="C52" s="1" t="str">
        <f>"RPP2131THA"</f>
        <v>RPP2131THA</v>
      </c>
      <c r="D52" s="1" t="str">
        <f>"RPP2131THA"</f>
        <v>RPP2131THA</v>
      </c>
      <c r="E52" s="1" t="s">
        <v>17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</row>
    <row r="53" spans="1:11" x14ac:dyDescent="0.2">
      <c r="A53" s="1" t="s">
        <v>15</v>
      </c>
      <c r="B53" s="1" t="s">
        <v>65</v>
      </c>
      <c r="C53" s="1" t="str">
        <f>"66298787538000"</f>
        <v>66298787538000</v>
      </c>
      <c r="D53" s="1" t="str">
        <f>"169Q51"</f>
        <v>169Q51</v>
      </c>
      <c r="E53" s="1" t="s">
        <v>17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</row>
    <row r="54" spans="1:11" x14ac:dyDescent="0.2">
      <c r="A54" s="1" t="s">
        <v>15</v>
      </c>
      <c r="B54" s="1" t="s">
        <v>65</v>
      </c>
      <c r="C54" s="1" t="str">
        <f>"RPP2065THC"</f>
        <v>RPP2065THC</v>
      </c>
      <c r="D54" s="1" t="str">
        <f>"RPP2065THC"</f>
        <v>RPP2065THC</v>
      </c>
      <c r="E54" s="1" t="s">
        <v>17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</row>
    <row r="55" spans="1:11" x14ac:dyDescent="0.2">
      <c r="A55" s="1" t="s">
        <v>15</v>
      </c>
      <c r="B55" s="1" t="s">
        <v>66</v>
      </c>
      <c r="C55" s="1" t="str">
        <f>"14053"</f>
        <v>14053</v>
      </c>
      <c r="D55" s="1" t="str">
        <f>"14053"</f>
        <v>14053</v>
      </c>
      <c r="E55" s="1" t="s">
        <v>17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</row>
    <row r="56" spans="1:11" x14ac:dyDescent="0.2">
      <c r="A56" s="1" t="s">
        <v>15</v>
      </c>
      <c r="B56" s="1" t="s">
        <v>67</v>
      </c>
      <c r="C56" s="1" t="str">
        <f>"14054"</f>
        <v>14054</v>
      </c>
      <c r="D56" s="1" t="str">
        <f>"14054"</f>
        <v>14054</v>
      </c>
      <c r="E56" s="1" t="s">
        <v>17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</row>
    <row r="57" spans="1:11" x14ac:dyDescent="0.2">
      <c r="A57" s="1" t="s">
        <v>15</v>
      </c>
      <c r="B57" s="1" t="s">
        <v>68</v>
      </c>
      <c r="C57" s="1" t="str">
        <f>"14055"</f>
        <v>14055</v>
      </c>
      <c r="D57" s="1" t="str">
        <f>"14055"</f>
        <v>14055</v>
      </c>
      <c r="E57" s="1" t="s">
        <v>17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</row>
    <row r="58" spans="1:11" x14ac:dyDescent="0.2">
      <c r="A58" s="1" t="s">
        <v>15</v>
      </c>
      <c r="B58" s="1" t="s">
        <v>69</v>
      </c>
      <c r="C58" s="1" t="str">
        <f>"66298787578009"</f>
        <v>66298787578009</v>
      </c>
      <c r="D58" s="1" t="str">
        <f>"701786"</f>
        <v>701786</v>
      </c>
      <c r="E58" s="1" t="s">
        <v>17</v>
      </c>
      <c r="F58" s="1">
        <v>12</v>
      </c>
      <c r="G58" s="1">
        <v>3651</v>
      </c>
      <c r="H58" s="1">
        <v>43812</v>
      </c>
      <c r="I58" s="1">
        <v>0</v>
      </c>
      <c r="J58" s="1">
        <v>12</v>
      </c>
      <c r="K58" s="1">
        <v>0</v>
      </c>
    </row>
    <row r="59" spans="1:11" x14ac:dyDescent="0.2">
      <c r="A59" s="1" t="s">
        <v>15</v>
      </c>
      <c r="B59" s="1" t="s">
        <v>70</v>
      </c>
      <c r="C59" s="1" t="str">
        <f>"66298787623732"</f>
        <v>66298787623732</v>
      </c>
      <c r="D59" s="1" t="str">
        <f>"701842"</f>
        <v>701842</v>
      </c>
      <c r="E59" s="1" t="s">
        <v>17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</row>
    <row r="60" spans="1:11" x14ac:dyDescent="0.2">
      <c r="A60" s="1" t="s">
        <v>15</v>
      </c>
      <c r="B60" s="1" t="s">
        <v>71</v>
      </c>
      <c r="C60" s="1" t="str">
        <f>"66298787673056"</f>
        <v>66298787673056</v>
      </c>
      <c r="D60" s="1" t="str">
        <f>"701787"</f>
        <v>701787</v>
      </c>
      <c r="E60" s="1" t="s">
        <v>17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</row>
    <row r="61" spans="1:11" x14ac:dyDescent="0.2">
      <c r="A61" s="1" t="s">
        <v>15</v>
      </c>
      <c r="B61" s="1" t="s">
        <v>72</v>
      </c>
      <c r="C61" s="1" t="str">
        <f>"66298787720426"</f>
        <v>66298787720426</v>
      </c>
      <c r="D61" s="1" t="str">
        <f>"701789"</f>
        <v>701789</v>
      </c>
      <c r="E61" s="1" t="s">
        <v>17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</row>
    <row r="62" spans="1:11" x14ac:dyDescent="0.2">
      <c r="A62" s="1" t="s">
        <v>15</v>
      </c>
      <c r="B62" s="1" t="s">
        <v>73</v>
      </c>
      <c r="C62" s="1" t="str">
        <f>"66298787768776"</f>
        <v>66298787768776</v>
      </c>
      <c r="D62" s="1" t="str">
        <f>"107996"</f>
        <v>107996</v>
      </c>
      <c r="E62" s="1" t="s">
        <v>17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</row>
    <row r="63" spans="1:11" x14ac:dyDescent="0.2">
      <c r="A63" s="1" t="s">
        <v>15</v>
      </c>
      <c r="B63" s="1" t="s">
        <v>74</v>
      </c>
      <c r="C63" s="1" t="str">
        <f>"66298787809728"</f>
        <v>66298787809728</v>
      </c>
      <c r="D63" s="1" t="str">
        <f>"107696"</f>
        <v>107696</v>
      </c>
      <c r="E63" s="1" t="s">
        <v>17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</row>
    <row r="64" spans="1:11" x14ac:dyDescent="0.2">
      <c r="A64" s="1" t="s">
        <v>15</v>
      </c>
      <c r="B64" s="1" t="s">
        <v>75</v>
      </c>
      <c r="C64" s="1" t="str">
        <f>"66298787857853"</f>
        <v>66298787857853</v>
      </c>
      <c r="D64" s="1" t="str">
        <f>"107796"</f>
        <v>107796</v>
      </c>
      <c r="E64" s="1" t="s">
        <v>17</v>
      </c>
      <c r="F64" s="1">
        <v>12</v>
      </c>
      <c r="G64" s="1">
        <v>5194</v>
      </c>
      <c r="H64" s="1">
        <v>62328</v>
      </c>
      <c r="I64" s="1">
        <v>0</v>
      </c>
      <c r="J64" s="1">
        <v>12</v>
      </c>
      <c r="K64" s="1">
        <v>0</v>
      </c>
    </row>
    <row r="65" spans="1:11" x14ac:dyDescent="0.2">
      <c r="A65" s="1" t="s">
        <v>15</v>
      </c>
      <c r="B65" s="1" t="s">
        <v>76</v>
      </c>
      <c r="C65" s="1" t="str">
        <f>"66298787903641"</f>
        <v>66298787903641</v>
      </c>
      <c r="D65" s="1" t="str">
        <f>"800663"</f>
        <v>800663</v>
      </c>
      <c r="E65" s="1" t="s">
        <v>17</v>
      </c>
      <c r="F65" s="1">
        <v>6</v>
      </c>
      <c r="G65" s="1">
        <v>4765</v>
      </c>
      <c r="H65" s="1">
        <v>28590</v>
      </c>
      <c r="I65" s="1">
        <v>0</v>
      </c>
      <c r="J65" s="1">
        <v>6</v>
      </c>
      <c r="K65" s="1">
        <v>0</v>
      </c>
    </row>
    <row r="66" spans="1:11" x14ac:dyDescent="0.2">
      <c r="A66" s="1" t="s">
        <v>15</v>
      </c>
      <c r="B66" s="1" t="s">
        <v>77</v>
      </c>
      <c r="C66" s="1" t="str">
        <f>"66298787945885"</f>
        <v>66298787945885</v>
      </c>
      <c r="D66" s="1" t="str">
        <f>"73920"</f>
        <v>73920</v>
      </c>
      <c r="E66" s="1" t="s">
        <v>17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</row>
    <row r="67" spans="1:11" x14ac:dyDescent="0.2">
      <c r="A67" s="1" t="s">
        <v>15</v>
      </c>
      <c r="B67" s="1" t="s">
        <v>78</v>
      </c>
      <c r="C67" s="1" t="str">
        <f>"66298787991826"</f>
        <v>66298787991826</v>
      </c>
      <c r="D67" s="1" t="str">
        <f>"H048"</f>
        <v>H048</v>
      </c>
      <c r="E67" s="1" t="s">
        <v>17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</row>
    <row r="68" spans="1:11" x14ac:dyDescent="0.2">
      <c r="A68" s="1" t="s">
        <v>15</v>
      </c>
      <c r="B68" s="1" t="s">
        <v>79</v>
      </c>
      <c r="C68" s="1" t="str">
        <f>"66298788034546"</f>
        <v>66298788034546</v>
      </c>
      <c r="D68" s="1" t="str">
        <f>"800536"</f>
        <v>800536</v>
      </c>
      <c r="E68" s="1" t="s">
        <v>17</v>
      </c>
      <c r="F68" s="1">
        <v>27</v>
      </c>
      <c r="G68" s="1">
        <v>11761</v>
      </c>
      <c r="H68" s="1">
        <v>317547</v>
      </c>
      <c r="I68" s="1">
        <v>0</v>
      </c>
      <c r="J68" s="1">
        <v>27</v>
      </c>
      <c r="K68" s="1">
        <v>0</v>
      </c>
    </row>
    <row r="69" spans="1:11" x14ac:dyDescent="0.2">
      <c r="A69" s="1" t="s">
        <v>80</v>
      </c>
      <c r="B69" s="1" t="s">
        <v>81</v>
      </c>
      <c r="C69" s="1" t="str">
        <f>"66298788077576"</f>
        <v>66298788077576</v>
      </c>
      <c r="D69" s="1" t="str">
        <f>"KB004-C"</f>
        <v>KB004-C</v>
      </c>
      <c r="E69" s="1" t="s">
        <v>17</v>
      </c>
      <c r="F69" s="1">
        <v>9</v>
      </c>
      <c r="G69" s="1">
        <v>270</v>
      </c>
      <c r="H69" s="1">
        <v>2430</v>
      </c>
      <c r="I69" s="1">
        <v>0</v>
      </c>
      <c r="J69" s="1">
        <v>9</v>
      </c>
      <c r="K69" s="1">
        <v>0</v>
      </c>
    </row>
    <row r="70" spans="1:11" x14ac:dyDescent="0.2">
      <c r="A70" s="1" t="s">
        <v>80</v>
      </c>
      <c r="B70" s="1" t="s">
        <v>82</v>
      </c>
      <c r="C70" s="1" t="str">
        <f>"66298788119612"</f>
        <v>66298788119612</v>
      </c>
      <c r="D70" s="1" t="str">
        <f>"KB004-A"</f>
        <v>KB004-A</v>
      </c>
      <c r="E70" s="1" t="s">
        <v>17</v>
      </c>
      <c r="F70" s="1">
        <v>25</v>
      </c>
      <c r="G70" s="1">
        <v>279</v>
      </c>
      <c r="H70" s="1">
        <v>6975</v>
      </c>
      <c r="I70" s="1">
        <v>0</v>
      </c>
      <c r="J70" s="1">
        <v>25</v>
      </c>
      <c r="K70" s="1">
        <v>0</v>
      </c>
    </row>
    <row r="71" spans="1:11" x14ac:dyDescent="0.2">
      <c r="A71" s="1" t="s">
        <v>80</v>
      </c>
      <c r="B71" s="1" t="s">
        <v>83</v>
      </c>
      <c r="C71" s="1" t="str">
        <f>"66298788160575"</f>
        <v>66298788160575</v>
      </c>
      <c r="D71" s="1" t="str">
        <f>"KB004-B"</f>
        <v>KB004-B</v>
      </c>
      <c r="E71" s="1" t="s">
        <v>17</v>
      </c>
      <c r="F71" s="1">
        <v>26</v>
      </c>
      <c r="G71" s="1">
        <v>270</v>
      </c>
      <c r="H71" s="1">
        <v>7020</v>
      </c>
      <c r="I71" s="1">
        <v>0</v>
      </c>
      <c r="J71" s="1">
        <v>26</v>
      </c>
      <c r="K71" s="1">
        <v>0</v>
      </c>
    </row>
    <row r="72" spans="1:11" x14ac:dyDescent="0.2">
      <c r="A72" s="1" t="s">
        <v>80</v>
      </c>
      <c r="B72" s="1" t="s">
        <v>84</v>
      </c>
      <c r="C72" s="1" t="str">
        <f>"66298788200764"</f>
        <v>66298788200764</v>
      </c>
      <c r="D72" s="1" t="str">
        <f>"KB002"</f>
        <v>KB002</v>
      </c>
      <c r="E72" s="1" t="s">
        <v>17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</row>
    <row r="73" spans="1:11" x14ac:dyDescent="0.2">
      <c r="A73" s="1" t="s">
        <v>80</v>
      </c>
      <c r="B73" s="1" t="s">
        <v>85</v>
      </c>
      <c r="C73" s="1" t="str">
        <f>"66298788244552"</f>
        <v>66298788244552</v>
      </c>
      <c r="D73" s="1" t="str">
        <f>"KB004-D"</f>
        <v>KB004-D</v>
      </c>
      <c r="E73" s="1" t="s">
        <v>17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</row>
    <row r="74" spans="1:11" x14ac:dyDescent="0.2">
      <c r="A74" s="1" t="s">
        <v>80</v>
      </c>
      <c r="B74" s="1" t="s">
        <v>86</v>
      </c>
      <c r="C74" s="1" t="str">
        <f>"KB013-A"</f>
        <v>KB013-A</v>
      </c>
      <c r="D74" s="1" t="str">
        <f>"KB013-A"</f>
        <v>KB013-A</v>
      </c>
      <c r="E74" s="1" t="s">
        <v>17</v>
      </c>
      <c r="F74" s="1">
        <v>25</v>
      </c>
      <c r="G74" s="1">
        <v>351</v>
      </c>
      <c r="H74" s="1">
        <v>8775</v>
      </c>
      <c r="I74" s="1">
        <v>0</v>
      </c>
      <c r="J74" s="1">
        <v>25</v>
      </c>
      <c r="K74" s="1">
        <v>0</v>
      </c>
    </row>
    <row r="75" spans="1:11" x14ac:dyDescent="0.2">
      <c r="A75" s="1" t="s">
        <v>80</v>
      </c>
      <c r="B75" s="1" t="s">
        <v>87</v>
      </c>
      <c r="C75" s="1" t="str">
        <f>"66298788283502"</f>
        <v>66298788283502</v>
      </c>
      <c r="D75" s="1" t="str">
        <f>"KB004"</f>
        <v>KB004</v>
      </c>
      <c r="E75" s="1" t="s">
        <v>17</v>
      </c>
      <c r="F75" s="1">
        <v>33</v>
      </c>
      <c r="G75" s="1">
        <v>270</v>
      </c>
      <c r="H75" s="1">
        <v>8910</v>
      </c>
      <c r="I75" s="1">
        <v>0</v>
      </c>
      <c r="J75" s="1">
        <v>33</v>
      </c>
      <c r="K75" s="1">
        <v>0</v>
      </c>
    </row>
    <row r="76" spans="1:11" x14ac:dyDescent="0.2">
      <c r="A76" s="1" t="s">
        <v>18</v>
      </c>
      <c r="B76" s="1" t="s">
        <v>88</v>
      </c>
      <c r="C76" s="1" t="str">
        <f>"KB013"</f>
        <v>KB013</v>
      </c>
      <c r="D76" s="1" t="str">
        <f>"KB013"</f>
        <v>KB013</v>
      </c>
      <c r="E76" s="1" t="s">
        <v>17</v>
      </c>
      <c r="F76" s="1">
        <v>23</v>
      </c>
      <c r="G76" s="1">
        <v>351</v>
      </c>
      <c r="H76" s="1">
        <v>8073</v>
      </c>
      <c r="I76" s="1">
        <v>0</v>
      </c>
      <c r="J76" s="1">
        <v>23</v>
      </c>
      <c r="K76" s="1">
        <v>0</v>
      </c>
    </row>
    <row r="77" spans="1:11" x14ac:dyDescent="0.2">
      <c r="A77" s="1" t="s">
        <v>80</v>
      </c>
      <c r="B77" s="1" t="s">
        <v>89</v>
      </c>
      <c r="C77" s="1" t="str">
        <f>"66298788365361"</f>
        <v>66298788365361</v>
      </c>
      <c r="D77" s="1" t="str">
        <f>"KB002-8/10"</f>
        <v>KB002-8/10</v>
      </c>
      <c r="E77" s="1" t="s">
        <v>17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">
      <c r="A78" s="1" t="s">
        <v>80</v>
      </c>
      <c r="B78" s="1" t="s">
        <v>90</v>
      </c>
      <c r="C78" s="1" t="str">
        <f>"66298788405405"</f>
        <v>66298788405405</v>
      </c>
      <c r="D78" s="1" t="str">
        <f>"H112"</f>
        <v>H112</v>
      </c>
      <c r="E78" s="1" t="s">
        <v>17</v>
      </c>
      <c r="F78" s="1">
        <v>2</v>
      </c>
      <c r="G78" s="1">
        <v>1479</v>
      </c>
      <c r="H78" s="1">
        <v>2958</v>
      </c>
      <c r="I78" s="1">
        <v>0</v>
      </c>
      <c r="J78" s="1">
        <v>2</v>
      </c>
      <c r="K78" s="1">
        <v>0</v>
      </c>
    </row>
    <row r="79" spans="1:11" x14ac:dyDescent="0.2">
      <c r="A79" s="1" t="s">
        <v>15</v>
      </c>
      <c r="B79" s="1" t="s">
        <v>91</v>
      </c>
      <c r="C79" s="1" t="str">
        <f>"JD027"</f>
        <v>JD027</v>
      </c>
      <c r="D79" s="1" t="str">
        <f>"JD027"</f>
        <v>JD027</v>
      </c>
      <c r="E79" s="1" t="s">
        <v>17</v>
      </c>
      <c r="F79" s="1">
        <v>5</v>
      </c>
      <c r="G79" s="1">
        <v>791</v>
      </c>
      <c r="H79" s="1">
        <v>3955</v>
      </c>
      <c r="I79" s="1">
        <v>0</v>
      </c>
      <c r="J79" s="1">
        <v>5</v>
      </c>
      <c r="K79" s="1">
        <v>0</v>
      </c>
    </row>
    <row r="80" spans="1:11" x14ac:dyDescent="0.2">
      <c r="A80" s="1" t="s">
        <v>15</v>
      </c>
      <c r="B80" s="1" t="s">
        <v>92</v>
      </c>
      <c r="C80" s="1" t="str">
        <f>"11980"</f>
        <v>11980</v>
      </c>
      <c r="D80" s="1" t="str">
        <f>"11980"</f>
        <v>11980</v>
      </c>
      <c r="E80" s="1" t="s">
        <v>17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</row>
    <row r="81" spans="1:11" x14ac:dyDescent="0.2">
      <c r="A81" s="1" t="s">
        <v>15</v>
      </c>
      <c r="B81" s="1" t="s">
        <v>93</v>
      </c>
      <c r="C81" s="1" t="str">
        <f>"66298788482471"</f>
        <v>66298788482471</v>
      </c>
      <c r="D81" s="1" t="str">
        <f>"JD026"</f>
        <v>JD026</v>
      </c>
      <c r="E81" s="1" t="s">
        <v>17</v>
      </c>
      <c r="F81" s="1">
        <v>4</v>
      </c>
      <c r="G81" s="1">
        <v>428</v>
      </c>
      <c r="H81" s="1">
        <v>1712</v>
      </c>
      <c r="I81" s="1">
        <v>0</v>
      </c>
      <c r="J81" s="1">
        <v>4</v>
      </c>
      <c r="K81" s="1">
        <v>0</v>
      </c>
    </row>
    <row r="82" spans="1:11" x14ac:dyDescent="0.2">
      <c r="A82" s="1" t="s">
        <v>15</v>
      </c>
      <c r="B82" s="1" t="s">
        <v>94</v>
      </c>
      <c r="C82" s="1" t="str">
        <f>"66298788582396"</f>
        <v>66298788582396</v>
      </c>
      <c r="D82" s="1" t="str">
        <f>"0016A-AMARILLO"</f>
        <v>0016A-AMARILLO</v>
      </c>
      <c r="E82" s="1" t="s">
        <v>17</v>
      </c>
      <c r="F82" s="1">
        <v>9</v>
      </c>
      <c r="G82" s="1">
        <v>748</v>
      </c>
      <c r="H82" s="1">
        <v>6732</v>
      </c>
      <c r="I82" s="1">
        <v>0</v>
      </c>
      <c r="J82" s="1">
        <v>9</v>
      </c>
      <c r="K82" s="1">
        <v>0</v>
      </c>
    </row>
    <row r="83" spans="1:11" x14ac:dyDescent="0.2">
      <c r="A83" s="1" t="s">
        <v>15</v>
      </c>
      <c r="B83" s="1" t="s">
        <v>95</v>
      </c>
      <c r="C83" s="1" t="str">
        <f>"66298788624911"</f>
        <v>66298788624911</v>
      </c>
      <c r="D83" s="1" t="str">
        <f>"0016A-AZUL"</f>
        <v>0016A-AZUL</v>
      </c>
      <c r="E83" s="1" t="s">
        <v>17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</row>
    <row r="84" spans="1:11" x14ac:dyDescent="0.2">
      <c r="A84" s="1" t="s">
        <v>15</v>
      </c>
      <c r="B84" s="1" t="s">
        <v>96</v>
      </c>
      <c r="C84" s="1" t="str">
        <f>"66298788662197"</f>
        <v>66298788662197</v>
      </c>
      <c r="D84" s="1" t="str">
        <f>"0016A-VERDE"</f>
        <v>0016A-VERDE</v>
      </c>
      <c r="E84" s="1" t="s">
        <v>17</v>
      </c>
      <c r="F84" s="1">
        <v>2</v>
      </c>
      <c r="G84" s="1">
        <v>748</v>
      </c>
      <c r="H84" s="1">
        <v>1496</v>
      </c>
      <c r="I84" s="1">
        <v>0</v>
      </c>
      <c r="J84" s="1">
        <v>2</v>
      </c>
      <c r="K84" s="1">
        <v>0</v>
      </c>
    </row>
    <row r="85" spans="1:11" x14ac:dyDescent="0.2">
      <c r="A85" s="1" t="s">
        <v>15</v>
      </c>
      <c r="B85" s="1" t="s">
        <v>97</v>
      </c>
      <c r="C85" s="1" t="str">
        <f>"66298788525204"</f>
        <v>66298788525204</v>
      </c>
      <c r="D85" s="1" t="str">
        <f>"JD028"</f>
        <v>JD028</v>
      </c>
      <c r="E85" s="1" t="s">
        <v>17</v>
      </c>
      <c r="F85" s="1">
        <v>5</v>
      </c>
      <c r="G85" s="1">
        <v>865</v>
      </c>
      <c r="H85" s="1">
        <v>4325</v>
      </c>
      <c r="I85" s="1">
        <v>0</v>
      </c>
      <c r="J85" s="1">
        <v>5</v>
      </c>
      <c r="K85" s="1">
        <v>0</v>
      </c>
    </row>
    <row r="86" spans="1:11" x14ac:dyDescent="0.2">
      <c r="A86" s="1" t="s">
        <v>98</v>
      </c>
      <c r="B86" s="1" t="s">
        <v>99</v>
      </c>
      <c r="C86" s="1" t="str">
        <f>"66298788701757"</f>
        <v>66298788701757</v>
      </c>
      <c r="D86" s="1" t="str">
        <f>"H2112"</f>
        <v>H2112</v>
      </c>
      <c r="E86" s="1" t="s">
        <v>17</v>
      </c>
      <c r="F86" s="1">
        <v>1</v>
      </c>
      <c r="G86" s="1">
        <v>3030</v>
      </c>
      <c r="H86" s="1">
        <v>3030</v>
      </c>
      <c r="I86" s="1">
        <v>0</v>
      </c>
      <c r="J86" s="1">
        <v>1</v>
      </c>
      <c r="K86" s="1">
        <v>0</v>
      </c>
    </row>
    <row r="87" spans="1:11" x14ac:dyDescent="0.2">
      <c r="A87" s="1" t="s">
        <v>98</v>
      </c>
      <c r="B87" s="1" t="s">
        <v>99</v>
      </c>
      <c r="C87" s="1" t="str">
        <f>"VH001"</f>
        <v>VH001</v>
      </c>
      <c r="D87" s="1" t="str">
        <f>"VH001"</f>
        <v>VH001</v>
      </c>
      <c r="E87" s="1" t="s">
        <v>17</v>
      </c>
      <c r="F87" s="1">
        <v>6</v>
      </c>
      <c r="G87" s="1">
        <v>2771.92</v>
      </c>
      <c r="H87" s="1">
        <v>16632</v>
      </c>
      <c r="I87" s="1">
        <v>0</v>
      </c>
      <c r="J87" s="1">
        <v>6</v>
      </c>
      <c r="K87" s="1">
        <v>0</v>
      </c>
    </row>
    <row r="88" spans="1:11" x14ac:dyDescent="0.2">
      <c r="A88" s="1" t="s">
        <v>18</v>
      </c>
      <c r="B88" s="1" t="s">
        <v>100</v>
      </c>
      <c r="C88" s="1" t="str">
        <f>"66298788744831"</f>
        <v>66298788744831</v>
      </c>
      <c r="D88" s="1" t="str">
        <f>"11108"</f>
        <v>11108</v>
      </c>
      <c r="E88" s="1" t="s">
        <v>17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</row>
    <row r="89" spans="1:11" x14ac:dyDescent="0.2">
      <c r="A89" s="1" t="s">
        <v>18</v>
      </c>
      <c r="B89" s="1" t="s">
        <v>101</v>
      </c>
      <c r="C89" s="1" t="str">
        <f>"66298788785072"</f>
        <v>66298788785072</v>
      </c>
      <c r="D89" s="1" t="str">
        <f>"H176"</f>
        <v>H176</v>
      </c>
      <c r="E89" s="1" t="s">
        <v>17</v>
      </c>
      <c r="F89" s="1">
        <v>1</v>
      </c>
      <c r="G89" s="1">
        <v>11520</v>
      </c>
      <c r="H89" s="1">
        <v>11520</v>
      </c>
      <c r="I89" s="1">
        <v>0</v>
      </c>
      <c r="J89" s="1">
        <v>1</v>
      </c>
      <c r="K89" s="1">
        <v>0</v>
      </c>
    </row>
    <row r="90" spans="1:11" x14ac:dyDescent="0.2">
      <c r="A90" s="1" t="s">
        <v>18</v>
      </c>
      <c r="B90" s="1" t="s">
        <v>101</v>
      </c>
      <c r="C90" s="1" t="str">
        <f>"103036"</f>
        <v>103036</v>
      </c>
      <c r="D90" s="1" t="str">
        <f>"103036"</f>
        <v>103036</v>
      </c>
      <c r="E90" s="1" t="s">
        <v>17</v>
      </c>
      <c r="F90" s="1">
        <v>5</v>
      </c>
      <c r="G90" s="1">
        <v>8025</v>
      </c>
      <c r="H90" s="1">
        <v>40125</v>
      </c>
      <c r="I90" s="1">
        <v>0</v>
      </c>
      <c r="J90" s="1">
        <v>5</v>
      </c>
      <c r="K90" s="1">
        <v>0</v>
      </c>
    </row>
    <row r="91" spans="1:11" x14ac:dyDescent="0.2">
      <c r="A91" s="1" t="s">
        <v>102</v>
      </c>
      <c r="B91" s="1" t="s">
        <v>103</v>
      </c>
      <c r="C91" s="1" t="str">
        <f>"66298788825464"</f>
        <v>66298788825464</v>
      </c>
      <c r="D91" s="1" t="str">
        <f>"H224"</f>
        <v>H224</v>
      </c>
      <c r="E91" s="1" t="s">
        <v>17</v>
      </c>
      <c r="F91" s="1">
        <v>1</v>
      </c>
      <c r="G91" s="1">
        <v>1841</v>
      </c>
      <c r="H91" s="1">
        <v>1841</v>
      </c>
      <c r="I91" s="1">
        <v>0</v>
      </c>
      <c r="J91" s="1">
        <v>1</v>
      </c>
      <c r="K91" s="1">
        <v>0</v>
      </c>
    </row>
    <row r="92" spans="1:11" x14ac:dyDescent="0.2">
      <c r="A92" s="1" t="s">
        <v>102</v>
      </c>
      <c r="B92" s="1" t="s">
        <v>104</v>
      </c>
      <c r="C92" s="1" t="str">
        <f>"66298788864849"</f>
        <v>66298788864849</v>
      </c>
      <c r="D92" s="1" t="str">
        <f>"H089"</f>
        <v>H089</v>
      </c>
      <c r="E92" s="1" t="s">
        <v>17</v>
      </c>
      <c r="F92" s="1">
        <v>2</v>
      </c>
      <c r="G92" s="1">
        <v>5580</v>
      </c>
      <c r="H92" s="1">
        <v>11160</v>
      </c>
      <c r="I92" s="1">
        <v>0</v>
      </c>
      <c r="J92" s="1">
        <v>2</v>
      </c>
      <c r="K92" s="1">
        <v>0</v>
      </c>
    </row>
    <row r="93" spans="1:11" x14ac:dyDescent="0.2">
      <c r="A93" s="1" t="s">
        <v>102</v>
      </c>
      <c r="B93" s="1" t="s">
        <v>105</v>
      </c>
      <c r="C93" s="1" t="str">
        <f>"66298788910490"</f>
        <v>66298788910490</v>
      </c>
      <c r="D93" s="1" t="str">
        <f>"HH103"</f>
        <v>HH103</v>
      </c>
      <c r="E93" s="1" t="s">
        <v>17</v>
      </c>
      <c r="F93" s="1">
        <v>3</v>
      </c>
      <c r="G93" s="1">
        <v>7096</v>
      </c>
      <c r="H93" s="1">
        <v>21288</v>
      </c>
      <c r="I93" s="1">
        <v>0</v>
      </c>
      <c r="J93" s="1">
        <v>3</v>
      </c>
      <c r="K93" s="1">
        <v>0</v>
      </c>
    </row>
    <row r="94" spans="1:11" x14ac:dyDescent="0.2">
      <c r="A94" s="1" t="s">
        <v>102</v>
      </c>
      <c r="B94" s="1" t="s">
        <v>105</v>
      </c>
      <c r="C94" s="1" t="str">
        <f>"66298788916642"</f>
        <v>66298788916642</v>
      </c>
      <c r="D94" s="1" t="str">
        <f>"HH104"</f>
        <v>HH104</v>
      </c>
      <c r="E94" s="1" t="s">
        <v>17</v>
      </c>
      <c r="F94" s="1">
        <v>2</v>
      </c>
      <c r="G94" s="1">
        <v>7394</v>
      </c>
      <c r="H94" s="1">
        <v>14788</v>
      </c>
      <c r="I94" s="1">
        <v>0</v>
      </c>
      <c r="J94" s="1">
        <v>2</v>
      </c>
      <c r="K94" s="1">
        <v>0</v>
      </c>
    </row>
    <row r="95" spans="1:11" x14ac:dyDescent="0.2">
      <c r="A95" s="1" t="s">
        <v>102</v>
      </c>
      <c r="B95" s="1" t="s">
        <v>106</v>
      </c>
      <c r="C95" s="1" t="str">
        <f>"66298788973431"</f>
        <v>66298788973431</v>
      </c>
      <c r="D95" s="1" t="str">
        <f>"H117"</f>
        <v>H117</v>
      </c>
      <c r="E95" s="1" t="s">
        <v>17</v>
      </c>
      <c r="F95" s="1">
        <v>2</v>
      </c>
      <c r="G95" s="1">
        <v>2000</v>
      </c>
      <c r="H95" s="1">
        <v>4000</v>
      </c>
      <c r="I95" s="1">
        <v>0</v>
      </c>
      <c r="J95" s="1">
        <v>2</v>
      </c>
      <c r="K95" s="1">
        <v>0</v>
      </c>
    </row>
    <row r="96" spans="1:11" x14ac:dyDescent="0.2">
      <c r="A96" s="1" t="s">
        <v>18</v>
      </c>
      <c r="B96" s="1" t="s">
        <v>107</v>
      </c>
      <c r="C96" s="1" t="str">
        <f>"66298789015238"</f>
        <v>66298789015238</v>
      </c>
      <c r="D96" s="1" t="str">
        <f>"R008"</f>
        <v>R008</v>
      </c>
      <c r="E96" s="1" t="s">
        <v>17</v>
      </c>
      <c r="F96" s="1">
        <v>1</v>
      </c>
      <c r="G96" s="1">
        <v>1386</v>
      </c>
      <c r="H96" s="1">
        <v>1386</v>
      </c>
      <c r="I96" s="1">
        <v>0</v>
      </c>
      <c r="J96" s="1">
        <v>1</v>
      </c>
      <c r="K96" s="1">
        <v>0</v>
      </c>
    </row>
    <row r="97" spans="1:11" x14ac:dyDescent="0.2">
      <c r="A97" s="1" t="s">
        <v>18</v>
      </c>
      <c r="B97" s="1" t="s">
        <v>108</v>
      </c>
      <c r="C97" s="1" t="str">
        <f>"66298789057871"</f>
        <v>66298789057871</v>
      </c>
      <c r="D97" s="1" t="str">
        <f>"00388-CROMADO"</f>
        <v>00388-CROMADO</v>
      </c>
      <c r="E97" s="1" t="s">
        <v>17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</row>
    <row r="98" spans="1:11" x14ac:dyDescent="0.2">
      <c r="A98" s="1" t="s">
        <v>18</v>
      </c>
      <c r="B98" s="1" t="s">
        <v>109</v>
      </c>
      <c r="C98" s="1" t="str">
        <f>"66298789098616"</f>
        <v>66298789098616</v>
      </c>
      <c r="D98" s="1" t="str">
        <f>"JC009-ROJO"</f>
        <v>JC009-ROJO</v>
      </c>
      <c r="E98" s="1" t="s">
        <v>17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</row>
    <row r="99" spans="1:11" x14ac:dyDescent="0.2">
      <c r="A99" s="1" t="s">
        <v>18</v>
      </c>
      <c r="B99" s="1" t="s">
        <v>109</v>
      </c>
      <c r="C99" s="1" t="str">
        <f>"66298789105653"</f>
        <v>66298789105653</v>
      </c>
      <c r="D99" s="1" t="str">
        <f>"JC009-B-ROJO"</f>
        <v>JC009-B-ROJO</v>
      </c>
      <c r="E99" s="1" t="s">
        <v>17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</row>
    <row r="100" spans="1:11" x14ac:dyDescent="0.2">
      <c r="A100" s="1" t="s">
        <v>18</v>
      </c>
      <c r="B100" s="1" t="s">
        <v>110</v>
      </c>
      <c r="C100" s="1" t="str">
        <f>"66298789161466"</f>
        <v>66298789161466</v>
      </c>
      <c r="D100" s="1" t="str">
        <f>"JC013-A-NEGRO"</f>
        <v>JC013-A-NEGRO</v>
      </c>
      <c r="E100" s="1" t="s">
        <v>17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</row>
    <row r="101" spans="1:11" x14ac:dyDescent="0.2">
      <c r="A101" s="1" t="s">
        <v>18</v>
      </c>
      <c r="B101" s="1" t="s">
        <v>110</v>
      </c>
      <c r="C101" s="1" t="str">
        <f>"JC013-A-ROJO"</f>
        <v>JC013-A-ROJO</v>
      </c>
      <c r="D101" s="1" t="str">
        <f>"JC013-A-ROJO"</f>
        <v>JC013-A-ROJO</v>
      </c>
      <c r="E101" s="1" t="s">
        <v>17</v>
      </c>
      <c r="F101" s="1">
        <v>1</v>
      </c>
      <c r="G101" s="1">
        <v>8000</v>
      </c>
      <c r="H101" s="1">
        <v>8000</v>
      </c>
      <c r="I101" s="1">
        <v>0</v>
      </c>
      <c r="J101" s="1">
        <v>1</v>
      </c>
      <c r="K101" s="1">
        <v>0</v>
      </c>
    </row>
    <row r="102" spans="1:11" x14ac:dyDescent="0.2">
      <c r="A102" s="1" t="s">
        <v>18</v>
      </c>
      <c r="B102" s="1" t="s">
        <v>111</v>
      </c>
      <c r="C102" s="1" t="str">
        <f>"66298789203414"</f>
        <v>66298789203414</v>
      </c>
      <c r="D102" s="1" t="str">
        <f>"H031-A"</f>
        <v>H031-A</v>
      </c>
      <c r="E102" s="1" t="s">
        <v>17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</row>
    <row r="103" spans="1:11" x14ac:dyDescent="0.2">
      <c r="A103" s="1" t="s">
        <v>112</v>
      </c>
      <c r="B103" s="1" t="s">
        <v>113</v>
      </c>
      <c r="C103" s="1" t="str">
        <f>"66298789245299"</f>
        <v>66298789245299</v>
      </c>
      <c r="D103" s="1" t="str">
        <f>"400483"</f>
        <v>400483</v>
      </c>
      <c r="E103" s="1" t="s">
        <v>17</v>
      </c>
      <c r="F103" s="1">
        <v>9</v>
      </c>
      <c r="G103" s="1">
        <v>4710</v>
      </c>
      <c r="H103" s="1">
        <v>42390</v>
      </c>
      <c r="I103" s="1">
        <v>0</v>
      </c>
      <c r="J103" s="1">
        <v>9</v>
      </c>
      <c r="K103" s="1">
        <v>0</v>
      </c>
    </row>
    <row r="104" spans="1:11" x14ac:dyDescent="0.2">
      <c r="A104" s="1" t="s">
        <v>112</v>
      </c>
      <c r="B104" s="1" t="s">
        <v>114</v>
      </c>
      <c r="C104" s="1" t="str">
        <f>"66298789282704"</f>
        <v>66298789282704</v>
      </c>
      <c r="D104" s="1" t="str">
        <f>"310790275-0001"</f>
        <v>310790275-0001</v>
      </c>
      <c r="E104" s="1" t="s">
        <v>17</v>
      </c>
      <c r="F104" s="1">
        <v>2</v>
      </c>
      <c r="G104" s="1">
        <v>19866</v>
      </c>
      <c r="H104" s="1">
        <v>39732</v>
      </c>
      <c r="I104" s="1">
        <v>0</v>
      </c>
      <c r="J104" s="1">
        <v>2</v>
      </c>
      <c r="K104" s="1">
        <v>0</v>
      </c>
    </row>
    <row r="105" spans="1:11" x14ac:dyDescent="0.2">
      <c r="A105" s="1" t="s">
        <v>112</v>
      </c>
      <c r="B105" s="1" t="s">
        <v>115</v>
      </c>
      <c r="C105" s="1" t="str">
        <f>"66298789322737"</f>
        <v>66298789322737</v>
      </c>
      <c r="D105" s="1" t="str">
        <f>"SL-22200-000"</f>
        <v>SL-22200-000</v>
      </c>
      <c r="E105" s="1" t="s">
        <v>17</v>
      </c>
      <c r="F105" s="1">
        <v>2</v>
      </c>
      <c r="G105" s="1">
        <v>10538</v>
      </c>
      <c r="H105" s="1">
        <v>21076</v>
      </c>
      <c r="I105" s="1">
        <v>0</v>
      </c>
      <c r="J105" s="1">
        <v>2</v>
      </c>
      <c r="K105" s="1">
        <v>0</v>
      </c>
    </row>
    <row r="106" spans="1:11" x14ac:dyDescent="0.2">
      <c r="A106" s="1" t="s">
        <v>112</v>
      </c>
      <c r="B106" s="1" t="s">
        <v>116</v>
      </c>
      <c r="C106" s="1" t="str">
        <f>"66298789363541"</f>
        <v>66298789363541</v>
      </c>
      <c r="D106" s="1" t="str">
        <f>"DM-1710-25"</f>
        <v>DM-1710-25</v>
      </c>
      <c r="E106" s="1" t="s">
        <v>17</v>
      </c>
      <c r="F106" s="1">
        <v>2</v>
      </c>
      <c r="G106" s="1">
        <v>14159</v>
      </c>
      <c r="H106" s="1">
        <v>28318</v>
      </c>
      <c r="I106" s="1">
        <v>0</v>
      </c>
      <c r="J106" s="1">
        <v>2</v>
      </c>
      <c r="K106" s="1">
        <v>0</v>
      </c>
    </row>
    <row r="107" spans="1:11" x14ac:dyDescent="0.2">
      <c r="A107" s="1" t="s">
        <v>112</v>
      </c>
      <c r="B107" s="1" t="s">
        <v>117</v>
      </c>
      <c r="C107" s="1" t="str">
        <f>"66298789403957"</f>
        <v>66298789403957</v>
      </c>
      <c r="D107" s="1" t="str">
        <f>"52400-KWF-901"</f>
        <v>52400-KWF-901</v>
      </c>
      <c r="E107" s="1" t="s">
        <v>17</v>
      </c>
      <c r="F107" s="1">
        <v>3</v>
      </c>
      <c r="G107" s="1">
        <v>8965</v>
      </c>
      <c r="H107" s="1">
        <v>26895</v>
      </c>
      <c r="I107" s="1">
        <v>0</v>
      </c>
      <c r="J107" s="1">
        <v>3</v>
      </c>
      <c r="K107" s="1">
        <v>0</v>
      </c>
    </row>
    <row r="108" spans="1:11" x14ac:dyDescent="0.2">
      <c r="A108" s="1" t="s">
        <v>112</v>
      </c>
      <c r="B108" s="1" t="s">
        <v>118</v>
      </c>
      <c r="C108" s="1" t="str">
        <f>"66298789441912"</f>
        <v>66298789441912</v>
      </c>
      <c r="D108" s="1" t="str">
        <f>"52400-KSP-861"</f>
        <v>52400-KSP-861</v>
      </c>
      <c r="E108" s="1" t="s">
        <v>17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</row>
    <row r="109" spans="1:11" x14ac:dyDescent="0.2">
      <c r="A109" s="1" t="s">
        <v>112</v>
      </c>
      <c r="B109" s="1" t="s">
        <v>119</v>
      </c>
      <c r="C109" s="1" t="str">
        <f>"66298789482134"</f>
        <v>66298789482134</v>
      </c>
      <c r="D109" s="1" t="str">
        <f>"52400-KPF-891"</f>
        <v>52400-KPF-891</v>
      </c>
      <c r="E109" s="1" t="s">
        <v>17</v>
      </c>
      <c r="F109" s="1">
        <v>1</v>
      </c>
      <c r="G109" s="1">
        <v>35438</v>
      </c>
      <c r="H109" s="1">
        <v>35438</v>
      </c>
      <c r="I109" s="1">
        <v>0</v>
      </c>
      <c r="J109" s="1">
        <v>1</v>
      </c>
      <c r="K109" s="1">
        <v>0</v>
      </c>
    </row>
    <row r="110" spans="1:11" x14ac:dyDescent="0.2">
      <c r="A110" s="1" t="s">
        <v>112</v>
      </c>
      <c r="B110" s="1" t="s">
        <v>120</v>
      </c>
      <c r="C110" s="1" t="str">
        <f>"66298789531909"</f>
        <v>66298789531909</v>
      </c>
      <c r="D110" s="1" t="str">
        <f>"62100-44AB2-019"</f>
        <v>62100-44AB2-019</v>
      </c>
      <c r="E110" s="1" t="s">
        <v>17</v>
      </c>
      <c r="F110" s="1">
        <v>3</v>
      </c>
      <c r="G110" s="1">
        <v>40799.67</v>
      </c>
      <c r="H110" s="1">
        <v>122399</v>
      </c>
      <c r="I110" s="1">
        <v>0</v>
      </c>
      <c r="J110" s="1">
        <v>3</v>
      </c>
      <c r="K110" s="1">
        <v>0</v>
      </c>
    </row>
    <row r="111" spans="1:11" x14ac:dyDescent="0.2">
      <c r="A111" s="1" t="s">
        <v>112</v>
      </c>
      <c r="B111" s="1" t="s">
        <v>121</v>
      </c>
      <c r="C111" s="1" t="str">
        <f>"66298789573602"</f>
        <v>66298789573602</v>
      </c>
      <c r="D111" s="1" t="str">
        <f>"21C-F2210-00"</f>
        <v>21C-F2210-00</v>
      </c>
      <c r="E111" s="1" t="s">
        <v>17</v>
      </c>
      <c r="F111" s="1">
        <v>1</v>
      </c>
      <c r="G111" s="1">
        <v>30079</v>
      </c>
      <c r="H111" s="1">
        <v>30079</v>
      </c>
      <c r="I111" s="1">
        <v>0</v>
      </c>
      <c r="J111" s="1">
        <v>1</v>
      </c>
      <c r="K111" s="1">
        <v>0</v>
      </c>
    </row>
    <row r="112" spans="1:11" x14ac:dyDescent="0.2">
      <c r="A112" s="1" t="s">
        <v>112</v>
      </c>
      <c r="B112" s="1" t="s">
        <v>122</v>
      </c>
      <c r="C112" s="1" t="str">
        <f>"SA025"</f>
        <v>SA025</v>
      </c>
      <c r="D112" s="1" t="str">
        <f>"SA025"</f>
        <v>SA025</v>
      </c>
      <c r="E112" s="1" t="s">
        <v>17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</row>
    <row r="113" spans="1:11" x14ac:dyDescent="0.2">
      <c r="A113" s="1" t="s">
        <v>112</v>
      </c>
      <c r="B113" s="1" t="s">
        <v>123</v>
      </c>
      <c r="C113" s="1" t="str">
        <f>"66298789618646"</f>
        <v>66298789618646</v>
      </c>
      <c r="D113" s="1" t="str">
        <f>"52400-KBB-981ZA"</f>
        <v>52400-KBB-981ZA</v>
      </c>
      <c r="E113" s="1" t="s">
        <v>17</v>
      </c>
      <c r="F113" s="1">
        <v>6</v>
      </c>
      <c r="G113" s="1">
        <v>28859</v>
      </c>
      <c r="H113" s="1">
        <v>173154</v>
      </c>
      <c r="I113" s="1">
        <v>0</v>
      </c>
      <c r="J113" s="1">
        <v>6</v>
      </c>
      <c r="K113" s="1">
        <v>0</v>
      </c>
    </row>
    <row r="114" spans="1:11" x14ac:dyDescent="0.2">
      <c r="A114" s="1" t="s">
        <v>112</v>
      </c>
      <c r="B114" s="1" t="s">
        <v>124</v>
      </c>
      <c r="C114" s="1" t="str">
        <f>"52400-KPE-841ZA"</f>
        <v>52400-KPE-841ZA</v>
      </c>
      <c r="D114" s="1" t="str">
        <f>"52400-KPE-841ZA"</f>
        <v>52400-KPE-841ZA</v>
      </c>
      <c r="E114" s="1" t="s">
        <v>17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</row>
    <row r="115" spans="1:11" x14ac:dyDescent="0.2">
      <c r="A115" s="1" t="s">
        <v>112</v>
      </c>
      <c r="B115" s="1" t="s">
        <v>125</v>
      </c>
      <c r="C115" s="1" t="str">
        <f>"66298789658264"</f>
        <v>66298789658264</v>
      </c>
      <c r="D115" s="1" t="str">
        <f>"5RM-22210-01"</f>
        <v>5RM-22210-01</v>
      </c>
      <c r="E115" s="1" t="s">
        <v>17</v>
      </c>
      <c r="F115" s="1">
        <v>2</v>
      </c>
      <c r="G115" s="1">
        <v>32177</v>
      </c>
      <c r="H115" s="1">
        <v>64354</v>
      </c>
      <c r="I115" s="1">
        <v>0</v>
      </c>
      <c r="J115" s="1">
        <v>2</v>
      </c>
      <c r="K115" s="1">
        <v>0</v>
      </c>
    </row>
    <row r="116" spans="1:11" x14ac:dyDescent="0.2">
      <c r="A116" s="1" t="s">
        <v>112</v>
      </c>
      <c r="B116" s="1" t="s">
        <v>126</v>
      </c>
      <c r="C116" s="1" t="str">
        <f>"66298789700390"</f>
        <v>66298789700390</v>
      </c>
      <c r="D116" s="1" t="str">
        <f>"5JU-F2210-00"</f>
        <v>5JU-F2210-00</v>
      </c>
      <c r="E116" s="1" t="s">
        <v>17</v>
      </c>
      <c r="F116" s="1">
        <v>3</v>
      </c>
      <c r="G116" s="1">
        <v>6752</v>
      </c>
      <c r="H116" s="1">
        <v>20256</v>
      </c>
      <c r="I116" s="1">
        <v>0</v>
      </c>
      <c r="J116" s="1">
        <v>3</v>
      </c>
      <c r="K116" s="1">
        <v>0</v>
      </c>
    </row>
    <row r="117" spans="1:11" x14ac:dyDescent="0.2">
      <c r="A117" s="1" t="s">
        <v>112</v>
      </c>
      <c r="B117" s="1" t="s">
        <v>127</v>
      </c>
      <c r="C117" s="1" t="str">
        <f>"66298789740767"</f>
        <v>66298789740767</v>
      </c>
      <c r="D117" s="1" t="str">
        <f>"24P-F2210-01"</f>
        <v>24P-F2210-01</v>
      </c>
      <c r="E117" s="1" t="s">
        <v>17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</row>
    <row r="118" spans="1:11" x14ac:dyDescent="0.2">
      <c r="A118" s="1" t="s">
        <v>112</v>
      </c>
      <c r="B118" s="1" t="s">
        <v>128</v>
      </c>
      <c r="C118" s="1" t="str">
        <f>"66298789779675"</f>
        <v>66298789779675</v>
      </c>
      <c r="D118" s="1" t="str">
        <f>"4ST-F2210-00"</f>
        <v>4ST-F2210-00</v>
      </c>
      <c r="E118" s="1" t="s">
        <v>17</v>
      </c>
      <c r="F118" s="1">
        <v>4</v>
      </c>
      <c r="G118" s="1">
        <v>8565</v>
      </c>
      <c r="H118" s="1">
        <v>34260</v>
      </c>
      <c r="I118" s="1">
        <v>0</v>
      </c>
      <c r="J118" s="1">
        <v>4</v>
      </c>
      <c r="K118" s="1">
        <v>0</v>
      </c>
    </row>
    <row r="119" spans="1:11" x14ac:dyDescent="0.2">
      <c r="A119" s="1" t="s">
        <v>112</v>
      </c>
      <c r="B119" s="1" t="s">
        <v>129</v>
      </c>
      <c r="C119" s="1" t="str">
        <f>"66298789821597"</f>
        <v>66298789821597</v>
      </c>
      <c r="D119" s="1" t="str">
        <f>"62100-45F21-000"</f>
        <v>62100-45F21-000</v>
      </c>
      <c r="E119" s="1" t="s">
        <v>17</v>
      </c>
      <c r="F119" s="1">
        <v>3</v>
      </c>
      <c r="G119" s="1">
        <v>7160</v>
      </c>
      <c r="H119" s="1">
        <v>21480</v>
      </c>
      <c r="I119" s="1">
        <v>0</v>
      </c>
      <c r="J119" s="1">
        <v>3</v>
      </c>
      <c r="K119" s="1">
        <v>0</v>
      </c>
    </row>
    <row r="120" spans="1:11" x14ac:dyDescent="0.2">
      <c r="A120" s="1" t="s">
        <v>112</v>
      </c>
      <c r="B120" s="1" t="s">
        <v>130</v>
      </c>
      <c r="C120" s="1" t="str">
        <f>"66298789899639"</f>
        <v>66298789899639</v>
      </c>
      <c r="D120" s="1" t="str">
        <f>"400488"</f>
        <v>400488</v>
      </c>
      <c r="E120" s="1" t="s">
        <v>17</v>
      </c>
      <c r="F120" s="1">
        <v>4</v>
      </c>
      <c r="G120" s="1">
        <v>5718</v>
      </c>
      <c r="H120" s="1">
        <v>22872</v>
      </c>
      <c r="I120" s="1">
        <v>0</v>
      </c>
      <c r="J120" s="1">
        <v>4</v>
      </c>
      <c r="K120" s="1">
        <v>0</v>
      </c>
    </row>
    <row r="121" spans="1:11" x14ac:dyDescent="0.2">
      <c r="A121" s="1" t="s">
        <v>112</v>
      </c>
      <c r="B121" s="1" t="s">
        <v>131</v>
      </c>
      <c r="C121" s="1" t="str">
        <f>"66298789864357"</f>
        <v>66298789864357</v>
      </c>
      <c r="D121" s="1" t="str">
        <f>"80874"</f>
        <v>80874</v>
      </c>
      <c r="E121" s="1" t="s">
        <v>17</v>
      </c>
      <c r="F121" s="1">
        <v>4</v>
      </c>
      <c r="G121" s="1">
        <v>7733</v>
      </c>
      <c r="H121" s="1">
        <v>30932</v>
      </c>
      <c r="I121" s="1">
        <v>0</v>
      </c>
      <c r="J121" s="1">
        <v>4</v>
      </c>
      <c r="K121" s="1">
        <v>0</v>
      </c>
    </row>
    <row r="122" spans="1:11" x14ac:dyDescent="0.2">
      <c r="A122" s="1" t="s">
        <v>112</v>
      </c>
      <c r="B122" s="1" t="s">
        <v>132</v>
      </c>
      <c r="C122" s="1" t="str">
        <f>"66298789937694"</f>
        <v>66298789937694</v>
      </c>
      <c r="D122" s="1" t="str">
        <f>"62100-053H1-000"</f>
        <v>62100-053H1-000</v>
      </c>
      <c r="E122" s="1" t="s">
        <v>17</v>
      </c>
      <c r="F122" s="1">
        <v>2</v>
      </c>
      <c r="G122" s="1">
        <v>11540</v>
      </c>
      <c r="H122" s="1">
        <v>23080</v>
      </c>
      <c r="I122" s="1">
        <v>0</v>
      </c>
      <c r="J122" s="1">
        <v>2</v>
      </c>
      <c r="K122" s="1">
        <v>0</v>
      </c>
    </row>
    <row r="123" spans="1:11" x14ac:dyDescent="0.2">
      <c r="A123" s="1" t="s">
        <v>112</v>
      </c>
      <c r="B123" s="1" t="s">
        <v>133</v>
      </c>
      <c r="C123" s="1" t="str">
        <f>"SA003"</f>
        <v>SA003</v>
      </c>
      <c r="D123" s="1" t="str">
        <f>"SA003"</f>
        <v>SA003</v>
      </c>
      <c r="E123" s="1" t="s">
        <v>17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</row>
    <row r="124" spans="1:11" x14ac:dyDescent="0.2">
      <c r="A124" s="1" t="s">
        <v>112</v>
      </c>
      <c r="B124" s="1" t="s">
        <v>134</v>
      </c>
      <c r="C124" s="1" t="str">
        <f>"1V1-22210-0393"</f>
        <v>1V1-22210-0393</v>
      </c>
      <c r="D124" s="1" t="str">
        <f>"1V1-22210-0393"</f>
        <v>1V1-22210-0393</v>
      </c>
      <c r="E124" s="1" t="s">
        <v>17</v>
      </c>
      <c r="F124" s="1">
        <v>2</v>
      </c>
      <c r="G124" s="1">
        <v>8978</v>
      </c>
      <c r="H124" s="1">
        <v>17956</v>
      </c>
      <c r="I124" s="1">
        <v>0</v>
      </c>
      <c r="J124" s="1">
        <v>2</v>
      </c>
      <c r="K124" s="1">
        <v>0</v>
      </c>
    </row>
    <row r="125" spans="1:11" x14ac:dyDescent="0.2">
      <c r="A125" s="1" t="s">
        <v>112</v>
      </c>
      <c r="B125" s="1" t="s">
        <v>135</v>
      </c>
      <c r="C125" s="1" t="str">
        <f>"66298790030782"</f>
        <v>66298790030782</v>
      </c>
      <c r="D125" s="1" t="str">
        <f>"52400-KVC-900"</f>
        <v>52400-KVC-900</v>
      </c>
      <c r="E125" s="1" t="s">
        <v>17</v>
      </c>
      <c r="F125" s="1">
        <v>2</v>
      </c>
      <c r="G125" s="1">
        <v>12098</v>
      </c>
      <c r="H125" s="1">
        <v>24196</v>
      </c>
      <c r="I125" s="1">
        <v>0</v>
      </c>
      <c r="J125" s="1">
        <v>2</v>
      </c>
      <c r="K125" s="1">
        <v>0</v>
      </c>
    </row>
    <row r="126" spans="1:11" x14ac:dyDescent="0.2">
      <c r="A126" s="1" t="s">
        <v>112</v>
      </c>
      <c r="B126" s="1" t="s">
        <v>136</v>
      </c>
      <c r="C126" s="1" t="str">
        <f>"66298790211516"</f>
        <v>66298790211516</v>
      </c>
      <c r="D126" s="1" t="str">
        <f>"400455"</f>
        <v>400455</v>
      </c>
      <c r="E126" s="1" t="s">
        <v>17</v>
      </c>
      <c r="F126" s="1">
        <v>14</v>
      </c>
      <c r="G126" s="1">
        <v>4721</v>
      </c>
      <c r="H126" s="1">
        <v>66094</v>
      </c>
      <c r="I126" s="1">
        <v>0</v>
      </c>
      <c r="J126" s="1">
        <v>14</v>
      </c>
      <c r="K126" s="1">
        <v>0</v>
      </c>
    </row>
    <row r="127" spans="1:11" x14ac:dyDescent="0.2">
      <c r="A127" s="1" t="s">
        <v>112</v>
      </c>
      <c r="B127" s="1" t="s">
        <v>137</v>
      </c>
      <c r="C127" s="1" t="str">
        <f>"66298790074966"</f>
        <v>66298790074966</v>
      </c>
      <c r="D127" s="1" t="str">
        <f>"22P-F2210-00"</f>
        <v>22P-F2210-00</v>
      </c>
      <c r="E127" s="1" t="s">
        <v>17</v>
      </c>
      <c r="F127" s="1">
        <v>2</v>
      </c>
      <c r="G127" s="1">
        <v>12173</v>
      </c>
      <c r="H127" s="1">
        <v>24346</v>
      </c>
      <c r="I127" s="1">
        <v>0</v>
      </c>
      <c r="J127" s="1">
        <v>2</v>
      </c>
      <c r="K127" s="1">
        <v>0</v>
      </c>
    </row>
    <row r="128" spans="1:11" x14ac:dyDescent="0.2">
      <c r="A128" s="1" t="s">
        <v>112</v>
      </c>
      <c r="B128" s="1" t="s">
        <v>137</v>
      </c>
      <c r="C128" s="1" t="str">
        <f>"66298790124672"</f>
        <v>66298790124672</v>
      </c>
      <c r="D128" s="1" t="str">
        <f>"5VL-F2210-01"</f>
        <v>5VL-F2210-01</v>
      </c>
      <c r="E128" s="1" t="s">
        <v>17</v>
      </c>
      <c r="F128" s="1">
        <v>2</v>
      </c>
      <c r="G128" s="1">
        <v>10635</v>
      </c>
      <c r="H128" s="1">
        <v>21270</v>
      </c>
      <c r="I128" s="1">
        <v>0</v>
      </c>
      <c r="J128" s="1">
        <v>2</v>
      </c>
      <c r="K128" s="1">
        <v>0</v>
      </c>
    </row>
    <row r="129" spans="1:11" x14ac:dyDescent="0.2">
      <c r="A129" s="1" t="s">
        <v>112</v>
      </c>
      <c r="B129" s="1" t="s">
        <v>138</v>
      </c>
      <c r="C129" s="1" t="str">
        <f>"66298790261414"</f>
        <v>66298790261414</v>
      </c>
      <c r="D129" s="1" t="str">
        <f>"400490"</f>
        <v>400490</v>
      </c>
      <c r="E129" s="1" t="s">
        <v>17</v>
      </c>
      <c r="F129" s="1">
        <v>9</v>
      </c>
      <c r="G129" s="1">
        <v>5557</v>
      </c>
      <c r="H129" s="1">
        <v>50013</v>
      </c>
      <c r="I129" s="1">
        <v>0</v>
      </c>
      <c r="J129" s="1">
        <v>9</v>
      </c>
      <c r="K129" s="1">
        <v>0</v>
      </c>
    </row>
    <row r="130" spans="1:11" x14ac:dyDescent="0.2">
      <c r="A130" s="1" t="s">
        <v>112</v>
      </c>
      <c r="B130" s="1" t="s">
        <v>139</v>
      </c>
      <c r="C130" s="1" t="str">
        <f>"66298790300499"</f>
        <v>66298790300499</v>
      </c>
      <c r="D130" s="1" t="str">
        <f>"400486"</f>
        <v>400486</v>
      </c>
      <c r="E130" s="1" t="s">
        <v>17</v>
      </c>
      <c r="F130" s="1">
        <v>6</v>
      </c>
      <c r="G130" s="1">
        <v>5608</v>
      </c>
      <c r="H130" s="1">
        <v>33648</v>
      </c>
      <c r="I130" s="1">
        <v>0</v>
      </c>
      <c r="J130" s="1">
        <v>6</v>
      </c>
      <c r="K130" s="1">
        <v>0</v>
      </c>
    </row>
    <row r="131" spans="1:11" x14ac:dyDescent="0.2">
      <c r="A131" s="1" t="s">
        <v>112</v>
      </c>
      <c r="B131" s="1" t="s">
        <v>140</v>
      </c>
      <c r="C131" s="1" t="str">
        <f>"66298790340896"</f>
        <v>66298790340896</v>
      </c>
      <c r="D131" s="1" t="str">
        <f>"SA005"</f>
        <v>SA005</v>
      </c>
      <c r="E131" s="1" t="s">
        <v>17</v>
      </c>
      <c r="F131" s="1">
        <v>3</v>
      </c>
      <c r="G131" s="1">
        <v>16721</v>
      </c>
      <c r="H131" s="1">
        <v>50163</v>
      </c>
      <c r="I131" s="1">
        <v>0</v>
      </c>
      <c r="J131" s="1">
        <v>3</v>
      </c>
      <c r="K131" s="1">
        <v>0</v>
      </c>
    </row>
    <row r="132" spans="1:11" ht="30" x14ac:dyDescent="0.2">
      <c r="A132" s="1" t="s">
        <v>141</v>
      </c>
      <c r="B132" s="1" t="s">
        <v>142</v>
      </c>
      <c r="C132" s="1" t="str">
        <f>"66298790381677"</f>
        <v>66298790381677</v>
      </c>
      <c r="D132" s="1" t="str">
        <f>"81526"</f>
        <v>81526</v>
      </c>
      <c r="E132" s="1" t="s">
        <v>17</v>
      </c>
      <c r="F132" s="1">
        <v>15</v>
      </c>
      <c r="G132" s="1">
        <v>600</v>
      </c>
      <c r="H132" s="1">
        <v>9000</v>
      </c>
      <c r="I132" s="1">
        <v>0</v>
      </c>
      <c r="J132" s="1">
        <v>15</v>
      </c>
      <c r="K132" s="1">
        <v>0</v>
      </c>
    </row>
    <row r="133" spans="1:11" x14ac:dyDescent="0.2">
      <c r="A133" s="1" t="s">
        <v>141</v>
      </c>
      <c r="B133" s="1" t="s">
        <v>143</v>
      </c>
      <c r="C133" s="1" t="str">
        <f>"66298790426257"</f>
        <v>66298790426257</v>
      </c>
      <c r="D133" s="1" t="str">
        <f>"A-2746C"</f>
        <v>A-2746C</v>
      </c>
      <c r="E133" s="1" t="s">
        <v>17</v>
      </c>
      <c r="F133" s="1">
        <v>5</v>
      </c>
      <c r="G133" s="1">
        <v>202</v>
      </c>
      <c r="H133" s="1">
        <v>1010</v>
      </c>
      <c r="I133" s="1">
        <v>0</v>
      </c>
      <c r="J133" s="1">
        <v>5</v>
      </c>
      <c r="K133" s="1">
        <v>0</v>
      </c>
    </row>
    <row r="134" spans="1:11" x14ac:dyDescent="0.2">
      <c r="A134" s="1" t="s">
        <v>141</v>
      </c>
      <c r="B134" s="1" t="s">
        <v>144</v>
      </c>
      <c r="C134" s="1" t="str">
        <f>"66298790467302"</f>
        <v>66298790467302</v>
      </c>
      <c r="D134" s="1" t="str">
        <f>"400913"</f>
        <v>400913</v>
      </c>
      <c r="E134" s="1" t="s">
        <v>17</v>
      </c>
      <c r="F134" s="1">
        <v>52</v>
      </c>
      <c r="G134" s="1">
        <v>729</v>
      </c>
      <c r="H134" s="1">
        <v>37908</v>
      </c>
      <c r="I134" s="1">
        <v>0</v>
      </c>
      <c r="J134" s="1">
        <v>52</v>
      </c>
      <c r="K134" s="1">
        <v>0</v>
      </c>
    </row>
    <row r="135" spans="1:11" x14ac:dyDescent="0.2">
      <c r="A135" s="1" t="s">
        <v>141</v>
      </c>
      <c r="B135" s="1" t="s">
        <v>145</v>
      </c>
      <c r="C135" s="1" t="str">
        <f>"66298790509113"</f>
        <v>66298790509113</v>
      </c>
      <c r="D135" s="1" t="str">
        <f>"12728C1"</f>
        <v>12728C1</v>
      </c>
      <c r="E135" s="1" t="s">
        <v>17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</row>
    <row r="136" spans="1:11" ht="30" x14ac:dyDescent="0.2">
      <c r="A136" s="1" t="s">
        <v>141</v>
      </c>
      <c r="B136" s="1" t="s">
        <v>146</v>
      </c>
      <c r="C136" s="1" t="str">
        <f>"66298790549304"</f>
        <v>66298790549304</v>
      </c>
      <c r="D136" s="1" t="str">
        <f>"H4-12458MV-BI"</f>
        <v>H4-12458MV-BI</v>
      </c>
      <c r="E136" s="1" t="s">
        <v>17</v>
      </c>
      <c r="F136" s="1">
        <v>1</v>
      </c>
      <c r="G136" s="1">
        <v>7943</v>
      </c>
      <c r="H136" s="1">
        <v>7943</v>
      </c>
      <c r="I136" s="1">
        <v>0</v>
      </c>
      <c r="J136" s="1">
        <v>1</v>
      </c>
      <c r="K136" s="1">
        <v>0</v>
      </c>
    </row>
    <row r="137" spans="1:11" x14ac:dyDescent="0.2">
      <c r="A137" s="1" t="s">
        <v>141</v>
      </c>
      <c r="B137" s="1" t="s">
        <v>147</v>
      </c>
      <c r="C137" s="1" t="str">
        <f>"66298790596730"</f>
        <v>66298790596730</v>
      </c>
      <c r="D137" s="1" t="str">
        <f>"400588"</f>
        <v>400588</v>
      </c>
      <c r="E137" s="1" t="s">
        <v>17</v>
      </c>
      <c r="F137" s="1">
        <v>324</v>
      </c>
      <c r="G137" s="1">
        <v>93</v>
      </c>
      <c r="H137" s="1">
        <v>30132</v>
      </c>
      <c r="I137" s="1">
        <v>0</v>
      </c>
      <c r="J137" s="1">
        <v>324</v>
      </c>
      <c r="K137" s="1">
        <v>0</v>
      </c>
    </row>
    <row r="138" spans="1:11" x14ac:dyDescent="0.2">
      <c r="A138" s="1" t="s">
        <v>141</v>
      </c>
      <c r="B138" s="1" t="s">
        <v>148</v>
      </c>
      <c r="C138" s="1" t="str">
        <f>"66298790642327"</f>
        <v>66298790642327</v>
      </c>
      <c r="D138" s="1" t="str">
        <f>"400159"</f>
        <v>400159</v>
      </c>
      <c r="E138" s="1" t="s">
        <v>17</v>
      </c>
      <c r="F138" s="1">
        <v>79</v>
      </c>
      <c r="G138" s="1">
        <v>260</v>
      </c>
      <c r="H138" s="1">
        <v>20540</v>
      </c>
      <c r="I138" s="1">
        <v>0</v>
      </c>
      <c r="J138" s="1">
        <v>79</v>
      </c>
      <c r="K138" s="1">
        <v>0</v>
      </c>
    </row>
    <row r="139" spans="1:11" x14ac:dyDescent="0.2">
      <c r="A139" s="1" t="s">
        <v>141</v>
      </c>
      <c r="B139" s="1" t="s">
        <v>149</v>
      </c>
      <c r="C139" s="1" t="str">
        <f>"BA20"</f>
        <v>BA20</v>
      </c>
      <c r="D139" s="1" t="str">
        <f>"BA20"</f>
        <v>BA20</v>
      </c>
      <c r="E139" s="1" t="s">
        <v>17</v>
      </c>
      <c r="F139" s="1">
        <v>13</v>
      </c>
      <c r="G139" s="1">
        <v>623</v>
      </c>
      <c r="H139" s="1">
        <v>8099</v>
      </c>
      <c r="I139" s="1">
        <v>0</v>
      </c>
      <c r="J139" s="1">
        <v>13</v>
      </c>
      <c r="K139" s="1">
        <v>0</v>
      </c>
    </row>
    <row r="140" spans="1:11" x14ac:dyDescent="0.2">
      <c r="A140" s="1" t="s">
        <v>141</v>
      </c>
      <c r="B140" s="1" t="s">
        <v>150</v>
      </c>
      <c r="C140" s="1" t="str">
        <f>"66298790679312"</f>
        <v>66298790679312</v>
      </c>
      <c r="D140" s="1" t="str">
        <f>"400914"</f>
        <v>400914</v>
      </c>
      <c r="E140" s="1" t="s">
        <v>17</v>
      </c>
      <c r="F140" s="1">
        <v>68</v>
      </c>
      <c r="G140" s="1">
        <v>914</v>
      </c>
      <c r="H140" s="1">
        <v>62152</v>
      </c>
      <c r="I140" s="1">
        <v>0</v>
      </c>
      <c r="J140" s="1">
        <v>68</v>
      </c>
      <c r="K140" s="1">
        <v>0</v>
      </c>
    </row>
    <row r="141" spans="1:11" x14ac:dyDescent="0.2">
      <c r="A141" s="1" t="s">
        <v>141</v>
      </c>
      <c r="B141" s="1" t="s">
        <v>151</v>
      </c>
      <c r="C141" s="1" t="str">
        <f>"PX43T"</f>
        <v>PX43T</v>
      </c>
      <c r="D141" s="1" t="str">
        <f>"PX43T"</f>
        <v>PX43T</v>
      </c>
      <c r="E141" s="1" t="s">
        <v>17</v>
      </c>
      <c r="F141" s="1">
        <v>4</v>
      </c>
      <c r="G141" s="1">
        <v>1575</v>
      </c>
      <c r="H141" s="1">
        <v>6300</v>
      </c>
      <c r="I141" s="1">
        <v>0</v>
      </c>
      <c r="J141" s="1">
        <v>4</v>
      </c>
      <c r="K141" s="1">
        <v>0</v>
      </c>
    </row>
    <row r="142" spans="1:11" ht="30" x14ac:dyDescent="0.2">
      <c r="A142" s="1" t="s">
        <v>141</v>
      </c>
      <c r="B142" s="1" t="s">
        <v>152</v>
      </c>
      <c r="C142" s="1" t="str">
        <f>"66298790731121"</f>
        <v>66298790731121</v>
      </c>
      <c r="D142" s="1" t="str">
        <f>"81527"</f>
        <v>81527</v>
      </c>
      <c r="E142" s="1" t="s">
        <v>17</v>
      </c>
      <c r="F142" s="1">
        <v>7</v>
      </c>
      <c r="G142" s="1">
        <v>912</v>
      </c>
      <c r="H142" s="1">
        <v>6384</v>
      </c>
      <c r="I142" s="1">
        <v>0</v>
      </c>
      <c r="J142" s="1">
        <v>7</v>
      </c>
      <c r="K142" s="1">
        <v>0</v>
      </c>
    </row>
    <row r="143" spans="1:11" ht="30" x14ac:dyDescent="0.2">
      <c r="A143" s="1" t="s">
        <v>141</v>
      </c>
      <c r="B143" s="1" t="s">
        <v>152</v>
      </c>
      <c r="C143" s="1" t="str">
        <f>"66298790769154"</f>
        <v>66298790769154</v>
      </c>
      <c r="D143" s="1" t="str">
        <f>"AY-2748-K"</f>
        <v>AY-2748-K</v>
      </c>
      <c r="E143" s="1" t="s">
        <v>17</v>
      </c>
      <c r="F143" s="1">
        <v>10</v>
      </c>
      <c r="G143" s="1">
        <v>1582</v>
      </c>
      <c r="H143" s="1">
        <v>15820</v>
      </c>
      <c r="I143" s="1">
        <v>0</v>
      </c>
      <c r="J143" s="1">
        <v>10</v>
      </c>
      <c r="K143" s="1">
        <v>0</v>
      </c>
    </row>
    <row r="144" spans="1:11" ht="30" x14ac:dyDescent="0.2">
      <c r="A144" s="1" t="s">
        <v>141</v>
      </c>
      <c r="B144" s="1" t="s">
        <v>153</v>
      </c>
      <c r="C144" s="1" t="str">
        <f>"66298790806601"</f>
        <v>66298790806601</v>
      </c>
      <c r="D144" s="1" t="str">
        <f>"400589"</f>
        <v>400589</v>
      </c>
      <c r="E144" s="1" t="s">
        <v>17</v>
      </c>
      <c r="F144" s="1">
        <v>164</v>
      </c>
      <c r="G144" s="1">
        <v>334</v>
      </c>
      <c r="H144" s="1">
        <v>54776</v>
      </c>
      <c r="I144" s="1">
        <v>0</v>
      </c>
      <c r="J144" s="1">
        <v>164</v>
      </c>
      <c r="K144" s="1">
        <v>0</v>
      </c>
    </row>
    <row r="145" spans="1:11" ht="30" x14ac:dyDescent="0.2">
      <c r="A145" s="1" t="s">
        <v>141</v>
      </c>
      <c r="B145" s="1" t="s">
        <v>154</v>
      </c>
      <c r="C145" s="1" t="str">
        <f>"66298790855077"</f>
        <v>66298790855077</v>
      </c>
      <c r="D145" s="1" t="str">
        <f>"4464-H"</f>
        <v>4464-H</v>
      </c>
      <c r="E145" s="1" t="s">
        <v>17</v>
      </c>
      <c r="F145" s="1">
        <v>14</v>
      </c>
      <c r="G145" s="1">
        <v>835</v>
      </c>
      <c r="H145" s="1">
        <v>11690</v>
      </c>
      <c r="I145" s="1">
        <v>0</v>
      </c>
      <c r="J145" s="1">
        <v>14</v>
      </c>
      <c r="K145" s="1">
        <v>0</v>
      </c>
    </row>
    <row r="146" spans="1:11" x14ac:dyDescent="0.2">
      <c r="A146" s="1" t="s">
        <v>141</v>
      </c>
      <c r="B146" s="1" t="s">
        <v>155</v>
      </c>
      <c r="C146" s="1" t="str">
        <f>"66298790896822"</f>
        <v>66298790896822</v>
      </c>
      <c r="D146" s="1" t="str">
        <f>"SW-H7"</f>
        <v>SW-H7</v>
      </c>
      <c r="E146" s="1" t="s">
        <v>17</v>
      </c>
      <c r="F146" s="1">
        <v>2</v>
      </c>
      <c r="G146" s="1">
        <v>1883</v>
      </c>
      <c r="H146" s="1">
        <v>3766</v>
      </c>
      <c r="I146" s="1">
        <v>0</v>
      </c>
      <c r="J146" s="1">
        <v>2</v>
      </c>
      <c r="K146" s="1">
        <v>0</v>
      </c>
    </row>
    <row r="147" spans="1:11" x14ac:dyDescent="0.2">
      <c r="A147" s="1" t="s">
        <v>141</v>
      </c>
      <c r="B147" s="1" t="s">
        <v>156</v>
      </c>
      <c r="C147" s="1" t="str">
        <f>"66298790938668"</f>
        <v>66298790938668</v>
      </c>
      <c r="D147" s="1" t="str">
        <f>"AY-50340-BX"</f>
        <v>AY-50340-BX</v>
      </c>
      <c r="E147" s="1" t="s">
        <v>17</v>
      </c>
      <c r="F147" s="1">
        <v>3</v>
      </c>
      <c r="G147" s="1">
        <v>539</v>
      </c>
      <c r="H147" s="1">
        <v>1617</v>
      </c>
      <c r="I147" s="1">
        <v>0</v>
      </c>
      <c r="J147" s="1">
        <v>3</v>
      </c>
      <c r="K147" s="1">
        <v>0</v>
      </c>
    </row>
    <row r="148" spans="1:11" x14ac:dyDescent="0.2">
      <c r="A148" s="1" t="s">
        <v>141</v>
      </c>
      <c r="B148" s="1" t="s">
        <v>157</v>
      </c>
      <c r="C148" s="1" t="str">
        <f>"66298790980057"</f>
        <v>66298790980057</v>
      </c>
      <c r="D148" s="1" t="str">
        <f>"VF064"</f>
        <v>VF064</v>
      </c>
      <c r="E148" s="1" t="s">
        <v>17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</row>
    <row r="149" spans="1:11" x14ac:dyDescent="0.2">
      <c r="A149" s="1" t="s">
        <v>141</v>
      </c>
      <c r="B149" s="1" t="s">
        <v>158</v>
      </c>
      <c r="C149" s="1" t="str">
        <f>"66298791021092"</f>
        <v>66298791021092</v>
      </c>
      <c r="D149" s="1" t="str">
        <f>"VF063"</f>
        <v>VF063</v>
      </c>
      <c r="E149" s="1" t="s">
        <v>17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</row>
    <row r="150" spans="1:11" x14ac:dyDescent="0.2">
      <c r="A150" s="1" t="s">
        <v>141</v>
      </c>
      <c r="B150" s="1" t="s">
        <v>159</v>
      </c>
      <c r="C150" s="1" t="str">
        <f>"66298791062450"</f>
        <v>66298791062450</v>
      </c>
      <c r="D150" s="1" t="str">
        <f>"VF065"</f>
        <v>VF065</v>
      </c>
      <c r="E150" s="1" t="s">
        <v>17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</row>
    <row r="151" spans="1:11" x14ac:dyDescent="0.2">
      <c r="A151" s="1" t="s">
        <v>141</v>
      </c>
      <c r="B151" s="1" t="s">
        <v>160</v>
      </c>
      <c r="C151" s="1" t="str">
        <f>"134881"</f>
        <v>134881</v>
      </c>
      <c r="D151" s="1" t="str">
        <f>"134881"</f>
        <v>134881</v>
      </c>
      <c r="E151" s="1" t="s">
        <v>17</v>
      </c>
      <c r="F151" s="1">
        <v>19</v>
      </c>
      <c r="G151" s="1">
        <v>6261</v>
      </c>
      <c r="H151" s="1">
        <v>118959</v>
      </c>
      <c r="I151" s="1">
        <v>0</v>
      </c>
      <c r="J151" s="1">
        <v>19</v>
      </c>
      <c r="K151" s="1">
        <v>0</v>
      </c>
    </row>
    <row r="152" spans="1:11" x14ac:dyDescent="0.2">
      <c r="A152" s="1" t="s">
        <v>141</v>
      </c>
      <c r="B152" s="1" t="s">
        <v>161</v>
      </c>
      <c r="C152" s="1" t="str">
        <f>"VF024"</f>
        <v>VF024</v>
      </c>
      <c r="D152" s="1" t="str">
        <f>"VF024"</f>
        <v>VF024</v>
      </c>
      <c r="E152" s="1" t="s">
        <v>17</v>
      </c>
      <c r="F152" s="1">
        <v>1</v>
      </c>
      <c r="G152" s="1">
        <v>2990</v>
      </c>
      <c r="H152" s="1">
        <v>2990</v>
      </c>
      <c r="I152" s="1">
        <v>0</v>
      </c>
      <c r="J152" s="1">
        <v>1</v>
      </c>
      <c r="K152" s="1">
        <v>0</v>
      </c>
    </row>
    <row r="153" spans="1:11" x14ac:dyDescent="0.2">
      <c r="A153" s="1" t="s">
        <v>141</v>
      </c>
      <c r="B153" s="1" t="s">
        <v>162</v>
      </c>
      <c r="C153" s="1" t="str">
        <f>"66298791108060"</f>
        <v>66298791108060</v>
      </c>
      <c r="D153" s="1" t="str">
        <f>"VF009"</f>
        <v>VF009</v>
      </c>
      <c r="E153" s="1" t="s">
        <v>17</v>
      </c>
      <c r="F153" s="1">
        <v>2</v>
      </c>
      <c r="G153" s="1">
        <v>621</v>
      </c>
      <c r="H153" s="1">
        <v>1242</v>
      </c>
      <c r="I153" s="1">
        <v>0</v>
      </c>
      <c r="J153" s="1">
        <v>2</v>
      </c>
      <c r="K153" s="1">
        <v>0</v>
      </c>
    </row>
    <row r="154" spans="1:11" x14ac:dyDescent="0.2">
      <c r="A154" s="1" t="s">
        <v>141</v>
      </c>
      <c r="B154" s="1" t="s">
        <v>163</v>
      </c>
      <c r="C154" s="1" t="str">
        <f>"66298791149793"</f>
        <v>66298791149793</v>
      </c>
      <c r="D154" s="1" t="str">
        <f>"VF032"</f>
        <v>VF032</v>
      </c>
      <c r="E154" s="1" t="s">
        <v>17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</row>
    <row r="155" spans="1:11" x14ac:dyDescent="0.2">
      <c r="A155" s="1" t="s">
        <v>141</v>
      </c>
      <c r="B155" s="1" t="s">
        <v>164</v>
      </c>
      <c r="C155" s="1" t="str">
        <f>"1003"</f>
        <v>1003</v>
      </c>
      <c r="D155" s="1" t="str">
        <f>"1003"</f>
        <v>1003</v>
      </c>
      <c r="E155" s="1" t="s">
        <v>17</v>
      </c>
      <c r="F155" s="1">
        <v>8</v>
      </c>
      <c r="G155" s="1">
        <v>205.87</v>
      </c>
      <c r="H155" s="1">
        <v>1647</v>
      </c>
      <c r="I155" s="1">
        <v>0</v>
      </c>
      <c r="J155" s="1">
        <v>8</v>
      </c>
      <c r="K155" s="1">
        <v>0</v>
      </c>
    </row>
    <row r="156" spans="1:11" x14ac:dyDescent="0.2">
      <c r="A156" s="1" t="s">
        <v>141</v>
      </c>
      <c r="B156" s="1" t="s">
        <v>164</v>
      </c>
      <c r="C156" s="1" t="str">
        <f>"13066"</f>
        <v>13066</v>
      </c>
      <c r="D156" s="1" t="str">
        <f>"13066"</f>
        <v>13066</v>
      </c>
      <c r="E156" s="1" t="s">
        <v>17</v>
      </c>
      <c r="F156" s="1">
        <v>30</v>
      </c>
      <c r="G156" s="1">
        <v>231</v>
      </c>
      <c r="H156" s="1">
        <v>6930</v>
      </c>
      <c r="I156" s="1">
        <v>0</v>
      </c>
      <c r="J156" s="1">
        <v>30</v>
      </c>
      <c r="K156" s="1">
        <v>0</v>
      </c>
    </row>
    <row r="157" spans="1:11" x14ac:dyDescent="0.2">
      <c r="A157" s="1" t="s">
        <v>141</v>
      </c>
      <c r="B157" s="1" t="s">
        <v>165</v>
      </c>
      <c r="C157" s="1" t="str">
        <f>"66298791189346"</f>
        <v>66298791189346</v>
      </c>
      <c r="D157" s="1" t="str">
        <f>"400160"</f>
        <v>400160</v>
      </c>
      <c r="E157" s="1" t="s">
        <v>17</v>
      </c>
      <c r="F157" s="1">
        <v>433</v>
      </c>
      <c r="G157" s="1">
        <v>38</v>
      </c>
      <c r="H157" s="1">
        <v>16454</v>
      </c>
      <c r="I157" s="1">
        <v>0</v>
      </c>
      <c r="J157" s="1">
        <v>433</v>
      </c>
      <c r="K157" s="1">
        <v>0</v>
      </c>
    </row>
    <row r="158" spans="1:11" ht="30" x14ac:dyDescent="0.2">
      <c r="A158" s="1" t="s">
        <v>141</v>
      </c>
      <c r="B158" s="1" t="s">
        <v>166</v>
      </c>
      <c r="C158" s="1" t="str">
        <f>"66298791232937"</f>
        <v>66298791232937</v>
      </c>
      <c r="D158" s="1" t="str">
        <f>"12496NACP"</f>
        <v>12496NACP</v>
      </c>
      <c r="E158" s="1" t="s">
        <v>17</v>
      </c>
      <c r="F158" s="1">
        <v>6</v>
      </c>
      <c r="G158" s="1">
        <v>850</v>
      </c>
      <c r="H158" s="1">
        <v>5100</v>
      </c>
      <c r="I158" s="1">
        <v>0</v>
      </c>
      <c r="J158" s="1">
        <v>6</v>
      </c>
      <c r="K158" s="1">
        <v>0</v>
      </c>
    </row>
    <row r="159" spans="1:11" x14ac:dyDescent="0.2">
      <c r="A159" s="1" t="s">
        <v>141</v>
      </c>
      <c r="B159" s="1" t="s">
        <v>167</v>
      </c>
      <c r="C159" s="1" t="str">
        <f>"66298791273388"</f>
        <v>66298791273388</v>
      </c>
      <c r="D159" s="1" t="str">
        <f>"AMP-T13"</f>
        <v>AMP-T13</v>
      </c>
      <c r="E159" s="1" t="s">
        <v>17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</row>
    <row r="160" spans="1:11" x14ac:dyDescent="0.2">
      <c r="A160" s="1" t="s">
        <v>141</v>
      </c>
      <c r="B160" s="1" t="s">
        <v>168</v>
      </c>
      <c r="C160" s="1" t="str">
        <f>"66298791313891"</f>
        <v>66298791313891</v>
      </c>
      <c r="D160" s="1" t="str">
        <f>"VF027"</f>
        <v>VF027</v>
      </c>
      <c r="E160" s="1" t="s">
        <v>17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</row>
    <row r="161" spans="1:11" x14ac:dyDescent="0.2">
      <c r="A161" s="1" t="s">
        <v>141</v>
      </c>
      <c r="B161" s="1" t="s">
        <v>169</v>
      </c>
      <c r="C161" s="1" t="str">
        <f>"66298791356474"</f>
        <v>66298791356474</v>
      </c>
      <c r="D161" s="1" t="str">
        <f>"504"</f>
        <v>504</v>
      </c>
      <c r="E161" s="1" t="s">
        <v>17</v>
      </c>
      <c r="F161" s="1">
        <v>5</v>
      </c>
      <c r="G161" s="1">
        <v>124</v>
      </c>
      <c r="H161" s="1">
        <v>620</v>
      </c>
      <c r="I161" s="1">
        <v>0</v>
      </c>
      <c r="J161" s="1">
        <v>5</v>
      </c>
      <c r="K161" s="1">
        <v>0</v>
      </c>
    </row>
    <row r="162" spans="1:11" x14ac:dyDescent="0.2">
      <c r="A162" s="1" t="s">
        <v>141</v>
      </c>
      <c r="B162" s="1" t="s">
        <v>170</v>
      </c>
      <c r="C162" s="1" t="str">
        <f>"66298791397313"</f>
        <v>66298791397313</v>
      </c>
      <c r="D162" s="1" t="str">
        <f>"L10AF"</f>
        <v>L10AF</v>
      </c>
      <c r="E162" s="1" t="s">
        <v>17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</row>
    <row r="163" spans="1:11" x14ac:dyDescent="0.2">
      <c r="A163" s="1" t="s">
        <v>141</v>
      </c>
      <c r="B163" s="1" t="s">
        <v>171</v>
      </c>
      <c r="C163" s="1" t="str">
        <f>"66298791437612"</f>
        <v>66298791437612</v>
      </c>
      <c r="D163" s="1" t="str">
        <f>"L10R"</f>
        <v>L10R</v>
      </c>
      <c r="E163" s="1" t="s">
        <v>17</v>
      </c>
      <c r="F163" s="1">
        <v>1</v>
      </c>
      <c r="G163" s="1">
        <v>132</v>
      </c>
      <c r="H163" s="1">
        <v>132</v>
      </c>
      <c r="I163" s="1">
        <v>0</v>
      </c>
      <c r="J163" s="1">
        <v>1</v>
      </c>
      <c r="K163" s="1">
        <v>0</v>
      </c>
    </row>
    <row r="164" spans="1:11" x14ac:dyDescent="0.2">
      <c r="A164" s="1" t="s">
        <v>141</v>
      </c>
      <c r="B164" s="1" t="s">
        <v>172</v>
      </c>
      <c r="C164" s="1" t="str">
        <f>"66298791486656"</f>
        <v>66298791486656</v>
      </c>
      <c r="D164" s="1" t="str">
        <f>"L0103B"</f>
        <v>L0103B</v>
      </c>
      <c r="E164" s="1" t="s">
        <v>17</v>
      </c>
      <c r="F164" s="1">
        <v>1</v>
      </c>
      <c r="G164" s="1">
        <v>336</v>
      </c>
      <c r="H164" s="1">
        <v>336</v>
      </c>
      <c r="I164" s="1">
        <v>0</v>
      </c>
      <c r="J164" s="1">
        <v>1</v>
      </c>
      <c r="K164" s="1">
        <v>0</v>
      </c>
    </row>
    <row r="165" spans="1:11" ht="30" x14ac:dyDescent="0.2">
      <c r="A165" s="1" t="s">
        <v>141</v>
      </c>
      <c r="B165" s="1" t="s">
        <v>173</v>
      </c>
      <c r="C165" s="1" t="str">
        <f>"66298791589185"</f>
        <v>66298791589185</v>
      </c>
      <c r="D165" s="1" t="str">
        <f>"12499CP"</f>
        <v>12499CP</v>
      </c>
      <c r="E165" s="1" t="s">
        <v>17</v>
      </c>
      <c r="F165" s="1">
        <v>16</v>
      </c>
      <c r="G165" s="1">
        <v>370</v>
      </c>
      <c r="H165" s="1">
        <v>5920</v>
      </c>
      <c r="I165" s="1">
        <v>0</v>
      </c>
      <c r="J165" s="1">
        <v>16</v>
      </c>
      <c r="K165" s="1">
        <v>0</v>
      </c>
    </row>
    <row r="166" spans="1:11" x14ac:dyDescent="0.2">
      <c r="A166" s="1" t="s">
        <v>141</v>
      </c>
      <c r="B166" s="1" t="s">
        <v>174</v>
      </c>
      <c r="C166" s="1" t="str">
        <f>"66298791633549"</f>
        <v>66298791633549</v>
      </c>
      <c r="D166" s="1" t="str">
        <f>"400165"</f>
        <v>400165</v>
      </c>
      <c r="E166" s="1" t="s">
        <v>17</v>
      </c>
      <c r="F166" s="1">
        <v>235</v>
      </c>
      <c r="G166" s="1">
        <v>57</v>
      </c>
      <c r="H166" s="1">
        <v>13395</v>
      </c>
      <c r="I166" s="1">
        <v>0</v>
      </c>
      <c r="J166" s="1">
        <v>235</v>
      </c>
      <c r="K166" s="1">
        <v>0</v>
      </c>
    </row>
    <row r="167" spans="1:11" x14ac:dyDescent="0.2">
      <c r="A167" s="1" t="s">
        <v>141</v>
      </c>
      <c r="B167" s="1" t="s">
        <v>175</v>
      </c>
      <c r="C167" s="1" t="str">
        <f>"66298791673488"</f>
        <v>66298791673488</v>
      </c>
      <c r="D167" s="1" t="str">
        <f>"8134R"</f>
        <v>8134R</v>
      </c>
      <c r="E167" s="1" t="s">
        <v>17</v>
      </c>
      <c r="F167" s="1">
        <v>2</v>
      </c>
      <c r="G167" s="1">
        <v>167</v>
      </c>
      <c r="H167" s="1">
        <v>334</v>
      </c>
      <c r="I167" s="1">
        <v>0</v>
      </c>
      <c r="J167" s="1">
        <v>2</v>
      </c>
      <c r="K167" s="1">
        <v>0</v>
      </c>
    </row>
    <row r="168" spans="1:11" x14ac:dyDescent="0.2">
      <c r="A168" s="1" t="s">
        <v>141</v>
      </c>
      <c r="B168" s="1" t="s">
        <v>176</v>
      </c>
      <c r="C168" s="1" t="str">
        <f>"66298791529843"</f>
        <v>66298791529843</v>
      </c>
      <c r="D168" s="1" t="str">
        <f>"8134"</f>
        <v>8134</v>
      </c>
      <c r="E168" s="1" t="s">
        <v>17</v>
      </c>
      <c r="F168" s="1">
        <v>92</v>
      </c>
      <c r="G168" s="1">
        <v>133</v>
      </c>
      <c r="H168" s="1">
        <v>12236</v>
      </c>
      <c r="I168" s="1">
        <v>0</v>
      </c>
      <c r="J168" s="1">
        <v>92</v>
      </c>
      <c r="K168" s="1">
        <v>0</v>
      </c>
    </row>
    <row r="169" spans="1:11" x14ac:dyDescent="0.2">
      <c r="A169" s="1" t="s">
        <v>141</v>
      </c>
      <c r="B169" s="1" t="s">
        <v>176</v>
      </c>
      <c r="C169" s="1" t="str">
        <f>"66298791535267"</f>
        <v>66298791535267</v>
      </c>
      <c r="D169" s="1" t="str">
        <f>"8134F"</f>
        <v>8134F</v>
      </c>
      <c r="E169" s="1" t="s">
        <v>17</v>
      </c>
      <c r="F169" s="1">
        <v>32</v>
      </c>
      <c r="G169" s="1">
        <v>26</v>
      </c>
      <c r="H169" s="1">
        <v>832</v>
      </c>
      <c r="I169" s="1">
        <v>0</v>
      </c>
      <c r="J169" s="1">
        <v>32</v>
      </c>
      <c r="K169" s="1">
        <v>0</v>
      </c>
    </row>
    <row r="170" spans="1:11" x14ac:dyDescent="0.2">
      <c r="A170" s="1" t="s">
        <v>141</v>
      </c>
      <c r="B170" s="1" t="s">
        <v>177</v>
      </c>
      <c r="C170" s="1" t="str">
        <f>"66298791714436"</f>
        <v>66298791714436</v>
      </c>
      <c r="D170" s="1" t="str">
        <f>"0238"</f>
        <v>0238</v>
      </c>
      <c r="E170" s="1" t="s">
        <v>17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</row>
    <row r="171" spans="1:11" x14ac:dyDescent="0.2">
      <c r="A171" s="1" t="s">
        <v>141</v>
      </c>
      <c r="B171" s="1" t="s">
        <v>178</v>
      </c>
      <c r="C171" s="1" t="str">
        <f>"66298791758169"</f>
        <v>66298791758169</v>
      </c>
      <c r="D171" s="1" t="str">
        <f>"515152"</f>
        <v>515152</v>
      </c>
      <c r="E171" s="1" t="s">
        <v>17</v>
      </c>
      <c r="F171" s="1">
        <v>33</v>
      </c>
      <c r="G171" s="1">
        <v>232</v>
      </c>
      <c r="H171" s="1">
        <v>7656</v>
      </c>
      <c r="I171" s="1">
        <v>0</v>
      </c>
      <c r="J171" s="1">
        <v>33</v>
      </c>
      <c r="K171" s="1">
        <v>0</v>
      </c>
    </row>
    <row r="172" spans="1:11" x14ac:dyDescent="0.2">
      <c r="A172" s="1" t="s">
        <v>141</v>
      </c>
      <c r="B172" s="1" t="s">
        <v>179</v>
      </c>
      <c r="C172" s="1" t="str">
        <f>"66298791800422"</f>
        <v>66298791800422</v>
      </c>
      <c r="D172" s="1" t="str">
        <f>"400577"</f>
        <v>400577</v>
      </c>
      <c r="E172" s="1" t="s">
        <v>17</v>
      </c>
      <c r="F172" s="1">
        <v>225</v>
      </c>
      <c r="G172" s="1">
        <v>1436</v>
      </c>
      <c r="H172" s="1">
        <v>323100</v>
      </c>
      <c r="I172" s="1">
        <v>0</v>
      </c>
      <c r="J172" s="1">
        <v>225</v>
      </c>
      <c r="K172" s="1">
        <v>0</v>
      </c>
    </row>
    <row r="173" spans="1:11" ht="30" x14ac:dyDescent="0.2">
      <c r="A173" s="1" t="s">
        <v>141</v>
      </c>
      <c r="B173" s="1" t="s">
        <v>180</v>
      </c>
      <c r="C173" s="1" t="str">
        <f>"66298791838956"</f>
        <v>66298791838956</v>
      </c>
      <c r="D173" s="1" t="str">
        <f>"400578"</f>
        <v>400578</v>
      </c>
      <c r="E173" s="1" t="s">
        <v>17</v>
      </c>
      <c r="F173" s="1">
        <v>220</v>
      </c>
      <c r="G173" s="1">
        <v>1437</v>
      </c>
      <c r="H173" s="1">
        <v>316140</v>
      </c>
      <c r="I173" s="1">
        <v>0</v>
      </c>
      <c r="J173" s="1">
        <v>220</v>
      </c>
      <c r="K173" s="1">
        <v>0</v>
      </c>
    </row>
    <row r="174" spans="1:11" x14ac:dyDescent="0.2">
      <c r="A174" s="1" t="s">
        <v>141</v>
      </c>
      <c r="B174" s="1" t="s">
        <v>181</v>
      </c>
      <c r="C174" s="1" t="str">
        <f>"135024"</f>
        <v>135024</v>
      </c>
      <c r="D174" s="1" t="str">
        <f>"135024"</f>
        <v>135024</v>
      </c>
      <c r="E174" s="1" t="s">
        <v>17</v>
      </c>
      <c r="F174" s="1">
        <v>20</v>
      </c>
      <c r="G174" s="1">
        <v>3320</v>
      </c>
      <c r="H174" s="1">
        <v>66400</v>
      </c>
      <c r="I174" s="1">
        <v>0</v>
      </c>
      <c r="J174" s="1">
        <v>20</v>
      </c>
      <c r="K174" s="1">
        <v>0</v>
      </c>
    </row>
    <row r="175" spans="1:11" x14ac:dyDescent="0.2">
      <c r="A175" s="1" t="s">
        <v>141</v>
      </c>
      <c r="B175" s="1" t="s">
        <v>182</v>
      </c>
      <c r="C175" s="1" t="str">
        <f>"128677"</f>
        <v>128677</v>
      </c>
      <c r="D175" s="1" t="str">
        <f>"128677"</f>
        <v>128677</v>
      </c>
      <c r="E175" s="1" t="s">
        <v>17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</row>
    <row r="176" spans="1:11" x14ac:dyDescent="0.2">
      <c r="A176" s="1" t="s">
        <v>183</v>
      </c>
      <c r="B176" s="1" t="s">
        <v>184</v>
      </c>
      <c r="C176" s="1" t="str">
        <f>"51028-STD"</f>
        <v>51028-STD</v>
      </c>
      <c r="D176" s="1" t="str">
        <f>"51028-STD"</f>
        <v>51028-STD</v>
      </c>
      <c r="E176" s="1" t="s">
        <v>17</v>
      </c>
      <c r="F176" s="1">
        <v>1</v>
      </c>
      <c r="G176" s="1">
        <v>5606</v>
      </c>
      <c r="H176" s="1">
        <v>5606</v>
      </c>
      <c r="I176" s="1">
        <v>0</v>
      </c>
      <c r="J176" s="1">
        <v>1</v>
      </c>
      <c r="K176" s="1">
        <v>0</v>
      </c>
    </row>
    <row r="177" spans="1:11" x14ac:dyDescent="0.2">
      <c r="A177" s="1" t="s">
        <v>183</v>
      </c>
      <c r="B177" s="1" t="s">
        <v>185</v>
      </c>
      <c r="C177" s="1" t="str">
        <f>"66298791880282"</f>
        <v>66298791880282</v>
      </c>
      <c r="D177" s="1" t="str">
        <f>"12140-19B10-SJP"</f>
        <v>12140-19B10-SJP</v>
      </c>
      <c r="E177" s="1" t="s">
        <v>17</v>
      </c>
      <c r="F177" s="1">
        <v>1</v>
      </c>
      <c r="G177" s="1">
        <v>5606</v>
      </c>
      <c r="H177" s="1">
        <v>5606</v>
      </c>
      <c r="I177" s="1">
        <v>0</v>
      </c>
      <c r="J177" s="1">
        <v>1</v>
      </c>
      <c r="K177" s="1">
        <v>0</v>
      </c>
    </row>
    <row r="178" spans="1:11" x14ac:dyDescent="0.2">
      <c r="A178" s="1" t="s">
        <v>183</v>
      </c>
      <c r="B178" s="1" t="s">
        <v>186</v>
      </c>
      <c r="C178" s="1" t="str">
        <f>"66298791926684"</f>
        <v>66298791926684</v>
      </c>
      <c r="D178" s="1" t="str">
        <f>"12140H3E000H000"</f>
        <v>12140H3E000H000</v>
      </c>
      <c r="E178" s="1" t="s">
        <v>17</v>
      </c>
      <c r="F178" s="1">
        <v>1</v>
      </c>
      <c r="G178" s="1">
        <v>5027</v>
      </c>
      <c r="H178" s="1">
        <v>5027</v>
      </c>
      <c r="I178" s="1">
        <v>0</v>
      </c>
      <c r="J178" s="1">
        <v>1</v>
      </c>
      <c r="K178" s="1">
        <v>0</v>
      </c>
    </row>
    <row r="179" spans="1:11" x14ac:dyDescent="0.2">
      <c r="A179" s="1" t="s">
        <v>183</v>
      </c>
      <c r="B179" s="1" t="s">
        <v>187</v>
      </c>
      <c r="C179" s="1" t="str">
        <f>"66298791971324"</f>
        <v>66298791971324</v>
      </c>
      <c r="D179" s="1" t="str">
        <f>"13011-KVC-890JP"</f>
        <v>13011-KVC-890JP</v>
      </c>
      <c r="E179" s="1" t="s">
        <v>17</v>
      </c>
      <c r="F179" s="1">
        <v>1</v>
      </c>
      <c r="G179" s="1">
        <v>2628</v>
      </c>
      <c r="H179" s="1">
        <v>2628</v>
      </c>
      <c r="I179" s="1">
        <v>0</v>
      </c>
      <c r="J179" s="1">
        <v>1</v>
      </c>
      <c r="K179" s="1">
        <v>0</v>
      </c>
    </row>
    <row r="180" spans="1:11" x14ac:dyDescent="0.2">
      <c r="A180" s="1" t="s">
        <v>183</v>
      </c>
      <c r="B180" s="1" t="s">
        <v>188</v>
      </c>
      <c r="C180" s="1" t="str">
        <f>"66298792011649"</f>
        <v>66298792011649</v>
      </c>
      <c r="D180" s="1" t="str">
        <f>"13013-KT1-306JP"</f>
        <v>13013-KT1-306JP</v>
      </c>
      <c r="E180" s="1" t="s">
        <v>17</v>
      </c>
      <c r="F180" s="1">
        <v>2</v>
      </c>
      <c r="G180" s="1">
        <v>8229</v>
      </c>
      <c r="H180" s="1">
        <v>16458</v>
      </c>
      <c r="I180" s="1">
        <v>0</v>
      </c>
      <c r="J180" s="1">
        <v>2</v>
      </c>
      <c r="K180" s="1">
        <v>0</v>
      </c>
    </row>
    <row r="181" spans="1:11" x14ac:dyDescent="0.2">
      <c r="A181" s="1" t="s">
        <v>183</v>
      </c>
      <c r="B181" s="1" t="s">
        <v>189</v>
      </c>
      <c r="C181" s="1" t="str">
        <f>"66298792049420"</f>
        <v>66298792049420</v>
      </c>
      <c r="D181" s="1" t="str">
        <f>"13015-KT1-306JP"</f>
        <v>13015-KT1-306JP</v>
      </c>
      <c r="E181" s="1" t="s">
        <v>17</v>
      </c>
      <c r="F181" s="1">
        <v>2</v>
      </c>
      <c r="G181" s="1">
        <v>8229</v>
      </c>
      <c r="H181" s="1">
        <v>16458</v>
      </c>
      <c r="I181" s="1">
        <v>0</v>
      </c>
      <c r="J181" s="1">
        <v>2</v>
      </c>
      <c r="K181" s="1">
        <v>0</v>
      </c>
    </row>
    <row r="182" spans="1:11" x14ac:dyDescent="0.2">
      <c r="A182" s="1" t="s">
        <v>183</v>
      </c>
      <c r="B182" s="1" t="s">
        <v>190</v>
      </c>
      <c r="C182" s="1" t="str">
        <f>"66298792093046"</f>
        <v>66298792093046</v>
      </c>
      <c r="D182" s="1" t="str">
        <f>"13011-MN1-305JP"</f>
        <v>13011-MN1-305JP</v>
      </c>
      <c r="E182" s="1" t="s">
        <v>17</v>
      </c>
      <c r="F182" s="1">
        <v>1</v>
      </c>
      <c r="G182" s="1">
        <v>11825</v>
      </c>
      <c r="H182" s="1">
        <v>11825</v>
      </c>
      <c r="I182" s="1">
        <v>0</v>
      </c>
      <c r="J182" s="1">
        <v>1</v>
      </c>
      <c r="K182" s="1">
        <v>0</v>
      </c>
    </row>
    <row r="183" spans="1:11" x14ac:dyDescent="0.2">
      <c r="A183" s="1" t="s">
        <v>18</v>
      </c>
      <c r="B183" s="1" t="s">
        <v>191</v>
      </c>
      <c r="C183" s="1" t="str">
        <f>"R045"</f>
        <v>R045</v>
      </c>
      <c r="D183" s="1" t="str">
        <f>"R045"</f>
        <v>R045</v>
      </c>
      <c r="E183" s="1" t="s">
        <v>17</v>
      </c>
      <c r="F183" s="1">
        <v>3</v>
      </c>
      <c r="G183" s="1">
        <v>2520</v>
      </c>
      <c r="H183" s="1">
        <v>7560</v>
      </c>
      <c r="I183" s="1">
        <v>0</v>
      </c>
      <c r="J183" s="1">
        <v>3</v>
      </c>
      <c r="K183" s="1">
        <v>0</v>
      </c>
    </row>
    <row r="184" spans="1:11" x14ac:dyDescent="0.2">
      <c r="A184" s="1" t="s">
        <v>18</v>
      </c>
      <c r="B184" s="1" t="s">
        <v>192</v>
      </c>
      <c r="C184" s="1" t="str">
        <f>"R045-A"</f>
        <v>R045-A</v>
      </c>
      <c r="D184" s="1" t="str">
        <f>"R045-A"</f>
        <v>R045-A</v>
      </c>
      <c r="E184" s="1" t="s">
        <v>17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</row>
    <row r="185" spans="1:11" x14ac:dyDescent="0.2">
      <c r="A185" s="1" t="s">
        <v>18</v>
      </c>
      <c r="B185" s="1" t="s">
        <v>193</v>
      </c>
      <c r="C185" s="1" t="str">
        <f>"2319"</f>
        <v>2319</v>
      </c>
      <c r="D185" s="1" t="str">
        <f>"2319"</f>
        <v>2319</v>
      </c>
      <c r="E185" s="1" t="s">
        <v>17</v>
      </c>
      <c r="F185" s="1">
        <v>1</v>
      </c>
      <c r="G185" s="1">
        <v>11330.93</v>
      </c>
      <c r="H185" s="1">
        <v>11331</v>
      </c>
      <c r="I185" s="1">
        <v>0</v>
      </c>
      <c r="J185" s="1">
        <v>1</v>
      </c>
      <c r="K185" s="1">
        <v>0</v>
      </c>
    </row>
    <row r="186" spans="1:11" x14ac:dyDescent="0.2">
      <c r="A186" s="1" t="s">
        <v>18</v>
      </c>
      <c r="B186" s="1" t="s">
        <v>194</v>
      </c>
      <c r="C186" s="1" t="str">
        <f>"WF034"</f>
        <v>WF034</v>
      </c>
      <c r="D186" s="1" t="str">
        <f>"WF034"</f>
        <v>WF034</v>
      </c>
      <c r="E186" s="1" t="s">
        <v>17</v>
      </c>
      <c r="F186" s="1">
        <v>8</v>
      </c>
      <c r="G186" s="1">
        <v>1560</v>
      </c>
      <c r="H186" s="1">
        <v>12480</v>
      </c>
      <c r="I186" s="1">
        <v>0</v>
      </c>
      <c r="J186" s="1">
        <v>8</v>
      </c>
      <c r="K186" s="1">
        <v>0</v>
      </c>
    </row>
    <row r="187" spans="1:11" x14ac:dyDescent="0.2">
      <c r="A187" s="1" t="s">
        <v>18</v>
      </c>
      <c r="B187" s="1" t="s">
        <v>194</v>
      </c>
      <c r="C187" s="1" t="str">
        <f>"WF038"</f>
        <v>WF038</v>
      </c>
      <c r="D187" s="1" t="str">
        <f>"WF038"</f>
        <v>WF038</v>
      </c>
      <c r="E187" s="1" t="s">
        <v>17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</row>
    <row r="188" spans="1:11" x14ac:dyDescent="0.2">
      <c r="A188" s="1" t="s">
        <v>195</v>
      </c>
      <c r="B188" s="1" t="s">
        <v>196</v>
      </c>
      <c r="C188" s="1" t="str">
        <f>"BK010"</f>
        <v>BK010</v>
      </c>
      <c r="D188" s="1" t="str">
        <f>"BK010"</f>
        <v>BK010</v>
      </c>
      <c r="E188" s="1" t="s">
        <v>17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</row>
    <row r="189" spans="1:11" x14ac:dyDescent="0.2">
      <c r="A189" s="1" t="s">
        <v>195</v>
      </c>
      <c r="B189" s="1" t="s">
        <v>197</v>
      </c>
      <c r="C189" s="1" t="str">
        <f>"BK082"</f>
        <v>BK082</v>
      </c>
      <c r="D189" s="1" t="str">
        <f>"BK082"</f>
        <v>BK082</v>
      </c>
      <c r="E189" s="1" t="s">
        <v>17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</row>
    <row r="190" spans="1:11" x14ac:dyDescent="0.2">
      <c r="A190" s="1" t="s">
        <v>198</v>
      </c>
      <c r="B190" s="1" t="s">
        <v>199</v>
      </c>
      <c r="C190" s="1" t="str">
        <f>"66298792174431"</f>
        <v>66298792174431</v>
      </c>
      <c r="D190" s="1" t="str">
        <f>"82044"</f>
        <v>82044</v>
      </c>
      <c r="E190" s="1" t="s">
        <v>17</v>
      </c>
      <c r="F190" s="1">
        <v>4</v>
      </c>
      <c r="G190" s="1">
        <v>3850</v>
      </c>
      <c r="H190" s="1">
        <v>15400</v>
      </c>
      <c r="I190" s="1">
        <v>0</v>
      </c>
      <c r="J190" s="1">
        <v>4</v>
      </c>
      <c r="K190" s="1">
        <v>0</v>
      </c>
    </row>
    <row r="191" spans="1:11" x14ac:dyDescent="0.2">
      <c r="A191" s="1" t="s">
        <v>198</v>
      </c>
      <c r="B191" s="1" t="s">
        <v>200</v>
      </c>
      <c r="C191" s="1" t="str">
        <f>"66298792218736"</f>
        <v>66298792218736</v>
      </c>
      <c r="D191" s="1" t="str">
        <f>"82045"</f>
        <v>82045</v>
      </c>
      <c r="E191" s="1" t="s">
        <v>17</v>
      </c>
      <c r="F191" s="1">
        <v>6</v>
      </c>
      <c r="G191" s="1">
        <v>4092</v>
      </c>
      <c r="H191" s="1">
        <v>24552</v>
      </c>
      <c r="I191" s="1">
        <v>0</v>
      </c>
      <c r="J191" s="1">
        <v>6</v>
      </c>
      <c r="K191" s="1">
        <v>0</v>
      </c>
    </row>
    <row r="192" spans="1:11" x14ac:dyDescent="0.2">
      <c r="A192" s="1" t="s">
        <v>198</v>
      </c>
      <c r="B192" s="1" t="s">
        <v>201</v>
      </c>
      <c r="C192" s="1" t="str">
        <f>"66298792261874"</f>
        <v>66298792261874</v>
      </c>
      <c r="D192" s="1" t="str">
        <f>"82040"</f>
        <v>82040</v>
      </c>
      <c r="E192" s="1" t="s">
        <v>17</v>
      </c>
      <c r="F192" s="1">
        <v>5</v>
      </c>
      <c r="G192" s="1">
        <v>3106</v>
      </c>
      <c r="H192" s="1">
        <v>15530</v>
      </c>
      <c r="I192" s="1">
        <v>0</v>
      </c>
      <c r="J192" s="1">
        <v>5</v>
      </c>
      <c r="K192" s="1">
        <v>0</v>
      </c>
    </row>
    <row r="193" spans="1:11" x14ac:dyDescent="0.2">
      <c r="A193" s="1" t="s">
        <v>198</v>
      </c>
      <c r="B193" s="1" t="s">
        <v>202</v>
      </c>
      <c r="C193" s="1" t="str">
        <f>"66298792302619"</f>
        <v>66298792302619</v>
      </c>
      <c r="D193" s="1" t="str">
        <f>"82041"</f>
        <v>82041</v>
      </c>
      <c r="E193" s="1" t="s">
        <v>17</v>
      </c>
      <c r="F193" s="1">
        <v>3</v>
      </c>
      <c r="G193" s="1">
        <v>4176</v>
      </c>
      <c r="H193" s="1">
        <v>12528</v>
      </c>
      <c r="I193" s="1">
        <v>0</v>
      </c>
      <c r="J193" s="1">
        <v>3</v>
      </c>
      <c r="K193" s="1">
        <v>0</v>
      </c>
    </row>
    <row r="194" spans="1:11" x14ac:dyDescent="0.2">
      <c r="A194" s="1" t="s">
        <v>198</v>
      </c>
      <c r="B194" s="1" t="s">
        <v>203</v>
      </c>
      <c r="C194" s="1" t="str">
        <f>"66298792343614"</f>
        <v>66298792343614</v>
      </c>
      <c r="D194" s="1" t="str">
        <f>"82042"</f>
        <v>82042</v>
      </c>
      <c r="E194" s="1" t="s">
        <v>17</v>
      </c>
      <c r="F194" s="1">
        <v>3</v>
      </c>
      <c r="G194" s="1">
        <v>4604</v>
      </c>
      <c r="H194" s="1">
        <v>13812</v>
      </c>
      <c r="I194" s="1">
        <v>0</v>
      </c>
      <c r="J194" s="1">
        <v>3</v>
      </c>
      <c r="K194" s="1">
        <v>0</v>
      </c>
    </row>
    <row r="195" spans="1:11" x14ac:dyDescent="0.2">
      <c r="A195" s="1" t="s">
        <v>204</v>
      </c>
      <c r="B195" s="1" t="s">
        <v>205</v>
      </c>
      <c r="C195" s="1" t="str">
        <f>"66298792387580"</f>
        <v>66298792387580</v>
      </c>
      <c r="D195" s="1" t="str">
        <f>"PP-30105-022JP"</f>
        <v>PP-30105-022JP</v>
      </c>
      <c r="E195" s="1" t="s">
        <v>17</v>
      </c>
      <c r="F195" s="1">
        <v>3</v>
      </c>
      <c r="G195" s="1">
        <v>4730</v>
      </c>
      <c r="H195" s="1">
        <v>14190</v>
      </c>
      <c r="I195" s="1">
        <v>0</v>
      </c>
      <c r="J195" s="1">
        <v>3</v>
      </c>
      <c r="K195" s="1">
        <v>0</v>
      </c>
    </row>
    <row r="196" spans="1:11" x14ac:dyDescent="0.2">
      <c r="A196" s="1" t="s">
        <v>204</v>
      </c>
      <c r="B196" s="1" t="s">
        <v>206</v>
      </c>
      <c r="C196" s="1" t="str">
        <f>"66298792429596"</f>
        <v>66298792429596</v>
      </c>
      <c r="D196" s="1" t="str">
        <f>"14431-397-310"</f>
        <v>14431-397-310</v>
      </c>
      <c r="E196" s="1" t="s">
        <v>17</v>
      </c>
      <c r="F196" s="1">
        <v>12</v>
      </c>
      <c r="G196" s="1">
        <v>2430</v>
      </c>
      <c r="H196" s="1">
        <v>29160</v>
      </c>
      <c r="I196" s="1">
        <v>0</v>
      </c>
      <c r="J196" s="1">
        <v>12</v>
      </c>
      <c r="K196" s="1">
        <v>0</v>
      </c>
    </row>
    <row r="197" spans="1:11" x14ac:dyDescent="0.2">
      <c r="A197" s="1" t="s">
        <v>204</v>
      </c>
      <c r="B197" s="1" t="s">
        <v>207</v>
      </c>
      <c r="C197" s="1" t="str">
        <f>"66298792464425"</f>
        <v>66298792464425</v>
      </c>
      <c r="D197" s="1" t="str">
        <f>"12850-25C00JP"</f>
        <v>12850-25C00JP</v>
      </c>
      <c r="E197" s="1" t="s">
        <v>17</v>
      </c>
      <c r="F197" s="1">
        <v>23</v>
      </c>
      <c r="G197" s="1">
        <v>4631.91</v>
      </c>
      <c r="H197" s="1">
        <v>106534</v>
      </c>
      <c r="I197" s="1">
        <v>0</v>
      </c>
      <c r="J197" s="1">
        <v>23</v>
      </c>
      <c r="K197" s="1">
        <v>0</v>
      </c>
    </row>
    <row r="198" spans="1:11" ht="30" x14ac:dyDescent="0.2">
      <c r="A198" s="1" t="s">
        <v>204</v>
      </c>
      <c r="B198" s="1" t="s">
        <v>208</v>
      </c>
      <c r="C198" s="1" t="str">
        <f>"66298792505817"</f>
        <v>66298792505817</v>
      </c>
      <c r="D198" s="1" t="str">
        <f>"12840-20G20JP"</f>
        <v>12840-20G20JP</v>
      </c>
      <c r="E198" s="1" t="s">
        <v>17</v>
      </c>
      <c r="F198" s="1">
        <v>8</v>
      </c>
      <c r="G198" s="1">
        <v>2348</v>
      </c>
      <c r="H198" s="1">
        <v>18784</v>
      </c>
      <c r="I198" s="1">
        <v>0</v>
      </c>
      <c r="J198" s="1">
        <v>8</v>
      </c>
      <c r="K198" s="1">
        <v>0</v>
      </c>
    </row>
    <row r="199" spans="1:11" x14ac:dyDescent="0.2">
      <c r="A199" s="1" t="s">
        <v>204</v>
      </c>
      <c r="B199" s="1" t="s">
        <v>209</v>
      </c>
      <c r="C199" s="1" t="str">
        <f>"66298792550046"</f>
        <v>66298792550046</v>
      </c>
      <c r="D199" s="1" t="str">
        <f>"21C-E2151-00JP"</f>
        <v>21C-E2151-00JP</v>
      </c>
      <c r="E199" s="1" t="s">
        <v>17</v>
      </c>
      <c r="F199" s="1">
        <v>5</v>
      </c>
      <c r="G199" s="1">
        <v>5114</v>
      </c>
      <c r="H199" s="1">
        <v>25570</v>
      </c>
      <c r="I199" s="1">
        <v>0</v>
      </c>
      <c r="J199" s="1">
        <v>5</v>
      </c>
      <c r="K199" s="1">
        <v>0</v>
      </c>
    </row>
    <row r="200" spans="1:11" x14ac:dyDescent="0.2">
      <c r="A200" s="1" t="s">
        <v>204</v>
      </c>
      <c r="B200" s="1" t="s">
        <v>210</v>
      </c>
      <c r="C200" s="1" t="str">
        <f>"66298792588913"</f>
        <v>66298792588913</v>
      </c>
      <c r="D200" s="1" t="str">
        <f>"JD-5112-07"</f>
        <v>JD-5112-07</v>
      </c>
      <c r="E200" s="1" t="s">
        <v>17</v>
      </c>
      <c r="F200" s="1">
        <v>3</v>
      </c>
      <c r="G200" s="1">
        <v>4690</v>
      </c>
      <c r="H200" s="1">
        <v>14070</v>
      </c>
      <c r="I200" s="1">
        <v>0</v>
      </c>
      <c r="J200" s="1">
        <v>3</v>
      </c>
      <c r="K200" s="1">
        <v>0</v>
      </c>
    </row>
    <row r="201" spans="1:11" x14ac:dyDescent="0.2">
      <c r="A201" s="1" t="s">
        <v>204</v>
      </c>
      <c r="B201" s="1" t="s">
        <v>211</v>
      </c>
      <c r="C201" s="1" t="str">
        <f>"66298792626092"</f>
        <v>66298792626092</v>
      </c>
      <c r="D201" s="1" t="str">
        <f>"DS-1013-33"</f>
        <v>DS-1013-33</v>
      </c>
      <c r="E201" s="1" t="s">
        <v>17</v>
      </c>
      <c r="F201" s="1">
        <v>14</v>
      </c>
      <c r="G201" s="1">
        <v>5388</v>
      </c>
      <c r="H201" s="1">
        <v>75432</v>
      </c>
      <c r="I201" s="1">
        <v>0</v>
      </c>
      <c r="J201" s="1">
        <v>14</v>
      </c>
      <c r="K201" s="1">
        <v>0</v>
      </c>
    </row>
    <row r="202" spans="1:11" x14ac:dyDescent="0.2">
      <c r="A202" s="1" t="s">
        <v>204</v>
      </c>
      <c r="B202" s="1" t="s">
        <v>212</v>
      </c>
      <c r="C202" s="1" t="str">
        <f>"66298792663953"</f>
        <v>66298792663953</v>
      </c>
      <c r="D202" s="1" t="str">
        <f>"14431-KVC-900JP"</f>
        <v>14431-KVC-900JP</v>
      </c>
      <c r="E202" s="1" t="s">
        <v>17</v>
      </c>
      <c r="F202" s="1">
        <v>7</v>
      </c>
      <c r="G202" s="1">
        <v>1421</v>
      </c>
      <c r="H202" s="1">
        <v>9947</v>
      </c>
      <c r="I202" s="1">
        <v>0</v>
      </c>
      <c r="J202" s="1">
        <v>7</v>
      </c>
      <c r="K202" s="1">
        <v>0</v>
      </c>
    </row>
    <row r="203" spans="1:11" x14ac:dyDescent="0.2">
      <c r="A203" s="1" t="s">
        <v>204</v>
      </c>
      <c r="B203" s="1" t="s">
        <v>213</v>
      </c>
      <c r="C203" s="1" t="str">
        <f>"66298792707258"</f>
        <v>66298792707258</v>
      </c>
      <c r="D203" s="1" t="str">
        <f>"5D9-E2151-00JP"</f>
        <v>5D9-E2151-00JP</v>
      </c>
      <c r="E203" s="1" t="s">
        <v>17</v>
      </c>
      <c r="F203" s="1">
        <v>18</v>
      </c>
      <c r="G203" s="1">
        <v>1843</v>
      </c>
      <c r="H203" s="1">
        <v>33174</v>
      </c>
      <c r="I203" s="1">
        <v>0</v>
      </c>
      <c r="J203" s="1">
        <v>18</v>
      </c>
      <c r="K203" s="1">
        <v>0</v>
      </c>
    </row>
    <row r="204" spans="1:11" x14ac:dyDescent="0.2">
      <c r="A204" s="1" t="s">
        <v>204</v>
      </c>
      <c r="B204" s="1" t="s">
        <v>214</v>
      </c>
      <c r="C204" s="1" t="str">
        <f>"66298792748292"</f>
        <v>66298792748292</v>
      </c>
      <c r="D204" s="1" t="str">
        <f>"14431-383-000JP"</f>
        <v>14431-383-000JP</v>
      </c>
      <c r="E204" s="1" t="s">
        <v>17</v>
      </c>
      <c r="F204" s="1">
        <v>17</v>
      </c>
      <c r="G204" s="1">
        <v>3660</v>
      </c>
      <c r="H204" s="1">
        <v>62220</v>
      </c>
      <c r="I204" s="1">
        <v>0</v>
      </c>
      <c r="J204" s="1">
        <v>17</v>
      </c>
      <c r="K204" s="1">
        <v>0</v>
      </c>
    </row>
    <row r="205" spans="1:11" x14ac:dyDescent="0.2">
      <c r="A205" s="1" t="s">
        <v>204</v>
      </c>
      <c r="B205" s="1" t="s">
        <v>215</v>
      </c>
      <c r="C205" s="1" t="str">
        <f>"66298792784535"</f>
        <v>66298792784535</v>
      </c>
      <c r="D205" s="1" t="str">
        <f>"29U-12151-00JP"</f>
        <v>29U-12151-00JP</v>
      </c>
      <c r="E205" s="1" t="s">
        <v>17</v>
      </c>
      <c r="F205" s="1">
        <v>14</v>
      </c>
      <c r="G205" s="1">
        <v>5372</v>
      </c>
      <c r="H205" s="1">
        <v>75208</v>
      </c>
      <c r="I205" s="1">
        <v>0</v>
      </c>
      <c r="J205" s="1">
        <v>14</v>
      </c>
      <c r="K205" s="1">
        <v>0</v>
      </c>
    </row>
    <row r="206" spans="1:11" x14ac:dyDescent="0.2">
      <c r="A206" s="1" t="s">
        <v>204</v>
      </c>
      <c r="B206" s="1" t="s">
        <v>216</v>
      </c>
      <c r="C206" s="1" t="str">
        <f>"66298792824285"</f>
        <v>66298792824285</v>
      </c>
      <c r="D206" s="1" t="str">
        <f>"5YY-E2151-00JP"</f>
        <v>5YY-E2151-00JP</v>
      </c>
      <c r="E206" s="1" t="s">
        <v>17</v>
      </c>
      <c r="F206" s="1">
        <v>21</v>
      </c>
      <c r="G206" s="1">
        <v>1159</v>
      </c>
      <c r="H206" s="1">
        <v>24339</v>
      </c>
      <c r="I206" s="1">
        <v>0</v>
      </c>
      <c r="J206" s="1">
        <v>21</v>
      </c>
      <c r="K206" s="1">
        <v>0</v>
      </c>
    </row>
    <row r="207" spans="1:11" x14ac:dyDescent="0.2">
      <c r="A207" s="1" t="s">
        <v>204</v>
      </c>
      <c r="B207" s="1" t="s">
        <v>217</v>
      </c>
      <c r="C207" s="1" t="str">
        <f>"66298792866188"</f>
        <v>66298792866188</v>
      </c>
      <c r="D207" s="1" t="str">
        <f>"14441-KR0-000"</f>
        <v>14441-KR0-000</v>
      </c>
      <c r="E207" s="1" t="s">
        <v>17</v>
      </c>
      <c r="F207" s="1">
        <v>1</v>
      </c>
      <c r="G207" s="1">
        <v>8524</v>
      </c>
      <c r="H207" s="1">
        <v>8524</v>
      </c>
      <c r="I207" s="1">
        <v>0</v>
      </c>
      <c r="J207" s="1">
        <v>1</v>
      </c>
      <c r="K207" s="1">
        <v>0</v>
      </c>
    </row>
    <row r="208" spans="1:11" ht="30" x14ac:dyDescent="0.2">
      <c r="A208" s="1" t="s">
        <v>204</v>
      </c>
      <c r="B208" s="1" t="s">
        <v>218</v>
      </c>
      <c r="C208" s="1" t="str">
        <f>"66298792909139"</f>
        <v>66298792909139</v>
      </c>
      <c r="D208" s="1" t="str">
        <f>"400972"</f>
        <v>400972</v>
      </c>
      <c r="E208" s="1" t="s">
        <v>17</v>
      </c>
      <c r="F208" s="1">
        <v>46</v>
      </c>
      <c r="G208" s="1">
        <v>6950</v>
      </c>
      <c r="H208" s="1">
        <v>319700</v>
      </c>
      <c r="I208" s="1">
        <v>0</v>
      </c>
      <c r="J208" s="1">
        <v>46</v>
      </c>
      <c r="K208" s="1">
        <v>0</v>
      </c>
    </row>
    <row r="209" spans="1:11" x14ac:dyDescent="0.2">
      <c r="A209" s="1" t="s">
        <v>204</v>
      </c>
      <c r="B209" s="1" t="s">
        <v>219</v>
      </c>
      <c r="C209" s="1" t="str">
        <f>"66298792946951"</f>
        <v>66298792946951</v>
      </c>
      <c r="D209" s="1" t="str">
        <f>"EVO-30105-022JP"</f>
        <v>EVO-30105-022JP</v>
      </c>
      <c r="E209" s="1" t="s">
        <v>17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</row>
    <row r="210" spans="1:11" x14ac:dyDescent="0.2">
      <c r="A210" s="1" t="s">
        <v>204</v>
      </c>
      <c r="B210" s="1" t="s">
        <v>219</v>
      </c>
      <c r="C210" s="1" t="str">
        <f>"DE029"</f>
        <v>DE029</v>
      </c>
      <c r="D210" s="1" t="str">
        <f>"DE029"</f>
        <v>DE029</v>
      </c>
      <c r="E210" s="1" t="s">
        <v>17</v>
      </c>
      <c r="F210" s="1">
        <v>4</v>
      </c>
      <c r="G210" s="1">
        <v>3747.54</v>
      </c>
      <c r="H210" s="1">
        <v>14990</v>
      </c>
      <c r="I210" s="1">
        <v>0</v>
      </c>
      <c r="J210" s="1">
        <v>4</v>
      </c>
      <c r="K210" s="1">
        <v>0</v>
      </c>
    </row>
    <row r="211" spans="1:11" ht="30" x14ac:dyDescent="0.2">
      <c r="A211" s="1" t="s">
        <v>204</v>
      </c>
      <c r="B211" s="1" t="s">
        <v>220</v>
      </c>
      <c r="C211" s="1" t="str">
        <f>"66298792984030"</f>
        <v>66298792984030</v>
      </c>
      <c r="D211" s="1" t="str">
        <f>"400973"</f>
        <v>400973</v>
      </c>
      <c r="E211" s="1" t="s">
        <v>17</v>
      </c>
      <c r="F211" s="1">
        <v>78</v>
      </c>
      <c r="G211" s="1">
        <v>1666</v>
      </c>
      <c r="H211" s="1">
        <v>129948</v>
      </c>
      <c r="I211" s="1">
        <v>0</v>
      </c>
      <c r="J211" s="1">
        <v>78</v>
      </c>
      <c r="K211" s="1">
        <v>0</v>
      </c>
    </row>
    <row r="212" spans="1:11" x14ac:dyDescent="0.2">
      <c r="A212" s="1" t="s">
        <v>204</v>
      </c>
      <c r="B212" s="1" t="s">
        <v>221</v>
      </c>
      <c r="C212" s="1" t="str">
        <f>"66298793023787"</f>
        <v>66298793023787</v>
      </c>
      <c r="D212" s="1" t="str">
        <f>"12840-25C00JP"</f>
        <v>12840-25C00JP</v>
      </c>
      <c r="E212" s="1" t="s">
        <v>17</v>
      </c>
      <c r="F212" s="1">
        <v>1</v>
      </c>
      <c r="G212" s="1">
        <v>4110</v>
      </c>
      <c r="H212" s="1">
        <v>4110</v>
      </c>
      <c r="I212" s="1">
        <v>0</v>
      </c>
      <c r="J212" s="1">
        <v>1</v>
      </c>
      <c r="K212" s="1">
        <v>0</v>
      </c>
    </row>
    <row r="213" spans="1:11" x14ac:dyDescent="0.2">
      <c r="A213" s="1" t="s">
        <v>204</v>
      </c>
      <c r="B213" s="1" t="s">
        <v>222</v>
      </c>
      <c r="C213" s="1" t="str">
        <f>"66298793065656"</f>
        <v>66298793065656</v>
      </c>
      <c r="D213" s="1" t="str">
        <f>"400958"</f>
        <v>400958</v>
      </c>
      <c r="E213" s="1" t="s">
        <v>17</v>
      </c>
      <c r="F213" s="1">
        <v>65</v>
      </c>
      <c r="G213" s="1">
        <v>1425</v>
      </c>
      <c r="H213" s="1">
        <v>92625</v>
      </c>
      <c r="I213" s="1">
        <v>0</v>
      </c>
      <c r="J213" s="1">
        <v>65</v>
      </c>
      <c r="K213" s="1">
        <v>0</v>
      </c>
    </row>
    <row r="214" spans="1:11" x14ac:dyDescent="0.2">
      <c r="A214" s="1" t="s">
        <v>204</v>
      </c>
      <c r="B214" s="1" t="s">
        <v>223</v>
      </c>
      <c r="C214" s="1" t="str">
        <f>"66298793151609"</f>
        <v>66298793151609</v>
      </c>
      <c r="D214" s="1" t="str">
        <f>"400960"</f>
        <v>400960</v>
      </c>
      <c r="E214" s="1" t="s">
        <v>17</v>
      </c>
      <c r="F214" s="1">
        <v>98</v>
      </c>
      <c r="G214" s="1">
        <v>4170</v>
      </c>
      <c r="H214" s="1">
        <v>408660</v>
      </c>
      <c r="I214" s="1">
        <v>0</v>
      </c>
      <c r="J214" s="1">
        <v>98</v>
      </c>
      <c r="K214" s="1">
        <v>0</v>
      </c>
    </row>
    <row r="215" spans="1:11" ht="30" x14ac:dyDescent="0.2">
      <c r="A215" s="1" t="s">
        <v>204</v>
      </c>
      <c r="B215" s="1" t="s">
        <v>224</v>
      </c>
      <c r="C215" s="1" t="str">
        <f>"66298793106096"</f>
        <v>66298793106096</v>
      </c>
      <c r="D215" s="1" t="str">
        <f>"400961"</f>
        <v>400961</v>
      </c>
      <c r="E215" s="1" t="s">
        <v>17</v>
      </c>
      <c r="F215" s="1">
        <v>30</v>
      </c>
      <c r="G215" s="1">
        <v>4061</v>
      </c>
      <c r="H215" s="1">
        <v>121830</v>
      </c>
      <c r="I215" s="1">
        <v>0</v>
      </c>
      <c r="J215" s="1">
        <v>30</v>
      </c>
      <c r="K215" s="1">
        <v>0</v>
      </c>
    </row>
    <row r="216" spans="1:11" ht="30" x14ac:dyDescent="0.2">
      <c r="A216" s="1" t="s">
        <v>204</v>
      </c>
      <c r="B216" s="1" t="s">
        <v>225</v>
      </c>
      <c r="C216" s="1" t="str">
        <f>"66298793191112"</f>
        <v>66298793191112</v>
      </c>
      <c r="D216" s="1" t="str">
        <f>"400962"</f>
        <v>400962</v>
      </c>
      <c r="E216" s="1" t="s">
        <v>17</v>
      </c>
      <c r="F216" s="1">
        <v>67</v>
      </c>
      <c r="G216" s="1">
        <v>3584</v>
      </c>
      <c r="H216" s="1">
        <v>240128</v>
      </c>
      <c r="I216" s="1">
        <v>0</v>
      </c>
      <c r="J216" s="1">
        <v>67</v>
      </c>
      <c r="K216" s="1">
        <v>0</v>
      </c>
    </row>
    <row r="217" spans="1:11" x14ac:dyDescent="0.2">
      <c r="A217" s="1" t="s">
        <v>204</v>
      </c>
      <c r="B217" s="1" t="s">
        <v>226</v>
      </c>
      <c r="C217" s="1" t="str">
        <f>"66298793235544"</f>
        <v>66298793235544</v>
      </c>
      <c r="D217" s="1" t="str">
        <f>"14431-035-020JP"</f>
        <v>14431-035-020JP</v>
      </c>
      <c r="E217" s="1" t="s">
        <v>17</v>
      </c>
      <c r="F217" s="1">
        <v>3</v>
      </c>
      <c r="G217" s="1">
        <v>1910</v>
      </c>
      <c r="H217" s="1">
        <v>5730</v>
      </c>
      <c r="I217" s="1">
        <v>0</v>
      </c>
      <c r="J217" s="1">
        <v>3</v>
      </c>
      <c r="K217" s="1">
        <v>0</v>
      </c>
    </row>
    <row r="218" spans="1:11" ht="30" x14ac:dyDescent="0.2">
      <c r="A218" s="1" t="s">
        <v>204</v>
      </c>
      <c r="B218" s="1" t="s">
        <v>227</v>
      </c>
      <c r="C218" s="1" t="str">
        <f>"66298793272731"</f>
        <v>66298793272731</v>
      </c>
      <c r="D218" s="1" t="str">
        <f>"401049"</f>
        <v>401049</v>
      </c>
      <c r="E218" s="1" t="s">
        <v>17</v>
      </c>
      <c r="F218" s="1">
        <v>46</v>
      </c>
      <c r="G218" s="1">
        <v>1695</v>
      </c>
      <c r="H218" s="1">
        <v>77970</v>
      </c>
      <c r="I218" s="1">
        <v>0</v>
      </c>
      <c r="J218" s="1">
        <v>46</v>
      </c>
      <c r="K218" s="1">
        <v>0</v>
      </c>
    </row>
    <row r="219" spans="1:11" x14ac:dyDescent="0.2">
      <c r="A219" s="1" t="s">
        <v>204</v>
      </c>
      <c r="B219" s="1" t="s">
        <v>228</v>
      </c>
      <c r="C219" s="1" t="str">
        <f>"66298793312333"</f>
        <v>66298793312333</v>
      </c>
      <c r="D219" s="1" t="str">
        <f>"400964"</f>
        <v>400964</v>
      </c>
      <c r="E219" s="1" t="s">
        <v>17</v>
      </c>
      <c r="F219" s="1">
        <v>105</v>
      </c>
      <c r="G219" s="1">
        <v>5477</v>
      </c>
      <c r="H219" s="1">
        <v>575085</v>
      </c>
      <c r="I219" s="1">
        <v>0</v>
      </c>
      <c r="J219" s="1">
        <v>105</v>
      </c>
      <c r="K219" s="1">
        <v>0</v>
      </c>
    </row>
    <row r="220" spans="1:11" x14ac:dyDescent="0.2">
      <c r="A220" s="1" t="s">
        <v>204</v>
      </c>
      <c r="B220" s="1" t="s">
        <v>229</v>
      </c>
      <c r="C220" s="1" t="str">
        <f>"66298793356420"</f>
        <v>66298793356420</v>
      </c>
      <c r="D220" s="1" t="str">
        <f>"400965"</f>
        <v>400965</v>
      </c>
      <c r="E220" s="1" t="s">
        <v>17</v>
      </c>
      <c r="F220" s="1">
        <v>56</v>
      </c>
      <c r="G220" s="1">
        <v>4079</v>
      </c>
      <c r="H220" s="1">
        <v>228424</v>
      </c>
      <c r="I220" s="1">
        <v>0</v>
      </c>
      <c r="J220" s="1">
        <v>56</v>
      </c>
      <c r="K220" s="1">
        <v>0</v>
      </c>
    </row>
    <row r="221" spans="1:11" x14ac:dyDescent="0.2">
      <c r="A221" s="1" t="s">
        <v>204</v>
      </c>
      <c r="B221" s="1" t="s">
        <v>230</v>
      </c>
      <c r="C221" s="1" t="str">
        <f>"66298793395124"</f>
        <v>66298793395124</v>
      </c>
      <c r="D221" s="1" t="str">
        <f>"400970"</f>
        <v>400970</v>
      </c>
      <c r="E221" s="1" t="s">
        <v>17</v>
      </c>
      <c r="F221" s="1">
        <v>62</v>
      </c>
      <c r="G221" s="1">
        <v>4307</v>
      </c>
      <c r="H221" s="1">
        <v>267034</v>
      </c>
      <c r="I221" s="1">
        <v>0</v>
      </c>
      <c r="J221" s="1">
        <v>62</v>
      </c>
      <c r="K221" s="1">
        <v>0</v>
      </c>
    </row>
    <row r="222" spans="1:11" x14ac:dyDescent="0.2">
      <c r="A222" s="1" t="s">
        <v>204</v>
      </c>
      <c r="B222" s="1" t="s">
        <v>231</v>
      </c>
      <c r="C222" s="1" t="str">
        <f>"66298793432571"</f>
        <v>66298793432571</v>
      </c>
      <c r="D222" s="1" t="str">
        <f>"400101"</f>
        <v>400101</v>
      </c>
      <c r="E222" s="1" t="s">
        <v>17</v>
      </c>
      <c r="F222" s="1">
        <v>90</v>
      </c>
      <c r="G222" s="1">
        <v>1546</v>
      </c>
      <c r="H222" s="1">
        <v>139140</v>
      </c>
      <c r="I222" s="1">
        <v>0</v>
      </c>
      <c r="J222" s="1">
        <v>90</v>
      </c>
      <c r="K222" s="1">
        <v>0</v>
      </c>
    </row>
    <row r="223" spans="1:11" x14ac:dyDescent="0.2">
      <c r="A223" s="1" t="s">
        <v>204</v>
      </c>
      <c r="B223" s="1" t="s">
        <v>232</v>
      </c>
      <c r="C223" s="1" t="str">
        <f>"66298793477567"</f>
        <v>66298793477567</v>
      </c>
      <c r="D223" s="1" t="str">
        <f>"400963"</f>
        <v>400963</v>
      </c>
      <c r="E223" s="1" t="s">
        <v>17</v>
      </c>
      <c r="F223" s="1">
        <v>74</v>
      </c>
      <c r="G223" s="1">
        <v>1686</v>
      </c>
      <c r="H223" s="1">
        <v>124764</v>
      </c>
      <c r="I223" s="1">
        <v>0</v>
      </c>
      <c r="J223" s="1">
        <v>74</v>
      </c>
      <c r="K223" s="1">
        <v>0</v>
      </c>
    </row>
    <row r="224" spans="1:11" x14ac:dyDescent="0.2">
      <c r="A224" s="1" t="s">
        <v>204</v>
      </c>
      <c r="B224" s="1" t="s">
        <v>233</v>
      </c>
      <c r="C224" s="1" t="str">
        <f>"66298793524551"</f>
        <v>66298793524551</v>
      </c>
      <c r="D224" s="1" t="str">
        <f>"400103"</f>
        <v>400103</v>
      </c>
      <c r="E224" s="1" t="s">
        <v>17</v>
      </c>
      <c r="F224" s="1">
        <v>95</v>
      </c>
      <c r="G224" s="1">
        <v>1244</v>
      </c>
      <c r="H224" s="1">
        <v>118180</v>
      </c>
      <c r="I224" s="1">
        <v>0</v>
      </c>
      <c r="J224" s="1">
        <v>95</v>
      </c>
      <c r="K224" s="1">
        <v>0</v>
      </c>
    </row>
    <row r="225" spans="1:11" x14ac:dyDescent="0.2">
      <c r="A225" s="1" t="s">
        <v>204</v>
      </c>
      <c r="B225" s="1" t="s">
        <v>234</v>
      </c>
      <c r="C225" s="1" t="str">
        <f>"66298793568403"</f>
        <v>66298793568403</v>
      </c>
      <c r="D225" s="1" t="str">
        <f>"14431/41-397-310"</f>
        <v>14431/41-397-310</v>
      </c>
      <c r="E225" s="1" t="s">
        <v>17</v>
      </c>
      <c r="F225" s="1">
        <v>3</v>
      </c>
      <c r="G225" s="1">
        <v>1946</v>
      </c>
      <c r="H225" s="1">
        <v>5838</v>
      </c>
      <c r="I225" s="1">
        <v>0</v>
      </c>
      <c r="J225" s="1">
        <v>3</v>
      </c>
      <c r="K225" s="1">
        <v>0</v>
      </c>
    </row>
    <row r="226" spans="1:11" x14ac:dyDescent="0.2">
      <c r="A226" s="1" t="s">
        <v>204</v>
      </c>
      <c r="B226" s="1" t="s">
        <v>235</v>
      </c>
      <c r="C226" s="1" t="str">
        <f>"66298793608940"</f>
        <v>66298793608940</v>
      </c>
      <c r="D226" s="1" t="str">
        <f>"400967"</f>
        <v>400967</v>
      </c>
      <c r="E226" s="1" t="s">
        <v>17</v>
      </c>
      <c r="F226" s="1">
        <v>63</v>
      </c>
      <c r="G226" s="1">
        <v>5380</v>
      </c>
      <c r="H226" s="1">
        <v>338940</v>
      </c>
      <c r="I226" s="1">
        <v>0</v>
      </c>
      <c r="J226" s="1">
        <v>63</v>
      </c>
      <c r="K226" s="1">
        <v>0</v>
      </c>
    </row>
    <row r="227" spans="1:11" ht="30" x14ac:dyDescent="0.2">
      <c r="A227" s="1" t="s">
        <v>204</v>
      </c>
      <c r="B227" s="1" t="s">
        <v>236</v>
      </c>
      <c r="C227" s="1" t="str">
        <f>"66298793649754"</f>
        <v>66298793649754</v>
      </c>
      <c r="D227" s="1" t="str">
        <f>"DE007"</f>
        <v>DE007</v>
      </c>
      <c r="E227" s="1" t="s">
        <v>17</v>
      </c>
      <c r="F227" s="1">
        <v>3</v>
      </c>
      <c r="G227" s="1">
        <v>3209</v>
      </c>
      <c r="H227" s="1">
        <v>9627</v>
      </c>
      <c r="I227" s="1">
        <v>0</v>
      </c>
      <c r="J227" s="1">
        <v>3</v>
      </c>
      <c r="K227" s="1">
        <v>0</v>
      </c>
    </row>
    <row r="228" spans="1:11" x14ac:dyDescent="0.2">
      <c r="A228" s="1" t="s">
        <v>204</v>
      </c>
      <c r="B228" s="1" t="s">
        <v>237</v>
      </c>
      <c r="C228" s="1" t="str">
        <f>"66298793697634"</f>
        <v>66298793697634</v>
      </c>
      <c r="D228" s="1" t="str">
        <f>"400957"</f>
        <v>400957</v>
      </c>
      <c r="E228" s="1" t="s">
        <v>17</v>
      </c>
      <c r="F228" s="1">
        <v>59</v>
      </c>
      <c r="G228" s="1">
        <v>1487</v>
      </c>
      <c r="H228" s="1">
        <v>87733</v>
      </c>
      <c r="I228" s="1">
        <v>0</v>
      </c>
      <c r="J228" s="1">
        <v>59</v>
      </c>
      <c r="K228" s="1">
        <v>0</v>
      </c>
    </row>
    <row r="229" spans="1:11" x14ac:dyDescent="0.2">
      <c r="A229" s="1" t="s">
        <v>204</v>
      </c>
      <c r="B229" s="1" t="s">
        <v>238</v>
      </c>
      <c r="C229" s="1" t="str">
        <f>"66298793740457"</f>
        <v>66298793740457</v>
      </c>
      <c r="D229" s="1" t="str">
        <f>"400968"</f>
        <v>400968</v>
      </c>
      <c r="E229" s="1" t="s">
        <v>17</v>
      </c>
      <c r="F229" s="1">
        <v>40</v>
      </c>
      <c r="G229" s="1">
        <v>5015</v>
      </c>
      <c r="H229" s="1">
        <v>200600</v>
      </c>
      <c r="I229" s="1">
        <v>0</v>
      </c>
      <c r="J229" s="1">
        <v>40</v>
      </c>
      <c r="K229" s="1">
        <v>0</v>
      </c>
    </row>
    <row r="230" spans="1:11" x14ac:dyDescent="0.2">
      <c r="A230" s="1" t="s">
        <v>204</v>
      </c>
      <c r="B230" s="1" t="s">
        <v>239</v>
      </c>
      <c r="C230" s="1" t="str">
        <f>"66298793779864"</f>
        <v>66298793779864</v>
      </c>
      <c r="D230" s="1" t="str">
        <f>"401094"</f>
        <v>401094</v>
      </c>
      <c r="E230" s="1" t="s">
        <v>17</v>
      </c>
      <c r="F230" s="1">
        <v>46</v>
      </c>
      <c r="G230" s="1">
        <v>6296</v>
      </c>
      <c r="H230" s="1">
        <v>289616</v>
      </c>
      <c r="I230" s="1">
        <v>0</v>
      </c>
      <c r="J230" s="1">
        <v>46</v>
      </c>
      <c r="K230" s="1">
        <v>0</v>
      </c>
    </row>
    <row r="231" spans="1:11" x14ac:dyDescent="0.2">
      <c r="A231" s="1" t="s">
        <v>204</v>
      </c>
      <c r="B231" s="1" t="s">
        <v>240</v>
      </c>
      <c r="C231" s="1" t="str">
        <f>"66298793824970"</f>
        <v>66298793824970</v>
      </c>
      <c r="D231" s="1" t="str">
        <f>"400969"</f>
        <v>400969</v>
      </c>
      <c r="E231" s="1" t="s">
        <v>17</v>
      </c>
      <c r="F231" s="1">
        <v>86</v>
      </c>
      <c r="G231" s="1">
        <v>2048</v>
      </c>
      <c r="H231" s="1">
        <v>176128</v>
      </c>
      <c r="I231" s="1">
        <v>0</v>
      </c>
      <c r="J231" s="1">
        <v>86</v>
      </c>
      <c r="K231" s="1">
        <v>0</v>
      </c>
    </row>
    <row r="232" spans="1:11" x14ac:dyDescent="0.2">
      <c r="A232" s="1" t="s">
        <v>204</v>
      </c>
      <c r="B232" s="1" t="s">
        <v>241</v>
      </c>
      <c r="C232" s="1" t="str">
        <f>"66298793864335"</f>
        <v>66298793864335</v>
      </c>
      <c r="D232" s="1" t="str">
        <f>"1P3-E2151/61-00"</f>
        <v>1P3-E2151/61-00</v>
      </c>
      <c r="E232" s="1" t="s">
        <v>17</v>
      </c>
      <c r="F232" s="1">
        <v>7</v>
      </c>
      <c r="G232" s="1">
        <v>4477</v>
      </c>
      <c r="H232" s="1">
        <v>31339</v>
      </c>
      <c r="I232" s="1">
        <v>0</v>
      </c>
      <c r="J232" s="1">
        <v>7</v>
      </c>
      <c r="K232" s="1">
        <v>0</v>
      </c>
    </row>
    <row r="233" spans="1:11" x14ac:dyDescent="0.2">
      <c r="A233" s="1" t="s">
        <v>18</v>
      </c>
      <c r="B233" s="1" t="s">
        <v>242</v>
      </c>
      <c r="C233" s="1" t="str">
        <f>"66298793908828"</f>
        <v>66298793908828</v>
      </c>
      <c r="D233" s="1" t="str">
        <f>"21C-F3435-00"</f>
        <v>21C-F3435-00</v>
      </c>
      <c r="E233" s="1" t="s">
        <v>17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</row>
    <row r="234" spans="1:11" x14ac:dyDescent="0.2">
      <c r="A234" s="1" t="s">
        <v>243</v>
      </c>
      <c r="B234" s="1" t="s">
        <v>244</v>
      </c>
      <c r="C234" s="1" t="str">
        <f>"66298793952000"</f>
        <v>66298793952000</v>
      </c>
      <c r="D234" s="1" t="str">
        <f>"CP011"</f>
        <v>CP011</v>
      </c>
      <c r="E234" s="1" t="s">
        <v>17</v>
      </c>
      <c r="F234" s="1">
        <v>16</v>
      </c>
      <c r="G234" s="1">
        <v>2074</v>
      </c>
      <c r="H234" s="1">
        <v>33184</v>
      </c>
      <c r="I234" s="1">
        <v>0</v>
      </c>
      <c r="J234" s="1">
        <v>16</v>
      </c>
      <c r="K234" s="1">
        <v>0</v>
      </c>
    </row>
    <row r="235" spans="1:11" x14ac:dyDescent="0.2">
      <c r="A235" s="1" t="s">
        <v>245</v>
      </c>
      <c r="B235" s="1" t="s">
        <v>246</v>
      </c>
      <c r="C235" s="1" t="str">
        <f>"66298793993265"</f>
        <v>66298793993265</v>
      </c>
      <c r="D235" s="1" t="str">
        <f>"YB2.5L-CHB"</f>
        <v>YB2.5L-CHB</v>
      </c>
      <c r="E235" s="1" t="s">
        <v>17</v>
      </c>
      <c r="F235" s="1">
        <v>1</v>
      </c>
      <c r="G235" s="1">
        <v>6600</v>
      </c>
      <c r="H235" s="1">
        <v>6600</v>
      </c>
      <c r="I235" s="1">
        <v>0</v>
      </c>
      <c r="J235" s="1">
        <v>1</v>
      </c>
      <c r="K235" s="1">
        <v>0</v>
      </c>
    </row>
    <row r="236" spans="1:11" x14ac:dyDescent="0.2">
      <c r="A236" s="1" t="s">
        <v>245</v>
      </c>
      <c r="B236" s="1" t="s">
        <v>247</v>
      </c>
      <c r="C236" s="1" t="str">
        <f>"66298794035118"</f>
        <v>66298794035118</v>
      </c>
      <c r="D236" s="1" t="str">
        <f>"YB2.5L-C"</f>
        <v>YB2.5L-C</v>
      </c>
      <c r="E236" s="1" t="s">
        <v>17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</row>
    <row r="237" spans="1:11" x14ac:dyDescent="0.2">
      <c r="A237" s="1" t="s">
        <v>245</v>
      </c>
      <c r="B237" s="1" t="s">
        <v>248</v>
      </c>
      <c r="C237" s="1" t="str">
        <f>"12N24-4-BSHK"</f>
        <v>12N24-4-BSHK</v>
      </c>
      <c r="D237" s="1" t="str">
        <f>"12N24-4-BSHK"</f>
        <v>12N24-4-BSHK</v>
      </c>
      <c r="E237" s="1" t="s">
        <v>17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</row>
    <row r="238" spans="1:11" x14ac:dyDescent="0.2">
      <c r="A238" s="1" t="s">
        <v>245</v>
      </c>
      <c r="B238" s="1" t="s">
        <v>249</v>
      </c>
      <c r="C238" s="1" t="str">
        <f>"66298794081616"</f>
        <v>66298794081616</v>
      </c>
      <c r="D238" s="1" t="str">
        <f>"YTX4L-BSCN"</f>
        <v>YTX4L-BSCN</v>
      </c>
      <c r="E238" s="1" t="s">
        <v>17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</row>
    <row r="239" spans="1:11" x14ac:dyDescent="0.2">
      <c r="A239" s="1" t="s">
        <v>245</v>
      </c>
      <c r="B239" s="1" t="s">
        <v>250</v>
      </c>
      <c r="C239" s="1" t="str">
        <f>"66298794124475"</f>
        <v>66298794124475</v>
      </c>
      <c r="D239" s="1" t="str">
        <f>"YT4L-BSHB"</f>
        <v>YT4L-BSHB</v>
      </c>
      <c r="E239" s="1" t="s">
        <v>17</v>
      </c>
      <c r="F239" s="1">
        <v>6</v>
      </c>
      <c r="G239" s="1">
        <v>9972</v>
      </c>
      <c r="H239" s="1">
        <v>59832</v>
      </c>
      <c r="I239" s="1">
        <v>0</v>
      </c>
      <c r="J239" s="1">
        <v>6</v>
      </c>
      <c r="K239" s="1">
        <v>0</v>
      </c>
    </row>
    <row r="240" spans="1:11" x14ac:dyDescent="0.2">
      <c r="A240" s="1" t="s">
        <v>245</v>
      </c>
      <c r="B240" s="1" t="s">
        <v>251</v>
      </c>
      <c r="C240" s="1" t="str">
        <f>"66298794204604"</f>
        <v>66298794204604</v>
      </c>
      <c r="D240" s="1" t="str">
        <f>"YTZ5SVTS"</f>
        <v>YTZ5SVTS</v>
      </c>
      <c r="E240" s="1" t="s">
        <v>17</v>
      </c>
      <c r="F240" s="1">
        <v>8</v>
      </c>
      <c r="G240" s="1">
        <v>11610</v>
      </c>
      <c r="H240" s="1">
        <v>92880</v>
      </c>
      <c r="I240" s="1">
        <v>0</v>
      </c>
      <c r="J240" s="1">
        <v>8</v>
      </c>
      <c r="K240" s="1">
        <v>0</v>
      </c>
    </row>
    <row r="241" spans="1:11" x14ac:dyDescent="0.2">
      <c r="A241" s="1" t="s">
        <v>245</v>
      </c>
      <c r="B241" s="1" t="s">
        <v>252</v>
      </c>
      <c r="C241" s="1" t="str">
        <f>"YB4L-BHB"</f>
        <v>YB4L-BHB</v>
      </c>
      <c r="D241" s="1" t="str">
        <f>"YB4L-BHB"</f>
        <v>YB4L-BHB</v>
      </c>
      <c r="E241" s="1" t="s">
        <v>17</v>
      </c>
      <c r="F241" s="1">
        <v>1</v>
      </c>
      <c r="G241" s="1">
        <v>7009</v>
      </c>
      <c r="H241" s="1">
        <v>7009</v>
      </c>
      <c r="I241" s="1">
        <v>0</v>
      </c>
      <c r="J241" s="1">
        <v>1</v>
      </c>
      <c r="K241" s="1">
        <v>0</v>
      </c>
    </row>
    <row r="242" spans="1:11" x14ac:dyDescent="0.2">
      <c r="A242" s="1" t="s">
        <v>245</v>
      </c>
      <c r="B242" s="1" t="s">
        <v>253</v>
      </c>
      <c r="C242" s="1" t="str">
        <f>"66298794293503"</f>
        <v>66298794293503</v>
      </c>
      <c r="D242" s="1" t="str">
        <f>"YT5AL-BSHB"</f>
        <v>YT5AL-BSHB</v>
      </c>
      <c r="E242" s="1" t="s">
        <v>17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</row>
    <row r="243" spans="1:11" x14ac:dyDescent="0.2">
      <c r="A243" s="1" t="s">
        <v>245</v>
      </c>
      <c r="B243" s="1" t="s">
        <v>254</v>
      </c>
      <c r="C243" s="1" t="str">
        <f>"66298794332881"</f>
        <v>66298794332881</v>
      </c>
      <c r="D243" s="1" t="str">
        <f>"YB5L-BHB"</f>
        <v>YB5L-BHB</v>
      </c>
      <c r="E243" s="1" t="s">
        <v>17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</row>
    <row r="244" spans="1:11" x14ac:dyDescent="0.2">
      <c r="A244" s="1" t="s">
        <v>245</v>
      </c>
      <c r="B244" s="1" t="s">
        <v>255</v>
      </c>
      <c r="C244" s="1" t="str">
        <f>"66298794418524"</f>
        <v>66298794418524</v>
      </c>
      <c r="D244" s="1" t="str">
        <f>"12N5-BS"</f>
        <v>12N5-BS</v>
      </c>
      <c r="E244" s="1" t="s">
        <v>17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</row>
    <row r="245" spans="1:11" x14ac:dyDescent="0.2">
      <c r="A245" s="1" t="s">
        <v>245</v>
      </c>
      <c r="B245" s="1" t="s">
        <v>256</v>
      </c>
      <c r="C245" s="1" t="str">
        <f>"66298794500118"</f>
        <v>66298794500118</v>
      </c>
      <c r="D245" s="1" t="str">
        <f>"YTX7L-BSHB"</f>
        <v>YTX7L-BSHB</v>
      </c>
      <c r="E245" s="1" t="s">
        <v>17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</row>
    <row r="246" spans="1:11" x14ac:dyDescent="0.2">
      <c r="A246" s="1" t="s">
        <v>245</v>
      </c>
      <c r="B246" s="1" t="s">
        <v>256</v>
      </c>
      <c r="C246" s="1" t="str">
        <f>"YTX7A-BSHB"</f>
        <v>YTX7A-BSHB</v>
      </c>
      <c r="D246" s="1" t="str">
        <f>"YTX7A-BSHB"</f>
        <v>YTX7A-BSHB</v>
      </c>
      <c r="E246" s="1" t="s">
        <v>17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</row>
    <row r="247" spans="1:11" x14ac:dyDescent="0.2">
      <c r="A247" s="1" t="s">
        <v>245</v>
      </c>
      <c r="B247" s="1" t="s">
        <v>257</v>
      </c>
      <c r="C247" s="1" t="str">
        <f>"YTX7L-BSVTS"</f>
        <v>YTX7L-BSVTS</v>
      </c>
      <c r="D247" s="1" t="str">
        <f>"YTX7L-BSVTS"</f>
        <v>YTX7L-BSVTS</v>
      </c>
      <c r="E247" s="1" t="s">
        <v>17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</row>
    <row r="248" spans="1:11" x14ac:dyDescent="0.2">
      <c r="A248" s="1" t="s">
        <v>245</v>
      </c>
      <c r="B248" s="1" t="s">
        <v>258</v>
      </c>
      <c r="C248" s="1" t="str">
        <f>"66298794461523"</f>
        <v>66298794461523</v>
      </c>
      <c r="D248" s="1" t="str">
        <f>"YTX7L-BS"</f>
        <v>YTX7L-BS</v>
      </c>
      <c r="E248" s="1" t="s">
        <v>17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</row>
    <row r="249" spans="1:11" x14ac:dyDescent="0.2">
      <c r="A249" s="1" t="s">
        <v>245</v>
      </c>
      <c r="B249" s="1" t="s">
        <v>259</v>
      </c>
      <c r="C249" s="1" t="str">
        <f>"66298794547708"</f>
        <v>66298794547708</v>
      </c>
      <c r="D249" s="1" t="str">
        <f>"YTX6.5L-BSHB"</f>
        <v>YTX6.5L-BSHB</v>
      </c>
      <c r="E249" s="1" t="s">
        <v>17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</row>
    <row r="250" spans="1:11" x14ac:dyDescent="0.2">
      <c r="A250" s="1" t="s">
        <v>245</v>
      </c>
      <c r="B250" s="1" t="s">
        <v>259</v>
      </c>
      <c r="C250" s="1" t="str">
        <f>"66298794553973"</f>
        <v>66298794553973</v>
      </c>
      <c r="D250" s="1" t="str">
        <f>"YT7B-BSHB"</f>
        <v>YT7B-BSHB</v>
      </c>
      <c r="E250" s="1" t="s">
        <v>17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</row>
    <row r="251" spans="1:11" x14ac:dyDescent="0.2">
      <c r="A251" s="1" t="s">
        <v>245</v>
      </c>
      <c r="B251" s="1" t="s">
        <v>260</v>
      </c>
      <c r="C251" s="1" t="str">
        <f>"66298794655248"</f>
        <v>66298794655248</v>
      </c>
      <c r="D251" s="1" t="str">
        <f>"GTX7E-BSHB"</f>
        <v>GTX7E-BSHB</v>
      </c>
      <c r="E251" s="1" t="s">
        <v>17</v>
      </c>
      <c r="F251" s="1">
        <v>3</v>
      </c>
      <c r="G251" s="1">
        <v>12403</v>
      </c>
      <c r="H251" s="1">
        <v>37209</v>
      </c>
      <c r="I251" s="1">
        <v>0</v>
      </c>
      <c r="J251" s="1">
        <v>3</v>
      </c>
      <c r="K251" s="1">
        <v>0</v>
      </c>
    </row>
    <row r="252" spans="1:11" x14ac:dyDescent="0.2">
      <c r="A252" s="1" t="s">
        <v>245</v>
      </c>
      <c r="B252" s="1" t="s">
        <v>260</v>
      </c>
      <c r="C252" s="1" t="str">
        <f>"66298794661817"</f>
        <v>66298794661817</v>
      </c>
      <c r="D252" s="1" t="str">
        <f>"YB7-AHB"</f>
        <v>YB7-AHB</v>
      </c>
      <c r="E252" s="1" t="s">
        <v>17</v>
      </c>
      <c r="F252" s="1">
        <v>5</v>
      </c>
      <c r="G252" s="1">
        <v>11291</v>
      </c>
      <c r="H252" s="1">
        <v>56455</v>
      </c>
      <c r="I252" s="1">
        <v>0</v>
      </c>
      <c r="J252" s="1">
        <v>5</v>
      </c>
      <c r="K252" s="1">
        <v>0</v>
      </c>
    </row>
    <row r="253" spans="1:11" x14ac:dyDescent="0.2">
      <c r="A253" s="1" t="s">
        <v>245</v>
      </c>
      <c r="B253" s="1" t="s">
        <v>261</v>
      </c>
      <c r="C253" s="1" t="str">
        <f>"66298794721917"</f>
        <v>66298794721917</v>
      </c>
      <c r="D253" s="1" t="str">
        <f>"YTX7DL-BSHB"</f>
        <v>YTX7DL-BSHB</v>
      </c>
      <c r="E253" s="1" t="s">
        <v>17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</row>
    <row r="254" spans="1:11" x14ac:dyDescent="0.2">
      <c r="A254" s="1" t="s">
        <v>245</v>
      </c>
      <c r="B254" s="1" t="s">
        <v>262</v>
      </c>
      <c r="C254" s="1" t="str">
        <f>"66298794609055"</f>
        <v>66298794609055</v>
      </c>
      <c r="D254" s="1" t="str">
        <f>"YB7B-BHB"</f>
        <v>YB7B-BHB</v>
      </c>
      <c r="E254" s="1" t="s">
        <v>17</v>
      </c>
      <c r="F254" s="1">
        <v>4</v>
      </c>
      <c r="G254" s="1">
        <v>11509</v>
      </c>
      <c r="H254" s="1">
        <v>46036</v>
      </c>
      <c r="I254" s="1">
        <v>0</v>
      </c>
      <c r="J254" s="1">
        <v>4</v>
      </c>
      <c r="K254" s="1">
        <v>0</v>
      </c>
    </row>
    <row r="255" spans="1:11" x14ac:dyDescent="0.2">
      <c r="A255" s="1" t="s">
        <v>245</v>
      </c>
      <c r="B255" s="1" t="s">
        <v>262</v>
      </c>
      <c r="C255" s="1" t="str">
        <f>"12N7B-3AHB"</f>
        <v>12N7B-3AHB</v>
      </c>
      <c r="D255" s="1" t="str">
        <f>"12N7B-3AHB"</f>
        <v>12N7B-3AHB</v>
      </c>
      <c r="E255" s="1" t="s">
        <v>17</v>
      </c>
      <c r="F255" s="1">
        <v>5</v>
      </c>
      <c r="G255" s="1">
        <v>13204</v>
      </c>
      <c r="H255" s="1">
        <v>66020</v>
      </c>
      <c r="I255" s="1">
        <v>0</v>
      </c>
      <c r="J255" s="1">
        <v>5</v>
      </c>
      <c r="K255" s="1">
        <v>0</v>
      </c>
    </row>
    <row r="256" spans="1:11" x14ac:dyDescent="0.2">
      <c r="A256" s="1" t="s">
        <v>245</v>
      </c>
      <c r="B256" s="1" t="s">
        <v>262</v>
      </c>
      <c r="C256" s="1" t="str">
        <f>"12N7-4BHB"</f>
        <v>12N7-4BHB</v>
      </c>
      <c r="D256" s="1" t="str">
        <f>"12N7-4BHB"</f>
        <v>12N7-4BHB</v>
      </c>
      <c r="E256" s="1" t="s">
        <v>17</v>
      </c>
      <c r="F256" s="1">
        <v>3</v>
      </c>
      <c r="G256" s="1">
        <v>11711</v>
      </c>
      <c r="H256" s="1">
        <v>35133</v>
      </c>
      <c r="I256" s="1">
        <v>0</v>
      </c>
      <c r="J256" s="1">
        <v>3</v>
      </c>
      <c r="K256" s="1">
        <v>0</v>
      </c>
    </row>
    <row r="257" spans="1:11" x14ac:dyDescent="0.2">
      <c r="A257" s="1" t="s">
        <v>245</v>
      </c>
      <c r="B257" s="1" t="s">
        <v>262</v>
      </c>
      <c r="C257" s="1" t="str">
        <f>"12N7-3BHB"</f>
        <v>12N7-3BHB</v>
      </c>
      <c r="D257" s="1" t="str">
        <f>"12N7-3BHB"</f>
        <v>12N7-3BHB</v>
      </c>
      <c r="E257" s="1" t="s">
        <v>17</v>
      </c>
      <c r="F257" s="1">
        <v>6</v>
      </c>
      <c r="G257" s="1">
        <v>12025</v>
      </c>
      <c r="H257" s="1">
        <v>72150</v>
      </c>
      <c r="I257" s="1">
        <v>0</v>
      </c>
      <c r="J257" s="1">
        <v>6</v>
      </c>
      <c r="K257" s="1">
        <v>0</v>
      </c>
    </row>
    <row r="258" spans="1:11" x14ac:dyDescent="0.2">
      <c r="A258" s="1" t="s">
        <v>245</v>
      </c>
      <c r="B258" s="1" t="s">
        <v>263</v>
      </c>
      <c r="C258" s="1" t="str">
        <f>"66298794842712"</f>
        <v>66298794842712</v>
      </c>
      <c r="D258" s="1" t="str">
        <f>"12N7-4AVTS"</f>
        <v>12N7-4AVTS</v>
      </c>
      <c r="E258" s="1" t="s">
        <v>17</v>
      </c>
      <c r="F258" s="1">
        <v>5</v>
      </c>
      <c r="G258" s="1">
        <v>11996</v>
      </c>
      <c r="H258" s="1">
        <v>59980</v>
      </c>
      <c r="I258" s="1">
        <v>0</v>
      </c>
      <c r="J258" s="1">
        <v>5</v>
      </c>
      <c r="K258" s="1">
        <v>0</v>
      </c>
    </row>
    <row r="259" spans="1:11" x14ac:dyDescent="0.2">
      <c r="A259" s="1" t="s">
        <v>245</v>
      </c>
      <c r="B259" s="1" t="s">
        <v>263</v>
      </c>
      <c r="C259" s="1" t="str">
        <f>"66298794849062"</f>
        <v>66298794849062</v>
      </c>
      <c r="D259" s="1" t="str">
        <f>"12N7A-3AVTS"</f>
        <v>12N7A-3AVTS</v>
      </c>
      <c r="E259" s="1" t="s">
        <v>17</v>
      </c>
      <c r="F259" s="1">
        <v>4</v>
      </c>
      <c r="G259" s="1">
        <v>12386</v>
      </c>
      <c r="H259" s="1">
        <v>49544</v>
      </c>
      <c r="I259" s="1">
        <v>0</v>
      </c>
      <c r="J259" s="1">
        <v>4</v>
      </c>
      <c r="K259" s="1">
        <v>0</v>
      </c>
    </row>
    <row r="260" spans="1:11" x14ac:dyDescent="0.2">
      <c r="A260" s="1" t="s">
        <v>245</v>
      </c>
      <c r="B260" s="1" t="s">
        <v>264</v>
      </c>
      <c r="C260" s="1" t="str">
        <f>"YT9B-BSHB"</f>
        <v>YT9B-BSHB</v>
      </c>
      <c r="D260" s="1" t="str">
        <f>"YT9B-BSHB"</f>
        <v>YT9B-BSHB</v>
      </c>
      <c r="E260" s="1" t="s">
        <v>17</v>
      </c>
      <c r="F260" s="1">
        <v>1</v>
      </c>
      <c r="G260" s="1">
        <v>16460</v>
      </c>
      <c r="H260" s="1">
        <v>16460</v>
      </c>
      <c r="I260" s="1">
        <v>0</v>
      </c>
      <c r="J260" s="1">
        <v>1</v>
      </c>
      <c r="K260" s="1">
        <v>0</v>
      </c>
    </row>
    <row r="261" spans="1:11" x14ac:dyDescent="0.2">
      <c r="A261" s="1" t="s">
        <v>245</v>
      </c>
      <c r="B261" s="1" t="s">
        <v>265</v>
      </c>
      <c r="C261" s="1" t="str">
        <f>"66298794903079"</f>
        <v>66298794903079</v>
      </c>
      <c r="D261" s="1" t="str">
        <f>"YTX9-BSHB"</f>
        <v>YTX9-BSHB</v>
      </c>
      <c r="E261" s="1" t="s">
        <v>17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</row>
    <row r="262" spans="1:11" x14ac:dyDescent="0.2">
      <c r="A262" s="1" t="s">
        <v>245</v>
      </c>
      <c r="B262" s="1" t="s">
        <v>266</v>
      </c>
      <c r="C262" s="1" t="str">
        <f>"YTX9A-BSHB"</f>
        <v>YTX9A-BSHB</v>
      </c>
      <c r="D262" s="1" t="str">
        <f>"YTX9A-BSHB"</f>
        <v>YTX9A-BSHB</v>
      </c>
      <c r="E262" s="1" t="s">
        <v>17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</row>
    <row r="263" spans="1:11" x14ac:dyDescent="0.2">
      <c r="A263" s="1" t="s">
        <v>245</v>
      </c>
      <c r="B263" s="1" t="s">
        <v>267</v>
      </c>
      <c r="C263" s="1" t="str">
        <f>"66298795088864"</f>
        <v>66298795088864</v>
      </c>
      <c r="D263" s="1" t="str">
        <f>"YT12B-BSHB"</f>
        <v>YT12B-BSHB</v>
      </c>
      <c r="E263" s="1" t="s">
        <v>17</v>
      </c>
      <c r="F263" s="1">
        <v>5</v>
      </c>
      <c r="G263" s="1">
        <v>19936</v>
      </c>
      <c r="H263" s="1">
        <v>99680</v>
      </c>
      <c r="I263" s="1">
        <v>0</v>
      </c>
      <c r="J263" s="1">
        <v>5</v>
      </c>
      <c r="K263" s="1">
        <v>0</v>
      </c>
    </row>
    <row r="264" spans="1:11" x14ac:dyDescent="0.2">
      <c r="A264" s="1" t="s">
        <v>245</v>
      </c>
      <c r="B264" s="1" t="s">
        <v>267</v>
      </c>
      <c r="C264" s="1" t="str">
        <f>"YTX12-BSHB"</f>
        <v>YTX12-BSHB</v>
      </c>
      <c r="D264" s="1" t="str">
        <f>"YTX12-BSHB"</f>
        <v>YTX12-BSHB</v>
      </c>
      <c r="E264" s="1" t="s">
        <v>17</v>
      </c>
      <c r="F264" s="1">
        <v>3</v>
      </c>
      <c r="G264" s="1">
        <v>15391</v>
      </c>
      <c r="H264" s="1">
        <v>46173</v>
      </c>
      <c r="I264" s="1">
        <v>0</v>
      </c>
      <c r="J264" s="1">
        <v>3</v>
      </c>
      <c r="K264" s="1">
        <v>0</v>
      </c>
    </row>
    <row r="265" spans="1:11" x14ac:dyDescent="0.2">
      <c r="A265" s="1" t="s">
        <v>245</v>
      </c>
      <c r="B265" s="1" t="s">
        <v>268</v>
      </c>
      <c r="C265" s="1" t="str">
        <f>"YT12A-BSFB"</f>
        <v>YT12A-BSFB</v>
      </c>
      <c r="D265" s="1" t="str">
        <f>"YT12A-BSFB"</f>
        <v>YT12A-BSFB</v>
      </c>
      <c r="E265" s="1" t="s">
        <v>17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</row>
    <row r="266" spans="1:11" ht="30" x14ac:dyDescent="0.2">
      <c r="A266" s="1" t="s">
        <v>245</v>
      </c>
      <c r="B266" s="1" t="s">
        <v>269</v>
      </c>
      <c r="C266" s="1" t="str">
        <f>"YTZ14S-BS/SLA"</f>
        <v>YTZ14S-BS/SLA</v>
      </c>
      <c r="D266" s="1" t="str">
        <f>"YTZ14S-BS/SLA"</f>
        <v>YTZ14S-BS/SLA</v>
      </c>
      <c r="E266" s="1" t="s">
        <v>17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</row>
    <row r="267" spans="1:11" x14ac:dyDescent="0.2">
      <c r="A267" s="1" t="s">
        <v>245</v>
      </c>
      <c r="B267" s="1" t="s">
        <v>270</v>
      </c>
      <c r="C267" s="1" t="str">
        <f>"YTX14-BSHB"</f>
        <v>YTX14-BSHB</v>
      </c>
      <c r="D267" s="1" t="str">
        <f>"YTX14-BSHB"</f>
        <v>YTX14-BSHB</v>
      </c>
      <c r="E267" s="1" t="s">
        <v>17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</row>
    <row r="268" spans="1:11" x14ac:dyDescent="0.2">
      <c r="A268" s="1" t="s">
        <v>245</v>
      </c>
      <c r="B268" s="1" t="s">
        <v>270</v>
      </c>
      <c r="C268" s="1" t="str">
        <f>"YT14B-BSHB"</f>
        <v>YT14B-BSHB</v>
      </c>
      <c r="D268" s="1" t="str">
        <f>"YT14B-BSHB"</f>
        <v>YT14B-BSHB</v>
      </c>
      <c r="E268" s="1" t="s">
        <v>17</v>
      </c>
      <c r="F268" s="1">
        <v>2</v>
      </c>
      <c r="G268" s="1">
        <v>21480</v>
      </c>
      <c r="H268" s="1">
        <v>42960</v>
      </c>
      <c r="I268" s="1">
        <v>0</v>
      </c>
      <c r="J268" s="1">
        <v>2</v>
      </c>
      <c r="K268" s="1">
        <v>0</v>
      </c>
    </row>
    <row r="269" spans="1:11" x14ac:dyDescent="0.2">
      <c r="A269" s="1" t="s">
        <v>245</v>
      </c>
      <c r="B269" s="1" t="s">
        <v>271</v>
      </c>
      <c r="C269" s="1" t="str">
        <f>"YTX16-BSHB"</f>
        <v>YTX16-BSHB</v>
      </c>
      <c r="D269" s="1" t="str">
        <f>"YTX16-BSHB"</f>
        <v>YTX16-BSHB</v>
      </c>
      <c r="E269" s="1" t="s">
        <v>17</v>
      </c>
      <c r="F269" s="1">
        <v>2</v>
      </c>
      <c r="G269" s="1">
        <v>20624</v>
      </c>
      <c r="H269" s="1">
        <v>41248</v>
      </c>
      <c r="I269" s="1">
        <v>0</v>
      </c>
      <c r="J269" s="1">
        <v>2</v>
      </c>
      <c r="K269" s="1">
        <v>0</v>
      </c>
    </row>
    <row r="270" spans="1:11" x14ac:dyDescent="0.2">
      <c r="A270" s="1" t="s">
        <v>245</v>
      </c>
      <c r="B270" s="1" t="s">
        <v>272</v>
      </c>
      <c r="C270" s="1" t="str">
        <f>"YTX20HL-BSHB"</f>
        <v>YTX20HL-BSHB</v>
      </c>
      <c r="D270" s="1" t="str">
        <f>"YTX20HL-BSHB"</f>
        <v>YTX20HL-BSHB</v>
      </c>
      <c r="E270" s="1" t="s">
        <v>17</v>
      </c>
      <c r="F270" s="1">
        <v>1</v>
      </c>
      <c r="G270" s="1">
        <v>23500</v>
      </c>
      <c r="H270" s="1">
        <v>23500</v>
      </c>
      <c r="I270" s="1">
        <v>0</v>
      </c>
      <c r="J270" s="1">
        <v>1</v>
      </c>
      <c r="K270" s="1">
        <v>0</v>
      </c>
    </row>
    <row r="271" spans="1:11" x14ac:dyDescent="0.2">
      <c r="A271" s="1" t="s">
        <v>245</v>
      </c>
      <c r="B271" s="1" t="s">
        <v>273</v>
      </c>
      <c r="C271" s="1" t="str">
        <f>"YTX30L-BSHB"</f>
        <v>YTX30L-BSHB</v>
      </c>
      <c r="D271" s="1" t="str">
        <f>"YTX30L-BSHB"</f>
        <v>YTX30L-BSHB</v>
      </c>
      <c r="E271" s="1" t="s">
        <v>17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</row>
    <row r="272" spans="1:11" ht="30" x14ac:dyDescent="0.2">
      <c r="A272" s="1" t="s">
        <v>245</v>
      </c>
      <c r="B272" s="1" t="s">
        <v>274</v>
      </c>
      <c r="C272" s="1" t="str">
        <f>"YTX12-BS/SLA"</f>
        <v>YTX12-BS/SLA</v>
      </c>
      <c r="D272" s="1" t="str">
        <f>"YTX12-BS/SLA"</f>
        <v>YTX12-BS/SLA</v>
      </c>
      <c r="E272" s="1" t="s">
        <v>17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</row>
    <row r="273" spans="1:11" ht="30" x14ac:dyDescent="0.2">
      <c r="A273" s="1" t="s">
        <v>245</v>
      </c>
      <c r="B273" s="1" t="s">
        <v>275</v>
      </c>
      <c r="C273" s="1" t="str">
        <f>"YT12B-4-BS/SLA"</f>
        <v>YT12B-4-BS/SLA</v>
      </c>
      <c r="D273" s="1" t="str">
        <f>"YT12B-4-BS/SLA"</f>
        <v>YT12B-4-BS/SLA</v>
      </c>
      <c r="E273" s="1" t="s">
        <v>17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</row>
    <row r="274" spans="1:11" x14ac:dyDescent="0.2">
      <c r="A274" s="1" t="s">
        <v>245</v>
      </c>
      <c r="B274" s="1" t="s">
        <v>276</v>
      </c>
      <c r="C274" s="1" t="str">
        <f>"Y12A-BSFB"</f>
        <v>Y12A-BSFB</v>
      </c>
      <c r="D274" s="1" t="str">
        <f>"Y12A-BSFB"</f>
        <v>Y12A-BSFB</v>
      </c>
      <c r="E274" s="1" t="s">
        <v>17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</row>
    <row r="275" spans="1:11" x14ac:dyDescent="0.2">
      <c r="A275" s="1" t="s">
        <v>245</v>
      </c>
      <c r="B275" s="1" t="s">
        <v>277</v>
      </c>
      <c r="C275" s="1" t="str">
        <f>"YTX12-BSHQ"</f>
        <v>YTX12-BSHQ</v>
      </c>
      <c r="D275" s="1" t="str">
        <f>"YTX12-BSHQ"</f>
        <v>YTX12-BSHQ</v>
      </c>
      <c r="E275" s="1" t="s">
        <v>17</v>
      </c>
      <c r="F275" s="1">
        <v>1</v>
      </c>
      <c r="G275" s="1">
        <v>21780</v>
      </c>
      <c r="H275" s="1">
        <v>21780</v>
      </c>
      <c r="I275" s="1">
        <v>0</v>
      </c>
      <c r="J275" s="1">
        <v>1</v>
      </c>
      <c r="K275" s="1">
        <v>0</v>
      </c>
    </row>
    <row r="276" spans="1:11" x14ac:dyDescent="0.2">
      <c r="A276" s="1" t="s">
        <v>245</v>
      </c>
      <c r="B276" s="1" t="s">
        <v>278</v>
      </c>
      <c r="C276" s="1" t="str">
        <f>"MBTX9U"</f>
        <v>MBTX9U</v>
      </c>
      <c r="D276" s="1" t="str">
        <f>"MBTX9U"</f>
        <v>MBTX9U</v>
      </c>
      <c r="E276" s="1" t="s">
        <v>17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ht="30" x14ac:dyDescent="0.2">
      <c r="A277" s="1" t="s">
        <v>245</v>
      </c>
      <c r="B277" s="1" t="s">
        <v>279</v>
      </c>
      <c r="C277" s="1" t="str">
        <f>"YTZ12S-BS/SLA"</f>
        <v>YTZ12S-BS/SLA</v>
      </c>
      <c r="D277" s="1" t="str">
        <f>"YTZ12S-BS/SLA"</f>
        <v>YTZ12S-BS/SLA</v>
      </c>
      <c r="E277" s="1" t="s">
        <v>17</v>
      </c>
      <c r="F277" s="1">
        <v>1</v>
      </c>
      <c r="G277" s="1">
        <v>23647</v>
      </c>
      <c r="H277" s="1">
        <v>23647</v>
      </c>
      <c r="I277" s="1">
        <v>0</v>
      </c>
      <c r="J277" s="1">
        <v>1</v>
      </c>
      <c r="K277" s="1">
        <v>0</v>
      </c>
    </row>
    <row r="278" spans="1:11" x14ac:dyDescent="0.2">
      <c r="A278" s="1" t="s">
        <v>245</v>
      </c>
      <c r="B278" s="1" t="s">
        <v>280</v>
      </c>
      <c r="C278" s="1" t="str">
        <f>"MB9U"</f>
        <v>MB9U</v>
      </c>
      <c r="D278" s="1" t="str">
        <f>"MB9U"</f>
        <v>MB9U</v>
      </c>
      <c r="E278" s="1" t="s">
        <v>17</v>
      </c>
      <c r="F278" s="1">
        <v>2</v>
      </c>
      <c r="G278" s="1">
        <v>34357</v>
      </c>
      <c r="H278" s="1">
        <v>68714</v>
      </c>
      <c r="I278" s="1">
        <v>0</v>
      </c>
      <c r="J278" s="1">
        <v>2</v>
      </c>
      <c r="K278" s="1">
        <v>0</v>
      </c>
    </row>
    <row r="279" spans="1:11" x14ac:dyDescent="0.2">
      <c r="A279" s="1" t="s">
        <v>245</v>
      </c>
      <c r="B279" s="1" t="s">
        <v>281</v>
      </c>
      <c r="C279" s="1" t="str">
        <f>"MBTZ14S"</f>
        <v>MBTZ14S</v>
      </c>
      <c r="D279" s="1" t="str">
        <f>"MBTZ14S"</f>
        <v>MBTZ14S</v>
      </c>
      <c r="E279" s="1" t="s">
        <v>17</v>
      </c>
      <c r="F279" s="1">
        <v>1</v>
      </c>
      <c r="G279" s="1">
        <v>38181</v>
      </c>
      <c r="H279" s="1">
        <v>38181</v>
      </c>
      <c r="I279" s="1">
        <v>0</v>
      </c>
      <c r="J279" s="1">
        <v>1</v>
      </c>
      <c r="K279" s="1">
        <v>0</v>
      </c>
    </row>
    <row r="280" spans="1:11" ht="30" x14ac:dyDescent="0.2">
      <c r="A280" s="1" t="s">
        <v>245</v>
      </c>
      <c r="B280" s="1" t="s">
        <v>282</v>
      </c>
      <c r="C280" s="1" t="str">
        <f>"12N12A-4A-1-BS/DRY"</f>
        <v>12N12A-4A-1-BS/DRY</v>
      </c>
      <c r="D280" s="1" t="str">
        <f>"12N12A-4A-1-BS/DRY"</f>
        <v>12N12A-4A-1-BS/DRY</v>
      </c>
      <c r="E280" s="1" t="s">
        <v>17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</row>
    <row r="281" spans="1:11" ht="30" x14ac:dyDescent="0.2">
      <c r="A281" s="1" t="s">
        <v>245</v>
      </c>
      <c r="B281" s="1" t="s">
        <v>283</v>
      </c>
      <c r="C281" s="1" t="str">
        <f>"YTX14-BS/MF"</f>
        <v>YTX14-BS/MF</v>
      </c>
      <c r="D281" s="1" t="str">
        <f>"YTX14-BS/MF"</f>
        <v>YTX14-BS/MF</v>
      </c>
      <c r="E281" s="1" t="s">
        <v>17</v>
      </c>
      <c r="F281" s="1">
        <v>5</v>
      </c>
      <c r="G281" s="1">
        <v>33810.92</v>
      </c>
      <c r="H281" s="1">
        <v>169055</v>
      </c>
      <c r="I281" s="1">
        <v>0</v>
      </c>
      <c r="J281" s="1">
        <v>5</v>
      </c>
      <c r="K281" s="1">
        <v>0</v>
      </c>
    </row>
    <row r="282" spans="1:11" ht="30" x14ac:dyDescent="0.2">
      <c r="A282" s="1" t="s">
        <v>245</v>
      </c>
      <c r="B282" s="1" t="s">
        <v>284</v>
      </c>
      <c r="C282" s="1" t="str">
        <f>"YTX14L-BS/MF"</f>
        <v>YTX14L-BS/MF</v>
      </c>
      <c r="D282" s="1" t="str">
        <f>"YTX14L-BS/MF"</f>
        <v>YTX14L-BS/MF</v>
      </c>
      <c r="E282" s="1" t="s">
        <v>17</v>
      </c>
      <c r="F282" s="1">
        <v>1</v>
      </c>
      <c r="G282" s="1">
        <v>29697.48</v>
      </c>
      <c r="H282" s="1">
        <v>29697</v>
      </c>
      <c r="I282" s="1">
        <v>0</v>
      </c>
      <c r="J282" s="1">
        <v>1</v>
      </c>
      <c r="K282" s="1">
        <v>0</v>
      </c>
    </row>
    <row r="283" spans="1:11" x14ac:dyDescent="0.2">
      <c r="A283" s="1" t="s">
        <v>245</v>
      </c>
      <c r="B283" s="1" t="s">
        <v>285</v>
      </c>
      <c r="C283" s="1" t="str">
        <f>"YTX12-BSQS"</f>
        <v>YTX12-BSQS</v>
      </c>
      <c r="D283" s="1" t="str">
        <f>"YTX12-BSQS"</f>
        <v>YTX12-BSQS</v>
      </c>
      <c r="E283" s="1" t="s">
        <v>17</v>
      </c>
      <c r="F283" s="1">
        <v>10</v>
      </c>
      <c r="G283" s="1">
        <v>15990</v>
      </c>
      <c r="H283" s="1">
        <v>159900</v>
      </c>
      <c r="I283" s="1">
        <v>0</v>
      </c>
      <c r="J283" s="1">
        <v>10</v>
      </c>
      <c r="K283" s="1">
        <v>0</v>
      </c>
    </row>
    <row r="284" spans="1:11" ht="30" x14ac:dyDescent="0.2">
      <c r="A284" s="1" t="s">
        <v>245</v>
      </c>
      <c r="B284" s="1" t="s">
        <v>286</v>
      </c>
      <c r="C284" s="1" t="str">
        <f>"YTX14AHL-BS/SLA"</f>
        <v>YTX14AHL-BS/SLA</v>
      </c>
      <c r="D284" s="1" t="str">
        <f>"YTX14AHL-BS/SLA"</f>
        <v>YTX14AHL-BS/SLA</v>
      </c>
      <c r="E284" s="1" t="s">
        <v>17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</row>
    <row r="285" spans="1:11" x14ac:dyDescent="0.2">
      <c r="A285" s="1" t="s">
        <v>245</v>
      </c>
      <c r="B285" s="1" t="s">
        <v>287</v>
      </c>
      <c r="C285" s="1" t="str">
        <f>"MBTX12U"</f>
        <v>MBTX12U</v>
      </c>
      <c r="D285" s="1" t="str">
        <f>"MBTX12U"</f>
        <v>MBTX12U</v>
      </c>
      <c r="E285" s="1" t="s">
        <v>17</v>
      </c>
      <c r="F285" s="1">
        <v>2</v>
      </c>
      <c r="G285" s="1">
        <v>43643</v>
      </c>
      <c r="H285" s="1">
        <v>87286</v>
      </c>
      <c r="I285" s="1">
        <v>0</v>
      </c>
      <c r="J285" s="1">
        <v>2</v>
      </c>
      <c r="K285" s="1">
        <v>0</v>
      </c>
    </row>
    <row r="286" spans="1:11" x14ac:dyDescent="0.2">
      <c r="A286" s="1" t="s">
        <v>245</v>
      </c>
      <c r="B286" s="1" t="s">
        <v>287</v>
      </c>
      <c r="C286" s="1" t="str">
        <f>"MB12U"</f>
        <v>MB12U</v>
      </c>
      <c r="D286" s="1" t="str">
        <f>"MB12U"</f>
        <v>MB12U</v>
      </c>
      <c r="E286" s="1" t="s">
        <v>17</v>
      </c>
      <c r="F286" s="1">
        <v>2</v>
      </c>
      <c r="G286" s="1">
        <v>49105</v>
      </c>
      <c r="H286" s="1">
        <v>98210</v>
      </c>
      <c r="I286" s="1">
        <v>0</v>
      </c>
      <c r="J286" s="1">
        <v>2</v>
      </c>
      <c r="K286" s="1">
        <v>0</v>
      </c>
    </row>
    <row r="287" spans="1:11" x14ac:dyDescent="0.2">
      <c r="A287" s="1" t="s">
        <v>245</v>
      </c>
      <c r="B287" s="1" t="s">
        <v>288</v>
      </c>
      <c r="C287" s="1" t="str">
        <f>"YTX14-BSQS"</f>
        <v>YTX14-BSQS</v>
      </c>
      <c r="D287" s="1" t="str">
        <f>"YTX14-BSQS"</f>
        <v>YTX14-BSQS</v>
      </c>
      <c r="E287" s="1" t="s">
        <v>17</v>
      </c>
      <c r="F287" s="1">
        <v>8</v>
      </c>
      <c r="G287" s="1">
        <v>16990</v>
      </c>
      <c r="H287" s="1">
        <v>135920</v>
      </c>
      <c r="I287" s="1">
        <v>0</v>
      </c>
      <c r="J287" s="1">
        <v>8</v>
      </c>
      <c r="K287" s="1">
        <v>0</v>
      </c>
    </row>
    <row r="288" spans="1:11" x14ac:dyDescent="0.2">
      <c r="A288" s="1" t="s">
        <v>245</v>
      </c>
      <c r="B288" s="1" t="s">
        <v>289</v>
      </c>
      <c r="C288" s="1" t="str">
        <f>"MB10U"</f>
        <v>MB10U</v>
      </c>
      <c r="D288" s="1" t="str">
        <f>"MB10U"</f>
        <v>MB10U</v>
      </c>
      <c r="E288" s="1" t="s">
        <v>17</v>
      </c>
      <c r="F288" s="1">
        <v>1</v>
      </c>
      <c r="G288" s="1">
        <v>43643</v>
      </c>
      <c r="H288" s="1">
        <v>43643</v>
      </c>
      <c r="I288" s="1">
        <v>0</v>
      </c>
      <c r="J288" s="1">
        <v>1</v>
      </c>
      <c r="K288" s="1">
        <v>0</v>
      </c>
    </row>
    <row r="289" spans="1:11" x14ac:dyDescent="0.2">
      <c r="A289" s="1" t="s">
        <v>245</v>
      </c>
      <c r="B289" s="1" t="s">
        <v>290</v>
      </c>
      <c r="C289" s="1" t="str">
        <f>"MBTX14AU"</f>
        <v>MBTX14AU</v>
      </c>
      <c r="D289" s="1" t="str">
        <f>"MBTX14AU"</f>
        <v>MBTX14AU</v>
      </c>
      <c r="E289" s="1" t="s">
        <v>17</v>
      </c>
      <c r="F289" s="1">
        <v>2</v>
      </c>
      <c r="G289" s="1">
        <v>49105</v>
      </c>
      <c r="H289" s="1">
        <v>98210</v>
      </c>
      <c r="I289" s="1">
        <v>0</v>
      </c>
      <c r="J289" s="1">
        <v>2</v>
      </c>
      <c r="K289" s="1">
        <v>0</v>
      </c>
    </row>
    <row r="290" spans="1:11" x14ac:dyDescent="0.2">
      <c r="A290" s="1" t="s">
        <v>245</v>
      </c>
      <c r="B290" s="1" t="s">
        <v>290</v>
      </c>
      <c r="C290" s="1" t="str">
        <f>"MBYZ16HD"</f>
        <v>MBYZ16HD</v>
      </c>
      <c r="D290" s="1" t="str">
        <f>"MBYZ16HD"</f>
        <v>MBYZ16HD</v>
      </c>
      <c r="E290" s="1" t="s">
        <v>17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</row>
    <row r="291" spans="1:11" x14ac:dyDescent="0.2">
      <c r="A291" s="1" t="s">
        <v>245</v>
      </c>
      <c r="B291" s="1" t="s">
        <v>291</v>
      </c>
      <c r="C291" s="1" t="str">
        <f>"MBTX16U"</f>
        <v>MBTX16U</v>
      </c>
      <c r="D291" s="1" t="str">
        <f>"MBTX16U"</f>
        <v>MBTX16U</v>
      </c>
      <c r="E291" s="1" t="s">
        <v>17</v>
      </c>
      <c r="F291" s="1">
        <v>2</v>
      </c>
      <c r="G291" s="1">
        <v>60029</v>
      </c>
      <c r="H291" s="1">
        <v>120058</v>
      </c>
      <c r="I291" s="1">
        <v>0</v>
      </c>
      <c r="J291" s="1">
        <v>2</v>
      </c>
      <c r="K291" s="1">
        <v>0</v>
      </c>
    </row>
    <row r="292" spans="1:11" ht="30" x14ac:dyDescent="0.2">
      <c r="A292" s="1" t="s">
        <v>245</v>
      </c>
      <c r="B292" s="1" t="s">
        <v>292</v>
      </c>
      <c r="C292" s="1" t="str">
        <f>"YT4B-5-BS/SLA"</f>
        <v>YT4B-5-BS/SLA</v>
      </c>
      <c r="D292" s="1" t="str">
        <f>"YT4B-5-BS/SLA"</f>
        <v>YT4B-5-BS/SLA</v>
      </c>
      <c r="E292" s="1" t="s">
        <v>17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</row>
    <row r="293" spans="1:11" ht="30" x14ac:dyDescent="0.2">
      <c r="A293" s="1" t="s">
        <v>245</v>
      </c>
      <c r="B293" s="1" t="s">
        <v>293</v>
      </c>
      <c r="C293" s="1" t="str">
        <f>"YB2.5L-C-BS/DRY"</f>
        <v>YB2.5L-C-BS/DRY</v>
      </c>
      <c r="D293" s="1" t="str">
        <f>"YB2.5L-C-BS/DRY"</f>
        <v>YB2.5L-C-BS/DRY</v>
      </c>
      <c r="E293" s="1" t="s">
        <v>17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</row>
    <row r="294" spans="1:11" x14ac:dyDescent="0.2">
      <c r="A294" s="1" t="s">
        <v>245</v>
      </c>
      <c r="B294" s="1" t="s">
        <v>294</v>
      </c>
      <c r="C294" s="1" t="str">
        <f>"MB16U"</f>
        <v>MB16U</v>
      </c>
      <c r="D294" s="1" t="str">
        <f>"MB16U"</f>
        <v>MB16U</v>
      </c>
      <c r="E294" s="1" t="s">
        <v>17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</row>
    <row r="295" spans="1:11" x14ac:dyDescent="0.2">
      <c r="A295" s="1" t="s">
        <v>245</v>
      </c>
      <c r="B295" s="1" t="s">
        <v>295</v>
      </c>
      <c r="C295" s="1" t="str">
        <f>"MB16AU"</f>
        <v>MB16AU</v>
      </c>
      <c r="D295" s="1" t="str">
        <f>"MB16AU"</f>
        <v>MB16AU</v>
      </c>
      <c r="E295" s="1" t="s">
        <v>17</v>
      </c>
      <c r="F295" s="1">
        <v>1</v>
      </c>
      <c r="G295" s="1">
        <v>52382</v>
      </c>
      <c r="H295" s="1">
        <v>52382</v>
      </c>
      <c r="I295" s="1">
        <v>0</v>
      </c>
      <c r="J295" s="1">
        <v>1</v>
      </c>
      <c r="K295" s="1">
        <v>0</v>
      </c>
    </row>
    <row r="296" spans="1:11" x14ac:dyDescent="0.2">
      <c r="A296" s="1" t="s">
        <v>245</v>
      </c>
      <c r="B296" s="1" t="s">
        <v>296</v>
      </c>
      <c r="C296" s="1" t="str">
        <f>"MBTX20UHD"</f>
        <v>MBTX20UHD</v>
      </c>
      <c r="D296" s="1" t="str">
        <f>"MBTX20UHD"</f>
        <v>MBTX20UHD</v>
      </c>
      <c r="E296" s="1" t="s">
        <v>17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</row>
    <row r="297" spans="1:11" x14ac:dyDescent="0.2">
      <c r="A297" s="1" t="s">
        <v>245</v>
      </c>
      <c r="B297" s="1" t="s">
        <v>297</v>
      </c>
      <c r="C297" s="1" t="str">
        <f>"MB51814"</f>
        <v>MB51814</v>
      </c>
      <c r="D297" s="1" t="str">
        <f>"MB51814"</f>
        <v>MB51814</v>
      </c>
      <c r="E297" s="1" t="s">
        <v>17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</row>
    <row r="298" spans="1:11" x14ac:dyDescent="0.2">
      <c r="A298" s="1" t="s">
        <v>245</v>
      </c>
      <c r="B298" s="1" t="s">
        <v>298</v>
      </c>
      <c r="C298" s="1" t="str">
        <f>"66298794161780"</f>
        <v>66298794161780</v>
      </c>
      <c r="D298" s="1" t="str">
        <f>"YTX4L-BSQS"</f>
        <v>YTX4L-BSQS</v>
      </c>
      <c r="E298" s="1" t="s">
        <v>17</v>
      </c>
      <c r="F298" s="1">
        <v>20</v>
      </c>
      <c r="G298" s="1">
        <v>8209</v>
      </c>
      <c r="H298" s="1">
        <v>164180</v>
      </c>
      <c r="I298" s="1">
        <v>0</v>
      </c>
      <c r="J298" s="1">
        <v>20</v>
      </c>
      <c r="K298" s="1">
        <v>0</v>
      </c>
    </row>
    <row r="299" spans="1:11" x14ac:dyDescent="0.2">
      <c r="A299" s="1" t="s">
        <v>245</v>
      </c>
      <c r="B299" s="1" t="s">
        <v>299</v>
      </c>
      <c r="C299" s="1" t="str">
        <f>"MBTX30UHD"</f>
        <v>MBTX30UHD</v>
      </c>
      <c r="D299" s="1" t="str">
        <f>"MBTX30UHD"</f>
        <v>MBTX30UHD</v>
      </c>
      <c r="E299" s="1" t="s">
        <v>17</v>
      </c>
      <c r="F299" s="1">
        <v>2</v>
      </c>
      <c r="G299" s="1">
        <v>87340</v>
      </c>
      <c r="H299" s="1">
        <v>174680</v>
      </c>
      <c r="I299" s="1">
        <v>0</v>
      </c>
      <c r="J299" s="1">
        <v>2</v>
      </c>
      <c r="K299" s="1">
        <v>0</v>
      </c>
    </row>
    <row r="300" spans="1:11" x14ac:dyDescent="0.2">
      <c r="A300" s="1" t="s">
        <v>245</v>
      </c>
      <c r="B300" s="1" t="s">
        <v>299</v>
      </c>
      <c r="C300" s="1" t="str">
        <f>"MBTX30U"</f>
        <v>MBTX30U</v>
      </c>
      <c r="D300" s="1" t="str">
        <f>"MBTX30U"</f>
        <v>MBTX30U</v>
      </c>
      <c r="E300" s="1" t="s">
        <v>17</v>
      </c>
      <c r="F300" s="1">
        <v>2</v>
      </c>
      <c r="G300" s="1">
        <v>85155</v>
      </c>
      <c r="H300" s="1">
        <v>170310</v>
      </c>
      <c r="I300" s="1">
        <v>0</v>
      </c>
      <c r="J300" s="1">
        <v>2</v>
      </c>
      <c r="K300" s="1">
        <v>0</v>
      </c>
    </row>
    <row r="301" spans="1:11" ht="30" x14ac:dyDescent="0.2">
      <c r="A301" s="1" t="s">
        <v>245</v>
      </c>
      <c r="B301" s="1" t="s">
        <v>300</v>
      </c>
      <c r="C301" s="1" t="str">
        <f>"YTX5L-BS/MF"</f>
        <v>YTX5L-BS/MF</v>
      </c>
      <c r="D301" s="1" t="str">
        <f>"YTX5L-BS/MF"</f>
        <v>YTX5L-BS/MF</v>
      </c>
      <c r="E301" s="1" t="s">
        <v>17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</row>
    <row r="302" spans="1:11" ht="30" x14ac:dyDescent="0.2">
      <c r="A302" s="1" t="s">
        <v>245</v>
      </c>
      <c r="B302" s="1" t="s">
        <v>301</v>
      </c>
      <c r="C302" s="1" t="str">
        <f>"YTX4L-BS/SLA"</f>
        <v>YTX4L-BS/SLA</v>
      </c>
      <c r="D302" s="1" t="str">
        <f>"YTX4L-BS/SLA"</f>
        <v>YTX4L-BS/SLA</v>
      </c>
      <c r="E302" s="1" t="s">
        <v>17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</row>
    <row r="303" spans="1:11" x14ac:dyDescent="0.2">
      <c r="A303" s="1" t="s">
        <v>245</v>
      </c>
      <c r="B303" s="1" t="s">
        <v>302</v>
      </c>
      <c r="C303" s="1" t="str">
        <f>"YTX4L-BSHQ"</f>
        <v>YTX4L-BSHQ</v>
      </c>
      <c r="D303" s="1" t="str">
        <f>"YTX4L-BSHQ"</f>
        <v>YTX4L-BSHQ</v>
      </c>
      <c r="E303" s="1" t="s">
        <v>17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</row>
    <row r="304" spans="1:11" x14ac:dyDescent="0.2">
      <c r="A304" s="1" t="s">
        <v>245</v>
      </c>
      <c r="B304" s="1" t="s">
        <v>303</v>
      </c>
      <c r="C304" s="1" t="str">
        <f>"MBTX4U"</f>
        <v>MBTX4U</v>
      </c>
      <c r="D304" s="1" t="str">
        <f>"MBTX4U"</f>
        <v>MBTX4U</v>
      </c>
      <c r="E304" s="1" t="s">
        <v>17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ht="30" x14ac:dyDescent="0.2">
      <c r="A305" s="1" t="s">
        <v>245</v>
      </c>
      <c r="B305" s="1" t="s">
        <v>304</v>
      </c>
      <c r="C305" s="1" t="str">
        <f>"YB5L-B-BS/SLA"</f>
        <v>YB5L-B-BS/SLA</v>
      </c>
      <c r="D305" s="1" t="str">
        <f>"YB5L-B-BS/SLA"</f>
        <v>YB5L-B-BS/SLA</v>
      </c>
      <c r="E305" s="1" t="s">
        <v>17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ht="30" x14ac:dyDescent="0.2">
      <c r="A306" s="1" t="s">
        <v>245</v>
      </c>
      <c r="B306" s="1" t="s">
        <v>305</v>
      </c>
      <c r="C306" s="1" t="str">
        <f>"YTX5L-BS/SLA"</f>
        <v>YTX5L-BS/SLA</v>
      </c>
      <c r="D306" s="1" t="str">
        <f>"YTX5L-BS/SLA"</f>
        <v>YTX5L-BS/SLA</v>
      </c>
      <c r="E306" s="1" t="s">
        <v>17</v>
      </c>
      <c r="F306" s="1">
        <v>1</v>
      </c>
      <c r="G306" s="1">
        <v>14571.43</v>
      </c>
      <c r="H306" s="1">
        <v>14571</v>
      </c>
      <c r="I306" s="1">
        <v>0</v>
      </c>
      <c r="J306" s="1">
        <v>1</v>
      </c>
      <c r="K306" s="1">
        <v>0</v>
      </c>
    </row>
    <row r="307" spans="1:11" x14ac:dyDescent="0.2">
      <c r="A307" s="1" t="s">
        <v>245</v>
      </c>
      <c r="B307" s="1" t="s">
        <v>306</v>
      </c>
      <c r="C307" s="1" t="str">
        <f>"66298794375930"</f>
        <v>66298794375930</v>
      </c>
      <c r="D307" s="1" t="str">
        <f>"YTX5L-BSQS"</f>
        <v>YTX5L-BSQS</v>
      </c>
      <c r="E307" s="1" t="s">
        <v>17</v>
      </c>
      <c r="F307" s="1">
        <v>10</v>
      </c>
      <c r="G307" s="1">
        <v>10271</v>
      </c>
      <c r="H307" s="1">
        <v>102710</v>
      </c>
      <c r="I307" s="1">
        <v>0</v>
      </c>
      <c r="J307" s="1">
        <v>10</v>
      </c>
      <c r="K307" s="1">
        <v>0</v>
      </c>
    </row>
    <row r="308" spans="1:11" x14ac:dyDescent="0.2">
      <c r="A308" s="1" t="s">
        <v>245</v>
      </c>
      <c r="B308" s="1" t="s">
        <v>307</v>
      </c>
      <c r="C308" s="1" t="str">
        <f>"YTX5L-GEL-BSMZ"</f>
        <v>YTX5L-GEL-BSMZ</v>
      </c>
      <c r="D308" s="1" t="str">
        <f>"YTX5L-GEL-BSMZ"</f>
        <v>YTX5L-GEL-BSMZ</v>
      </c>
      <c r="E308" s="1" t="s">
        <v>17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</row>
    <row r="309" spans="1:11" ht="30" x14ac:dyDescent="0.2">
      <c r="A309" s="1" t="s">
        <v>245</v>
      </c>
      <c r="B309" s="1" t="s">
        <v>308</v>
      </c>
      <c r="C309" s="1" t="str">
        <f>"YTX7L-BS/SLA"</f>
        <v>YTX7L-BS/SLA</v>
      </c>
      <c r="D309" s="1" t="str">
        <f>"YTX7L-BS/SLA"</f>
        <v>YTX7L-BS/SLA</v>
      </c>
      <c r="E309" s="1" t="s">
        <v>17</v>
      </c>
      <c r="F309" s="1">
        <v>3</v>
      </c>
      <c r="G309" s="1">
        <v>16894.12</v>
      </c>
      <c r="H309" s="1">
        <v>50682</v>
      </c>
      <c r="I309" s="1">
        <v>0</v>
      </c>
      <c r="J309" s="1">
        <v>3</v>
      </c>
      <c r="K309" s="1">
        <v>0</v>
      </c>
    </row>
    <row r="310" spans="1:11" ht="30" x14ac:dyDescent="0.2">
      <c r="A310" s="1" t="s">
        <v>245</v>
      </c>
      <c r="B310" s="1" t="s">
        <v>309</v>
      </c>
      <c r="C310" s="1" t="str">
        <f>"YTX7A-BS/SLA"</f>
        <v>YTX7A-BS/SLA</v>
      </c>
      <c r="D310" s="1" t="str">
        <f>"YTX7A-BS/SLA"</f>
        <v>YTX7A-BS/SLA</v>
      </c>
      <c r="E310" s="1" t="s">
        <v>17</v>
      </c>
      <c r="F310" s="1">
        <v>2</v>
      </c>
      <c r="G310" s="1">
        <v>18100.84</v>
      </c>
      <c r="H310" s="1">
        <v>36202</v>
      </c>
      <c r="I310" s="1">
        <v>0</v>
      </c>
      <c r="J310" s="1">
        <v>2</v>
      </c>
      <c r="K310" s="1">
        <v>0</v>
      </c>
    </row>
    <row r="311" spans="1:11" ht="30" x14ac:dyDescent="0.2">
      <c r="A311" s="1" t="s">
        <v>245</v>
      </c>
      <c r="B311" s="1" t="s">
        <v>310</v>
      </c>
      <c r="C311" s="1" t="str">
        <f>"YTZ7S-BS/SLA"</f>
        <v>YTZ7S-BS/SLA</v>
      </c>
      <c r="D311" s="1" t="str">
        <f>"YTZ7S-BS/SLA"</f>
        <v>YTZ7S-BS/SLA</v>
      </c>
      <c r="E311" s="1" t="s">
        <v>17</v>
      </c>
      <c r="F311" s="1">
        <v>2</v>
      </c>
      <c r="G311" s="1">
        <v>18100.84</v>
      </c>
      <c r="H311" s="1">
        <v>36202</v>
      </c>
      <c r="I311" s="1">
        <v>0</v>
      </c>
      <c r="J311" s="1">
        <v>2</v>
      </c>
      <c r="K311" s="1">
        <v>0</v>
      </c>
    </row>
    <row r="312" spans="1:11" x14ac:dyDescent="0.2">
      <c r="A312" s="1" t="s">
        <v>245</v>
      </c>
      <c r="B312" s="1" t="s">
        <v>311</v>
      </c>
      <c r="C312" s="1" t="str">
        <f>"YTX7A-BS-KAGE"</f>
        <v>YTX7A-BS-KAGE</v>
      </c>
      <c r="D312" s="1" t="str">
        <f>"YTX7A-BS-KAGE"</f>
        <v>YTX7A-BS-KAGE</v>
      </c>
      <c r="E312" s="1" t="s">
        <v>17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</row>
    <row r="313" spans="1:11" x14ac:dyDescent="0.2">
      <c r="A313" s="1" t="s">
        <v>245</v>
      </c>
      <c r="B313" s="1" t="s">
        <v>311</v>
      </c>
      <c r="C313" s="1" t="str">
        <f>"YTX7L-BS-KAGE"</f>
        <v>YTX7L-BS-KAGE</v>
      </c>
      <c r="D313" s="1" t="str">
        <f>"YTX7L-BS-KAGE"</f>
        <v>YTX7L-BS-KAGE</v>
      </c>
      <c r="E313" s="1" t="s">
        <v>17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</row>
    <row r="314" spans="1:11" ht="30" x14ac:dyDescent="0.2">
      <c r="A314" s="1" t="s">
        <v>245</v>
      </c>
      <c r="B314" s="1" t="s">
        <v>312</v>
      </c>
      <c r="C314" s="1" t="str">
        <f>"YT7B-4-BS/SLA"</f>
        <v>YT7B-4-BS/SLA</v>
      </c>
      <c r="D314" s="1" t="str">
        <f>"YT7B-4-BS/SLA"</f>
        <v>YT7B-4-BS/SLA</v>
      </c>
      <c r="E314" s="1" t="s">
        <v>17</v>
      </c>
      <c r="F314" s="1">
        <v>3</v>
      </c>
      <c r="G314" s="1">
        <v>14929.4</v>
      </c>
      <c r="H314" s="1">
        <v>44788</v>
      </c>
      <c r="I314" s="1">
        <v>0</v>
      </c>
      <c r="J314" s="1">
        <v>3</v>
      </c>
      <c r="K314" s="1">
        <v>0</v>
      </c>
    </row>
    <row r="315" spans="1:11" ht="30" x14ac:dyDescent="0.2">
      <c r="A315" s="1" t="s">
        <v>245</v>
      </c>
      <c r="B315" s="1" t="s">
        <v>313</v>
      </c>
      <c r="C315" s="1" t="str">
        <f>"YTX6.5L-BS/SLA"</f>
        <v>YTX6.5L-BS/SLA</v>
      </c>
      <c r="D315" s="1" t="str">
        <f>"YTX6.5L-BS/SLA"</f>
        <v>YTX6.5L-BS/SLA</v>
      </c>
      <c r="E315" s="1" t="s">
        <v>17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</row>
    <row r="316" spans="1:11" x14ac:dyDescent="0.2">
      <c r="A316" s="1" t="s">
        <v>245</v>
      </c>
      <c r="B316" s="1" t="s">
        <v>314</v>
      </c>
      <c r="C316" s="1" t="str">
        <f>"MBTZ7S"</f>
        <v>MBTZ7S</v>
      </c>
      <c r="D316" s="1" t="str">
        <f>"MBTZ7S"</f>
        <v>MBTZ7S</v>
      </c>
      <c r="E316" s="1" t="s">
        <v>17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</row>
    <row r="317" spans="1:11" x14ac:dyDescent="0.2">
      <c r="A317" s="1" t="s">
        <v>245</v>
      </c>
      <c r="B317" s="1" t="s">
        <v>314</v>
      </c>
      <c r="C317" s="1" t="str">
        <f>"MB7U"</f>
        <v>MB7U</v>
      </c>
      <c r="D317" s="1" t="str">
        <f>"MB7U"</f>
        <v>MB7U</v>
      </c>
      <c r="E317" s="1" t="s">
        <v>17</v>
      </c>
      <c r="F317" s="1">
        <v>2</v>
      </c>
      <c r="G317" s="1">
        <v>24525</v>
      </c>
      <c r="H317" s="1">
        <v>49050</v>
      </c>
      <c r="I317" s="1">
        <v>0</v>
      </c>
      <c r="J317" s="1">
        <v>2</v>
      </c>
      <c r="K317" s="1">
        <v>0</v>
      </c>
    </row>
    <row r="318" spans="1:11" x14ac:dyDescent="0.2">
      <c r="A318" s="1" t="s">
        <v>245</v>
      </c>
      <c r="B318" s="1" t="s">
        <v>315</v>
      </c>
      <c r="C318" s="1" t="str">
        <f>"12N6.5-BSHQ"</f>
        <v>12N6.5-BSHQ</v>
      </c>
      <c r="D318" s="1" t="str">
        <f>"12N6.5-BSHQ"</f>
        <v>12N6.5-BSHQ</v>
      </c>
      <c r="E318" s="1" t="s">
        <v>17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</row>
    <row r="319" spans="1:11" ht="30" x14ac:dyDescent="0.2">
      <c r="A319" s="1" t="s">
        <v>245</v>
      </c>
      <c r="B319" s="1" t="s">
        <v>316</v>
      </c>
      <c r="C319" s="1" t="str">
        <f>"12N7A-3A-BS/DRY"</f>
        <v>12N7A-3A-BS/DRY</v>
      </c>
      <c r="D319" s="1" t="str">
        <f>"12N7A-3A-BS/DRY"</f>
        <v>12N7A-3A-BS/DRY</v>
      </c>
      <c r="E319" s="1" t="s">
        <v>17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</row>
    <row r="320" spans="1:11" ht="30" x14ac:dyDescent="0.2">
      <c r="A320" s="1" t="s">
        <v>245</v>
      </c>
      <c r="B320" s="1" t="s">
        <v>317</v>
      </c>
      <c r="C320" s="1" t="str">
        <f>"12N7-4A-BS/DRY"</f>
        <v>12N7-4A-BS/DRY</v>
      </c>
      <c r="D320" s="1" t="str">
        <f>"12N7-4A-BS/DRY"</f>
        <v>12N7-4A-BS/DRY</v>
      </c>
      <c r="E320" s="1" t="s">
        <v>17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</row>
    <row r="321" spans="1:11" ht="30" x14ac:dyDescent="0.2">
      <c r="A321" s="1" t="s">
        <v>245</v>
      </c>
      <c r="B321" s="1" t="s">
        <v>318</v>
      </c>
      <c r="C321" s="1" t="str">
        <f>"12N7-3B-BS/DRY"</f>
        <v>12N7-3B-BS/DRY</v>
      </c>
      <c r="D321" s="1" t="str">
        <f>"12N7-3B-BS/DRY"</f>
        <v>12N7-3B-BS/DRY</v>
      </c>
      <c r="E321" s="1" t="s">
        <v>17</v>
      </c>
      <c r="F321" s="1">
        <v>3</v>
      </c>
      <c r="G321" s="1">
        <v>16563.009999999998</v>
      </c>
      <c r="H321" s="1">
        <v>49689</v>
      </c>
      <c r="I321" s="1">
        <v>0</v>
      </c>
      <c r="J321" s="1">
        <v>3</v>
      </c>
      <c r="K321" s="1">
        <v>0</v>
      </c>
    </row>
    <row r="322" spans="1:11" ht="30" x14ac:dyDescent="0.2">
      <c r="A322" s="1" t="s">
        <v>245</v>
      </c>
      <c r="B322" s="1" t="s">
        <v>319</v>
      </c>
      <c r="C322" s="1" t="str">
        <f>"YB7B-B-BS/DRY"</f>
        <v>YB7B-B-BS/DRY</v>
      </c>
      <c r="D322" s="1" t="str">
        <f>"YB7B-B-BS/DRY"</f>
        <v>YB7B-B-BS/DRY</v>
      </c>
      <c r="E322" s="1" t="s">
        <v>17</v>
      </c>
      <c r="F322" s="1">
        <v>1</v>
      </c>
      <c r="G322" s="1">
        <v>14929.4</v>
      </c>
      <c r="H322" s="1">
        <v>14929</v>
      </c>
      <c r="I322" s="1">
        <v>0</v>
      </c>
      <c r="J322" s="1">
        <v>1</v>
      </c>
      <c r="K322" s="1">
        <v>0</v>
      </c>
    </row>
    <row r="323" spans="1:11" ht="30" x14ac:dyDescent="0.2">
      <c r="A323" s="1" t="s">
        <v>245</v>
      </c>
      <c r="B323" s="1" t="s">
        <v>320</v>
      </c>
      <c r="C323" s="1" t="str">
        <f>"YTZ8V-BS/SLA"</f>
        <v>YTZ8V-BS/SLA</v>
      </c>
      <c r="D323" s="1" t="str">
        <f>"YTZ8V-BS/SLA"</f>
        <v>YTZ8V-BS/SLA</v>
      </c>
      <c r="E323" s="1" t="s">
        <v>17</v>
      </c>
      <c r="F323" s="1">
        <v>2</v>
      </c>
      <c r="G323" s="1">
        <v>19109.240000000002</v>
      </c>
      <c r="H323" s="1">
        <v>38218</v>
      </c>
      <c r="I323" s="1">
        <v>0</v>
      </c>
      <c r="J323" s="1">
        <v>2</v>
      </c>
      <c r="K323" s="1">
        <v>0</v>
      </c>
    </row>
    <row r="324" spans="1:11" x14ac:dyDescent="0.2">
      <c r="A324" s="1" t="s">
        <v>245</v>
      </c>
      <c r="B324" s="1" t="s">
        <v>321</v>
      </c>
      <c r="C324" s="1" t="str">
        <f>"MB5U"</f>
        <v>MB5U</v>
      </c>
      <c r="D324" s="1" t="str">
        <f>"MB5U"</f>
        <v>MB5U</v>
      </c>
      <c r="E324" s="1" t="s">
        <v>17</v>
      </c>
      <c r="F324" s="1">
        <v>2</v>
      </c>
      <c r="G324" s="1">
        <v>19063</v>
      </c>
      <c r="H324" s="1">
        <v>38126</v>
      </c>
      <c r="I324" s="1">
        <v>0</v>
      </c>
      <c r="J324" s="1">
        <v>2</v>
      </c>
      <c r="K324" s="1">
        <v>0</v>
      </c>
    </row>
    <row r="325" spans="1:11" x14ac:dyDescent="0.2">
      <c r="A325" s="1" t="s">
        <v>245</v>
      </c>
      <c r="B325" s="1" t="s">
        <v>321</v>
      </c>
      <c r="C325" s="1" t="str">
        <f>"MTX7D"</f>
        <v>MTX7D</v>
      </c>
      <c r="D325" s="1" t="str">
        <f>"MTX7D"</f>
        <v>MTX7D</v>
      </c>
      <c r="E325" s="1" t="s">
        <v>17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</row>
    <row r="326" spans="1:11" x14ac:dyDescent="0.2">
      <c r="A326" s="1" t="s">
        <v>245</v>
      </c>
      <c r="B326" s="1" t="s">
        <v>322</v>
      </c>
      <c r="C326" s="1" t="str">
        <f>"66298794770594"</f>
        <v>66298794770594</v>
      </c>
      <c r="D326" s="1" t="str">
        <f>"12N7-3BSQS"</f>
        <v>12N7-3BSQS</v>
      </c>
      <c r="E326" s="1" t="s">
        <v>17</v>
      </c>
      <c r="F326" s="1">
        <v>35</v>
      </c>
      <c r="G326" s="1">
        <v>11982.57</v>
      </c>
      <c r="H326" s="1">
        <v>419390</v>
      </c>
      <c r="I326" s="1">
        <v>0</v>
      </c>
      <c r="J326" s="1">
        <v>35</v>
      </c>
      <c r="K326" s="1">
        <v>0</v>
      </c>
    </row>
    <row r="327" spans="1:11" x14ac:dyDescent="0.2">
      <c r="A327" s="1" t="s">
        <v>245</v>
      </c>
      <c r="B327" s="1" t="s">
        <v>322</v>
      </c>
      <c r="C327" s="1" t="str">
        <f>"66298794780459"</f>
        <v>66298794780459</v>
      </c>
      <c r="D327" s="1" t="str">
        <f>"YTX7A-BSQS"</f>
        <v>YTX7A-BSQS</v>
      </c>
      <c r="E327" s="1" t="s">
        <v>17</v>
      </c>
      <c r="F327" s="1">
        <v>50</v>
      </c>
      <c r="G327" s="1">
        <v>13000</v>
      </c>
      <c r="H327" s="1">
        <v>650000</v>
      </c>
      <c r="I327" s="1">
        <v>0</v>
      </c>
      <c r="J327" s="1">
        <v>50</v>
      </c>
      <c r="K327" s="1">
        <v>0</v>
      </c>
    </row>
    <row r="328" spans="1:11" x14ac:dyDescent="0.2">
      <c r="A328" s="1" t="s">
        <v>245</v>
      </c>
      <c r="B328" s="1" t="s">
        <v>322</v>
      </c>
      <c r="C328" s="1" t="str">
        <f>"YTX7L-BSQS"</f>
        <v>YTX7L-BSQS</v>
      </c>
      <c r="D328" s="1" t="str">
        <f>"YTX7L-BSQS"</f>
        <v>YTX7L-BSQS</v>
      </c>
      <c r="E328" s="1" t="s">
        <v>17</v>
      </c>
      <c r="F328" s="1">
        <v>29</v>
      </c>
      <c r="G328" s="1">
        <v>12990</v>
      </c>
      <c r="H328" s="1">
        <v>376710</v>
      </c>
      <c r="I328" s="1">
        <v>0</v>
      </c>
      <c r="J328" s="1">
        <v>29</v>
      </c>
      <c r="K328" s="1">
        <v>0</v>
      </c>
    </row>
    <row r="329" spans="1:11" x14ac:dyDescent="0.2">
      <c r="A329" s="1" t="s">
        <v>245</v>
      </c>
      <c r="B329" s="1" t="s">
        <v>322</v>
      </c>
      <c r="C329" s="1" t="str">
        <f>"12N7A-3A-BSQS"</f>
        <v>12N7A-3A-BSQS</v>
      </c>
      <c r="D329" s="1" t="str">
        <f>"12N7A-3A-BSQS"</f>
        <v>12N7A-3A-BSQS</v>
      </c>
      <c r="E329" s="1" t="s">
        <v>17</v>
      </c>
      <c r="F329" s="1">
        <v>18</v>
      </c>
      <c r="G329" s="1">
        <v>12990</v>
      </c>
      <c r="H329" s="1">
        <v>233820</v>
      </c>
      <c r="I329" s="1">
        <v>0</v>
      </c>
      <c r="J329" s="1">
        <v>18</v>
      </c>
      <c r="K329" s="1">
        <v>0</v>
      </c>
    </row>
    <row r="330" spans="1:11" x14ac:dyDescent="0.2">
      <c r="A330" s="1" t="s">
        <v>245</v>
      </c>
      <c r="B330" s="1" t="s">
        <v>322</v>
      </c>
      <c r="C330" s="1" t="str">
        <f>"12N7-4A-BSQS"</f>
        <v>12N7-4A-BSQS</v>
      </c>
      <c r="D330" s="1" t="str">
        <f>"12N7-4A-BSQS"</f>
        <v>12N7-4A-BSQS</v>
      </c>
      <c r="E330" s="1" t="s">
        <v>17</v>
      </c>
      <c r="F330" s="1">
        <v>27</v>
      </c>
      <c r="G330" s="1">
        <v>12990</v>
      </c>
      <c r="H330" s="1">
        <v>350730</v>
      </c>
      <c r="I330" s="1">
        <v>0</v>
      </c>
      <c r="J330" s="1">
        <v>27</v>
      </c>
      <c r="K330" s="1">
        <v>0</v>
      </c>
    </row>
    <row r="331" spans="1:11" x14ac:dyDescent="0.2">
      <c r="A331" s="1" t="s">
        <v>245</v>
      </c>
      <c r="B331" s="1" t="s">
        <v>323</v>
      </c>
      <c r="C331" s="1" t="str">
        <f>"12N7A-3A-BSHQ"</f>
        <v>12N7A-3A-BSHQ</v>
      </c>
      <c r="D331" s="1" t="str">
        <f>"12N7A-3A-BSHQ"</f>
        <v>12N7A-3A-BSHQ</v>
      </c>
      <c r="E331" s="1" t="s">
        <v>17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</row>
    <row r="332" spans="1:11" x14ac:dyDescent="0.2">
      <c r="A332" s="1" t="s">
        <v>245</v>
      </c>
      <c r="B332" s="1" t="s">
        <v>324</v>
      </c>
      <c r="C332" s="1" t="str">
        <f>"YB7-A-BS-KAGE"</f>
        <v>YB7-A-BS-KAGE</v>
      </c>
      <c r="D332" s="1" t="str">
        <f>"YB7-A-BS-KAGE"</f>
        <v>YB7-A-BS-KAGE</v>
      </c>
      <c r="E332" s="1" t="s">
        <v>17</v>
      </c>
      <c r="F332" s="1">
        <v>1</v>
      </c>
      <c r="G332" s="1">
        <v>9231</v>
      </c>
      <c r="H332" s="1">
        <v>9231</v>
      </c>
      <c r="I332" s="1">
        <v>0</v>
      </c>
      <c r="J332" s="1">
        <v>1</v>
      </c>
      <c r="K332" s="1">
        <v>0</v>
      </c>
    </row>
    <row r="333" spans="1:11" x14ac:dyDescent="0.2">
      <c r="A333" s="1" t="s">
        <v>245</v>
      </c>
      <c r="B333" s="1" t="s">
        <v>324</v>
      </c>
      <c r="C333" s="1" t="str">
        <f>"YB7L-B-KAGE"</f>
        <v>YB7L-B-KAGE</v>
      </c>
      <c r="D333" s="1" t="str">
        <f>"YB7L-B-KAGE"</f>
        <v>YB7L-B-KAGE</v>
      </c>
      <c r="E333" s="1" t="s">
        <v>17</v>
      </c>
      <c r="F333" s="1">
        <v>1</v>
      </c>
      <c r="G333" s="1">
        <v>14147</v>
      </c>
      <c r="H333" s="1">
        <v>14147</v>
      </c>
      <c r="I333" s="1">
        <v>0</v>
      </c>
      <c r="J333" s="1">
        <v>1</v>
      </c>
      <c r="K333" s="1">
        <v>0</v>
      </c>
    </row>
    <row r="334" spans="1:11" x14ac:dyDescent="0.2">
      <c r="A334" s="1" t="s">
        <v>245</v>
      </c>
      <c r="B334" s="1" t="s">
        <v>325</v>
      </c>
      <c r="C334" s="1" t="str">
        <f>"YTX7L-GEL-BSMZ"</f>
        <v>YTX7L-GEL-BSMZ</v>
      </c>
      <c r="D334" s="1" t="str">
        <f>"YTX7L-GEL-BSMZ"</f>
        <v>YTX7L-GEL-BSMZ</v>
      </c>
      <c r="E334" s="1" t="s">
        <v>17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</row>
    <row r="335" spans="1:11" ht="30" x14ac:dyDescent="0.2">
      <c r="A335" s="1" t="s">
        <v>245</v>
      </c>
      <c r="B335" s="1" t="s">
        <v>326</v>
      </c>
      <c r="C335" s="1" t="str">
        <f>"YTX9-BS/MF"</f>
        <v>YTX9-BS/MF</v>
      </c>
      <c r="D335" s="1" t="str">
        <f>"YTX9-BS/MF"</f>
        <v>YTX9-BS/MF</v>
      </c>
      <c r="E335" s="1" t="s">
        <v>17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</row>
    <row r="336" spans="1:11" ht="30" x14ac:dyDescent="0.2">
      <c r="A336" s="1" t="s">
        <v>245</v>
      </c>
      <c r="B336" s="1" t="s">
        <v>327</v>
      </c>
      <c r="C336" s="1" t="str">
        <f>"YT9B-4-BS/SLA"</f>
        <v>YT9B-4-BS/SLA</v>
      </c>
      <c r="D336" s="1" t="str">
        <f>"YT9B-4-BS/SLA"</f>
        <v>YT9B-4-BS/SLA</v>
      </c>
      <c r="E336" s="1" t="s">
        <v>17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</row>
    <row r="337" spans="1:11" ht="30" x14ac:dyDescent="0.2">
      <c r="A337" s="1" t="s">
        <v>245</v>
      </c>
      <c r="B337" s="1" t="s">
        <v>328</v>
      </c>
      <c r="C337" s="1" t="str">
        <f>"YTX9-BS/SLA"</f>
        <v>YTX9-BS/SLA</v>
      </c>
      <c r="D337" s="1" t="str">
        <f>"YTX9-BS/SLA"</f>
        <v>YTX9-BS/SLA</v>
      </c>
      <c r="E337" s="1" t="s">
        <v>17</v>
      </c>
      <c r="F337" s="1">
        <v>1</v>
      </c>
      <c r="G337" s="1">
        <v>21126.05</v>
      </c>
      <c r="H337" s="1">
        <v>21126</v>
      </c>
      <c r="I337" s="1">
        <v>0</v>
      </c>
      <c r="J337" s="1">
        <v>1</v>
      </c>
      <c r="K337" s="1">
        <v>0</v>
      </c>
    </row>
    <row r="338" spans="1:11" x14ac:dyDescent="0.2">
      <c r="A338" s="1" t="s">
        <v>245</v>
      </c>
      <c r="B338" s="1" t="s">
        <v>329</v>
      </c>
      <c r="C338" s="1" t="str">
        <f>"MBTX7U"</f>
        <v>MBTX7U</v>
      </c>
      <c r="D338" s="1" t="str">
        <f>"MBTX7U"</f>
        <v>MBTX7U</v>
      </c>
      <c r="E338" s="1" t="s">
        <v>17</v>
      </c>
      <c r="F338" s="1">
        <v>2</v>
      </c>
      <c r="G338" s="1">
        <v>24525</v>
      </c>
      <c r="H338" s="1">
        <v>49050</v>
      </c>
      <c r="I338" s="1">
        <v>0</v>
      </c>
      <c r="J338" s="1">
        <v>2</v>
      </c>
      <c r="K338" s="1">
        <v>0</v>
      </c>
    </row>
    <row r="339" spans="1:11" x14ac:dyDescent="0.2">
      <c r="A339" s="1" t="s">
        <v>245</v>
      </c>
      <c r="B339" s="1" t="s">
        <v>330</v>
      </c>
      <c r="C339" s="1" t="str">
        <f>"66298794941330"</f>
        <v>66298794941330</v>
      </c>
      <c r="D339" s="1" t="str">
        <f>"YTX9-BSQS"</f>
        <v>YTX9-BSQS</v>
      </c>
      <c r="E339" s="1" t="s">
        <v>17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</row>
    <row r="340" spans="1:11" ht="30" x14ac:dyDescent="0.2">
      <c r="A340" s="1" t="s">
        <v>245</v>
      </c>
      <c r="B340" s="1" t="s">
        <v>331</v>
      </c>
      <c r="C340" s="1" t="str">
        <f>"YTZ10S-BS/SLA"</f>
        <v>YTZ10S-BS/SLA</v>
      </c>
      <c r="D340" s="1" t="str">
        <f>"YTZ10S-BS/SLA"</f>
        <v>YTZ10S-BS/SLA</v>
      </c>
      <c r="E340" s="1" t="s">
        <v>17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</row>
    <row r="341" spans="1:11" x14ac:dyDescent="0.2">
      <c r="A341" s="1" t="s">
        <v>245</v>
      </c>
      <c r="B341" s="1" t="s">
        <v>332</v>
      </c>
      <c r="C341" s="1" t="str">
        <f>"MBTZ10S"</f>
        <v>MBTZ10S</v>
      </c>
      <c r="D341" s="1" t="str">
        <f>"MBTZ10S"</f>
        <v>MBTZ10S</v>
      </c>
      <c r="E341" s="1" t="s">
        <v>17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 spans="1:11" ht="30" x14ac:dyDescent="0.2">
      <c r="A342" s="1" t="s">
        <v>245</v>
      </c>
      <c r="B342" s="1" t="s">
        <v>333</v>
      </c>
      <c r="C342" s="1" t="str">
        <f>"12N9-4B-1-BS/DRY"</f>
        <v>12N9-4B-1-BS/DRY</v>
      </c>
      <c r="D342" s="1" t="str">
        <f>"12N9-4B-1-BS/DRY"</f>
        <v>12N9-4B-1-BS/DRY</v>
      </c>
      <c r="E342" s="1" t="s">
        <v>17</v>
      </c>
      <c r="F342" s="1">
        <v>1</v>
      </c>
      <c r="G342" s="1">
        <v>18403.310000000001</v>
      </c>
      <c r="H342" s="1">
        <v>18403</v>
      </c>
      <c r="I342" s="1">
        <v>0</v>
      </c>
      <c r="J342" s="1">
        <v>1</v>
      </c>
      <c r="K342" s="1">
        <v>0</v>
      </c>
    </row>
    <row r="343" spans="1:11" ht="30" x14ac:dyDescent="0.2">
      <c r="A343" s="1" t="s">
        <v>245</v>
      </c>
      <c r="B343" s="1" t="s">
        <v>334</v>
      </c>
      <c r="C343" s="1" t="str">
        <f>"12N9-3B-BS/DRY"</f>
        <v>12N9-3B-BS/DRY</v>
      </c>
      <c r="D343" s="1" t="str">
        <f>"12N9-3B-BS/DRY"</f>
        <v>12N9-3B-BS/DRY</v>
      </c>
      <c r="E343" s="1" t="s">
        <v>17</v>
      </c>
      <c r="F343" s="1">
        <v>1</v>
      </c>
      <c r="G343" s="1">
        <v>18403.36</v>
      </c>
      <c r="H343" s="1">
        <v>18403</v>
      </c>
      <c r="I343" s="1">
        <v>0</v>
      </c>
      <c r="J343" s="1">
        <v>1</v>
      </c>
      <c r="K343" s="1">
        <v>0</v>
      </c>
    </row>
    <row r="344" spans="1:11" ht="30" x14ac:dyDescent="0.2">
      <c r="A344" s="1" t="s">
        <v>245</v>
      </c>
      <c r="B344" s="1" t="s">
        <v>335</v>
      </c>
      <c r="C344" s="1" t="str">
        <f>"YT9A-BS/MF"</f>
        <v>YT9A-BS/MF</v>
      </c>
      <c r="D344" s="1" t="str">
        <f>"YT9A-BS/MF"</f>
        <v>YT9A-BS/MF</v>
      </c>
      <c r="E344" s="1" t="s">
        <v>17</v>
      </c>
      <c r="F344" s="1">
        <v>1</v>
      </c>
      <c r="G344" s="1">
        <v>20117.59</v>
      </c>
      <c r="H344" s="1">
        <v>20118</v>
      </c>
      <c r="I344" s="1">
        <v>0</v>
      </c>
      <c r="J344" s="1">
        <v>1</v>
      </c>
      <c r="K344" s="1">
        <v>0</v>
      </c>
    </row>
    <row r="345" spans="1:11" ht="30" x14ac:dyDescent="0.2">
      <c r="A345" s="1" t="s">
        <v>245</v>
      </c>
      <c r="B345" s="1" t="s">
        <v>336</v>
      </c>
      <c r="C345" s="1" t="str">
        <f>"YB9-B-BS/SLA"</f>
        <v>YB9-B-BS/SLA</v>
      </c>
      <c r="D345" s="1" t="str">
        <f>"YB9-B-BS/SLA"</f>
        <v>YB9-B-BS/SLA</v>
      </c>
      <c r="E345" s="1" t="s">
        <v>17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</row>
    <row r="346" spans="1:11" x14ac:dyDescent="0.2">
      <c r="A346" s="1" t="s">
        <v>245</v>
      </c>
      <c r="B346" s="1" t="s">
        <v>337</v>
      </c>
      <c r="C346" s="1" t="str">
        <f>"MBT9B4"</f>
        <v>MBT9B4</v>
      </c>
      <c r="D346" s="1" t="str">
        <f>"MBT9B4"</f>
        <v>MBT9B4</v>
      </c>
      <c r="E346" s="1" t="s">
        <v>17</v>
      </c>
      <c r="F346" s="1">
        <v>5</v>
      </c>
      <c r="G346" s="1">
        <v>33373.599999999999</v>
      </c>
      <c r="H346" s="1">
        <v>166868</v>
      </c>
      <c r="I346" s="1">
        <v>0</v>
      </c>
      <c r="J346" s="1">
        <v>5</v>
      </c>
      <c r="K346" s="1">
        <v>0</v>
      </c>
    </row>
    <row r="347" spans="1:11" x14ac:dyDescent="0.2">
      <c r="A347" s="1" t="s">
        <v>245</v>
      </c>
      <c r="B347" s="1" t="s">
        <v>337</v>
      </c>
      <c r="C347" s="1" t="str">
        <f>"MB7BB"</f>
        <v>MB7BB</v>
      </c>
      <c r="D347" s="1" t="str">
        <f>"MB7BB"</f>
        <v>MB7BB</v>
      </c>
      <c r="E347" s="1" t="s">
        <v>17</v>
      </c>
      <c r="F347" s="1">
        <v>2</v>
      </c>
      <c r="G347" s="1">
        <v>32718</v>
      </c>
      <c r="H347" s="1">
        <v>65436</v>
      </c>
      <c r="I347" s="1">
        <v>0</v>
      </c>
      <c r="J347" s="1">
        <v>2</v>
      </c>
      <c r="K347" s="1">
        <v>0</v>
      </c>
    </row>
    <row r="348" spans="1:11" x14ac:dyDescent="0.2">
      <c r="A348" s="1" t="s">
        <v>245</v>
      </c>
      <c r="B348" s="1" t="s">
        <v>338</v>
      </c>
      <c r="C348" s="1" t="str">
        <f>"66298795050215"</f>
        <v>66298795050215</v>
      </c>
      <c r="D348" s="1" t="str">
        <f>"12N9-4B-1QS"</f>
        <v>12N9-4B-1QS</v>
      </c>
      <c r="E348" s="1" t="s">
        <v>17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</row>
    <row r="349" spans="1:11" x14ac:dyDescent="0.2">
      <c r="A349" s="1" t="s">
        <v>245</v>
      </c>
      <c r="B349" s="1" t="s">
        <v>338</v>
      </c>
      <c r="C349" s="1" t="str">
        <f>"12N9-3B-BSQS"</f>
        <v>12N9-3B-BSQS</v>
      </c>
      <c r="D349" s="1" t="str">
        <f>"12N9-3B-BSQS"</f>
        <v>12N9-3B-BSQS</v>
      </c>
      <c r="E349" s="1" t="s">
        <v>17</v>
      </c>
      <c r="F349" s="1">
        <v>30</v>
      </c>
      <c r="G349" s="1">
        <v>14790</v>
      </c>
      <c r="H349" s="1">
        <v>443700</v>
      </c>
      <c r="I349" s="1">
        <v>0</v>
      </c>
      <c r="J349" s="1">
        <v>30</v>
      </c>
      <c r="K349" s="1">
        <v>0</v>
      </c>
    </row>
    <row r="350" spans="1:11" x14ac:dyDescent="0.2">
      <c r="A350" s="1" t="s">
        <v>245</v>
      </c>
      <c r="B350" s="1" t="s">
        <v>339</v>
      </c>
      <c r="C350" s="1" t="str">
        <f>"12N9-BSHQ"</f>
        <v>12N9-BSHQ</v>
      </c>
      <c r="D350" s="1" t="str">
        <f>"12N9-BSHQ"</f>
        <v>12N9-BSHQ</v>
      </c>
      <c r="E350" s="1" t="s">
        <v>17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</row>
    <row r="351" spans="1:11" x14ac:dyDescent="0.2">
      <c r="A351" s="1" t="s">
        <v>245</v>
      </c>
      <c r="B351" s="1" t="s">
        <v>340</v>
      </c>
      <c r="C351" s="1" t="str">
        <f>"12N9-BSMZ"</f>
        <v>12N9-BSMZ</v>
      </c>
      <c r="D351" s="1" t="str">
        <f>"12N9-BSMZ"</f>
        <v>12N9-BSMZ</v>
      </c>
      <c r="E351" s="1" t="s">
        <v>17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</row>
    <row r="352" spans="1:11" x14ac:dyDescent="0.2">
      <c r="A352" s="1" t="s">
        <v>245</v>
      </c>
      <c r="B352" s="1" t="s">
        <v>341</v>
      </c>
      <c r="C352" s="1" t="str">
        <f>"6N4-2A-4-F"</f>
        <v>6N4-2A-4-F</v>
      </c>
      <c r="D352" s="1" t="str">
        <f>"6N4-2A-4-F"</f>
        <v>6N4-2A-4-F</v>
      </c>
      <c r="E352" s="1" t="s">
        <v>17</v>
      </c>
      <c r="F352" s="1">
        <v>1</v>
      </c>
      <c r="G352" s="1">
        <v>5920</v>
      </c>
      <c r="H352" s="1">
        <v>5920</v>
      </c>
      <c r="I352" s="1">
        <v>0</v>
      </c>
      <c r="J352" s="1">
        <v>1</v>
      </c>
      <c r="K352" s="1">
        <v>0</v>
      </c>
    </row>
    <row r="353" spans="1:11" ht="30" x14ac:dyDescent="0.2">
      <c r="A353" s="1" t="s">
        <v>342</v>
      </c>
      <c r="B353" s="1" t="s">
        <v>343</v>
      </c>
      <c r="C353" s="1" t="str">
        <f>"400497"</f>
        <v>400497</v>
      </c>
      <c r="D353" s="1" t="str">
        <f>"400497"</f>
        <v>400497</v>
      </c>
      <c r="E353" s="1" t="s">
        <v>17</v>
      </c>
      <c r="F353" s="1">
        <v>21</v>
      </c>
      <c r="G353" s="1">
        <v>5160</v>
      </c>
      <c r="H353" s="1">
        <v>108360</v>
      </c>
      <c r="I353" s="1">
        <v>0</v>
      </c>
      <c r="J353" s="1">
        <v>21</v>
      </c>
      <c r="K353" s="1">
        <v>0</v>
      </c>
    </row>
    <row r="354" spans="1:11" ht="30" x14ac:dyDescent="0.2">
      <c r="A354" s="1" t="s">
        <v>342</v>
      </c>
      <c r="B354" s="1" t="s">
        <v>344</v>
      </c>
      <c r="C354" s="1" t="str">
        <f>"400498"</f>
        <v>400498</v>
      </c>
      <c r="D354" s="1" t="str">
        <f>"400498"</f>
        <v>400498</v>
      </c>
      <c r="E354" s="1" t="s">
        <v>17</v>
      </c>
      <c r="F354" s="1">
        <v>25</v>
      </c>
      <c r="G354" s="1">
        <v>4348</v>
      </c>
      <c r="H354" s="1">
        <v>108700</v>
      </c>
      <c r="I354" s="1">
        <v>0</v>
      </c>
      <c r="J354" s="1">
        <v>25</v>
      </c>
      <c r="K354" s="1">
        <v>0</v>
      </c>
    </row>
    <row r="355" spans="1:11" ht="30" x14ac:dyDescent="0.2">
      <c r="A355" s="1" t="s">
        <v>342</v>
      </c>
      <c r="B355" s="1" t="s">
        <v>345</v>
      </c>
      <c r="C355" s="1" t="str">
        <f>"400499"</f>
        <v>400499</v>
      </c>
      <c r="D355" s="1" t="str">
        <f>"400499"</f>
        <v>400499</v>
      </c>
      <c r="E355" s="1" t="s">
        <v>17</v>
      </c>
      <c r="F355" s="1">
        <v>26</v>
      </c>
      <c r="G355" s="1">
        <v>4515</v>
      </c>
      <c r="H355" s="1">
        <v>117390</v>
      </c>
      <c r="I355" s="1">
        <v>0</v>
      </c>
      <c r="J355" s="1">
        <v>26</v>
      </c>
      <c r="K355" s="1">
        <v>0</v>
      </c>
    </row>
    <row r="356" spans="1:11" ht="30" x14ac:dyDescent="0.2">
      <c r="A356" s="1" t="s">
        <v>342</v>
      </c>
      <c r="B356" s="1" t="s">
        <v>346</v>
      </c>
      <c r="C356" s="1" t="str">
        <f>"66298795595403"</f>
        <v>66298795595403</v>
      </c>
      <c r="D356" s="1" t="str">
        <f>"400002"</f>
        <v>400002</v>
      </c>
      <c r="E356" s="1" t="s">
        <v>17</v>
      </c>
      <c r="F356" s="1">
        <v>19</v>
      </c>
      <c r="G356" s="1">
        <v>5377</v>
      </c>
      <c r="H356" s="1">
        <v>102163</v>
      </c>
      <c r="I356" s="1">
        <v>0</v>
      </c>
      <c r="J356" s="1">
        <v>19</v>
      </c>
      <c r="K356" s="1">
        <v>0</v>
      </c>
    </row>
    <row r="357" spans="1:11" ht="30" x14ac:dyDescent="0.2">
      <c r="A357" s="1" t="s">
        <v>342</v>
      </c>
      <c r="B357" s="1" t="s">
        <v>347</v>
      </c>
      <c r="C357" s="1" t="str">
        <f>"S410210321018"</f>
        <v>S410210321018</v>
      </c>
      <c r="D357" s="1" t="str">
        <f>"S410210321018"</f>
        <v>S410210321018</v>
      </c>
      <c r="E357" s="1" t="s">
        <v>17</v>
      </c>
      <c r="F357" s="1">
        <v>1</v>
      </c>
      <c r="G357" s="1">
        <v>14647</v>
      </c>
      <c r="H357" s="1">
        <v>14647</v>
      </c>
      <c r="I357" s="1">
        <v>0</v>
      </c>
      <c r="J357" s="1">
        <v>1</v>
      </c>
      <c r="K357" s="1">
        <v>0</v>
      </c>
    </row>
    <row r="358" spans="1:11" x14ac:dyDescent="0.2">
      <c r="A358" s="1" t="s">
        <v>342</v>
      </c>
      <c r="B358" s="1" t="s">
        <v>348</v>
      </c>
      <c r="C358" s="1" t="str">
        <f>"66298795509218"</f>
        <v>66298795509218</v>
      </c>
      <c r="D358" s="1" t="str">
        <f>"400001"</f>
        <v>400001</v>
      </c>
      <c r="E358" s="1" t="s">
        <v>17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</row>
    <row r="359" spans="1:11" x14ac:dyDescent="0.2">
      <c r="A359" s="1" t="s">
        <v>342</v>
      </c>
      <c r="B359" s="1" t="s">
        <v>349</v>
      </c>
      <c r="C359" s="1" t="str">
        <f>"10548"</f>
        <v>10548</v>
      </c>
      <c r="D359" s="1" t="str">
        <f>"10548"</f>
        <v>10548</v>
      </c>
      <c r="E359" s="1" t="s">
        <v>17</v>
      </c>
      <c r="F359" s="1">
        <v>2</v>
      </c>
      <c r="G359" s="1">
        <v>8765</v>
      </c>
      <c r="H359" s="1">
        <v>17530</v>
      </c>
      <c r="I359" s="1">
        <v>0</v>
      </c>
      <c r="J359" s="1">
        <v>2</v>
      </c>
      <c r="K359" s="1">
        <v>0</v>
      </c>
    </row>
    <row r="360" spans="1:11" ht="30" x14ac:dyDescent="0.2">
      <c r="A360" s="1" t="s">
        <v>342</v>
      </c>
      <c r="B360" s="1" t="s">
        <v>350</v>
      </c>
      <c r="C360" s="1" t="str">
        <f>"13201-KTE-900JP"</f>
        <v>13201-KTE-900JP</v>
      </c>
      <c r="D360" s="1" t="str">
        <f>"13201-KTE-900JP"</f>
        <v>13201-KTE-900JP</v>
      </c>
      <c r="E360" s="1" t="s">
        <v>17</v>
      </c>
      <c r="F360" s="1">
        <v>1</v>
      </c>
      <c r="G360" s="1">
        <v>7415</v>
      </c>
      <c r="H360" s="1">
        <v>7415</v>
      </c>
      <c r="I360" s="1">
        <v>0</v>
      </c>
      <c r="J360" s="1">
        <v>1</v>
      </c>
      <c r="K360" s="1">
        <v>0</v>
      </c>
    </row>
    <row r="361" spans="1:11" x14ac:dyDescent="0.2">
      <c r="A361" s="1" t="s">
        <v>342</v>
      </c>
      <c r="B361" s="1" t="s">
        <v>351</v>
      </c>
      <c r="C361" s="1" t="str">
        <f>"66298795711618"</f>
        <v>66298795711618</v>
      </c>
      <c r="D361" s="1" t="str">
        <f>"400149"</f>
        <v>400149</v>
      </c>
      <c r="E361" s="1" t="s">
        <v>17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</row>
    <row r="362" spans="1:11" x14ac:dyDescent="0.2">
      <c r="A362" s="1" t="s">
        <v>342</v>
      </c>
      <c r="B362" s="1" t="s">
        <v>352</v>
      </c>
      <c r="C362" s="1" t="str">
        <f>"66298795673244"</f>
        <v>66298795673244</v>
      </c>
      <c r="D362" s="1" t="str">
        <f>"13201-KRM-900JP"</f>
        <v>13201-KRM-900JP</v>
      </c>
      <c r="E362" s="1" t="s">
        <v>17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</row>
    <row r="363" spans="1:11" ht="30" x14ac:dyDescent="0.2">
      <c r="A363" s="1" t="s">
        <v>342</v>
      </c>
      <c r="B363" s="1" t="s">
        <v>353</v>
      </c>
      <c r="C363" s="1" t="str">
        <f>"SM-30207-000"</f>
        <v>SM-30207-000</v>
      </c>
      <c r="D363" s="1" t="str">
        <f>"SM-30207-000"</f>
        <v>SM-30207-000</v>
      </c>
      <c r="E363" s="1" t="s">
        <v>17</v>
      </c>
      <c r="F363" s="1">
        <v>3</v>
      </c>
      <c r="G363" s="1">
        <v>10572</v>
      </c>
      <c r="H363" s="1">
        <v>31716</v>
      </c>
      <c r="I363" s="1">
        <v>0</v>
      </c>
      <c r="J363" s="1">
        <v>3</v>
      </c>
      <c r="K363" s="1">
        <v>0</v>
      </c>
    </row>
    <row r="364" spans="1:11" x14ac:dyDescent="0.2">
      <c r="A364" s="1" t="s">
        <v>342</v>
      </c>
      <c r="B364" s="1" t="s">
        <v>354</v>
      </c>
      <c r="C364" s="1" t="str">
        <f>"21C-E1651-00"</f>
        <v>21C-E1651-00</v>
      </c>
      <c r="D364" s="1" t="str">
        <f>"21C-E1651-00"</f>
        <v>21C-E1651-00</v>
      </c>
      <c r="E364" s="1" t="s">
        <v>17</v>
      </c>
      <c r="F364" s="1">
        <v>3</v>
      </c>
      <c r="G364" s="1">
        <v>12630</v>
      </c>
      <c r="H364" s="1">
        <v>37890</v>
      </c>
      <c r="I364" s="1">
        <v>0</v>
      </c>
      <c r="J364" s="1">
        <v>3</v>
      </c>
      <c r="K364" s="1">
        <v>0</v>
      </c>
    </row>
    <row r="365" spans="1:11" ht="30" x14ac:dyDescent="0.2">
      <c r="A365" s="1" t="s">
        <v>342</v>
      </c>
      <c r="B365" s="1" t="s">
        <v>355</v>
      </c>
      <c r="C365" s="1" t="str">
        <f>"400504"</f>
        <v>400504</v>
      </c>
      <c r="D365" s="1" t="str">
        <f>"400504"</f>
        <v>400504</v>
      </c>
      <c r="E365" s="1" t="s">
        <v>17</v>
      </c>
      <c r="F365" s="1">
        <v>17</v>
      </c>
      <c r="G365" s="1">
        <v>6450</v>
      </c>
      <c r="H365" s="1">
        <v>109650</v>
      </c>
      <c r="I365" s="1">
        <v>0</v>
      </c>
      <c r="J365" s="1">
        <v>17</v>
      </c>
      <c r="K365" s="1">
        <v>0</v>
      </c>
    </row>
    <row r="366" spans="1:11" ht="30" x14ac:dyDescent="0.2">
      <c r="A366" s="1" t="s">
        <v>342</v>
      </c>
      <c r="B366" s="1" t="s">
        <v>356</v>
      </c>
      <c r="C366" s="1" t="str">
        <f>"400505"</f>
        <v>400505</v>
      </c>
      <c r="D366" s="1" t="str">
        <f>"400505"</f>
        <v>400505</v>
      </c>
      <c r="E366" s="1" t="s">
        <v>17</v>
      </c>
      <c r="F366" s="1">
        <v>14</v>
      </c>
      <c r="G366" s="1">
        <v>6450</v>
      </c>
      <c r="H366" s="1">
        <v>90300</v>
      </c>
      <c r="I366" s="1">
        <v>0</v>
      </c>
      <c r="J366" s="1">
        <v>14</v>
      </c>
      <c r="K366" s="1">
        <v>0</v>
      </c>
    </row>
    <row r="367" spans="1:11" x14ac:dyDescent="0.2">
      <c r="A367" s="1" t="s">
        <v>342</v>
      </c>
      <c r="B367" s="1" t="s">
        <v>357</v>
      </c>
      <c r="C367" s="1" t="str">
        <f>"12200-34J00JP"</f>
        <v>12200-34J00JP</v>
      </c>
      <c r="D367" s="1" t="str">
        <f>"12200-34J00JP"</f>
        <v>12200-34J00JP</v>
      </c>
      <c r="E367" s="1" t="s">
        <v>17</v>
      </c>
      <c r="F367" s="1">
        <v>1</v>
      </c>
      <c r="G367" s="1">
        <v>15181</v>
      </c>
      <c r="H367" s="1">
        <v>15181</v>
      </c>
      <c r="I367" s="1">
        <v>0</v>
      </c>
      <c r="J367" s="1">
        <v>1</v>
      </c>
      <c r="K367" s="1">
        <v>0</v>
      </c>
    </row>
    <row r="368" spans="1:11" x14ac:dyDescent="0.2">
      <c r="A368" s="1" t="s">
        <v>342</v>
      </c>
      <c r="B368" s="1" t="s">
        <v>358</v>
      </c>
      <c r="C368" s="1" t="str">
        <f>"B137"</f>
        <v>B137</v>
      </c>
      <c r="D368" s="1" t="str">
        <f>"B137"</f>
        <v>B137</v>
      </c>
      <c r="E368" s="1" t="s">
        <v>17</v>
      </c>
      <c r="F368" s="1">
        <v>2</v>
      </c>
      <c r="G368" s="1">
        <v>5126</v>
      </c>
      <c r="H368" s="1">
        <v>10252</v>
      </c>
      <c r="I368" s="1">
        <v>0</v>
      </c>
      <c r="J368" s="1">
        <v>2</v>
      </c>
      <c r="K368" s="1">
        <v>0</v>
      </c>
    </row>
    <row r="369" spans="1:11" x14ac:dyDescent="0.2">
      <c r="A369" s="1" t="s">
        <v>342</v>
      </c>
      <c r="B369" s="1" t="s">
        <v>359</v>
      </c>
      <c r="C369" s="1" t="str">
        <f>"12161-12F80JP"</f>
        <v>12161-12F80JP</v>
      </c>
      <c r="D369" s="1" t="str">
        <f>"12161-12F80JP"</f>
        <v>12161-12F80JP</v>
      </c>
      <c r="E369" s="1" t="s">
        <v>17</v>
      </c>
      <c r="F369" s="1">
        <v>13</v>
      </c>
      <c r="G369" s="1">
        <v>7514</v>
      </c>
      <c r="H369" s="1">
        <v>97682</v>
      </c>
      <c r="I369" s="1">
        <v>0</v>
      </c>
      <c r="J369" s="1">
        <v>13</v>
      </c>
      <c r="K369" s="1">
        <v>0</v>
      </c>
    </row>
    <row r="370" spans="1:11" ht="30" x14ac:dyDescent="0.2">
      <c r="A370" s="1" t="s">
        <v>342</v>
      </c>
      <c r="B370" s="1" t="s">
        <v>360</v>
      </c>
      <c r="C370" s="1" t="str">
        <f>"400506"</f>
        <v>400506</v>
      </c>
      <c r="D370" s="1" t="str">
        <f>"400506"</f>
        <v>400506</v>
      </c>
      <c r="E370" s="1" t="s">
        <v>17</v>
      </c>
      <c r="F370" s="1">
        <v>14</v>
      </c>
      <c r="G370" s="1">
        <v>4515</v>
      </c>
      <c r="H370" s="1">
        <v>63210</v>
      </c>
      <c r="I370" s="1">
        <v>0</v>
      </c>
      <c r="J370" s="1">
        <v>14</v>
      </c>
      <c r="K370" s="1">
        <v>0</v>
      </c>
    </row>
    <row r="371" spans="1:11" x14ac:dyDescent="0.2">
      <c r="A371" s="1" t="s">
        <v>342</v>
      </c>
      <c r="B371" s="1" t="s">
        <v>361</v>
      </c>
      <c r="C371" s="1" t="str">
        <f>"12105-12F50JP"</f>
        <v>12105-12F50JP</v>
      </c>
      <c r="D371" s="1" t="str">
        <f>"12105-12F50JP"</f>
        <v>12105-12F50JP</v>
      </c>
      <c r="E371" s="1" t="s">
        <v>17</v>
      </c>
      <c r="F371" s="1">
        <v>2</v>
      </c>
      <c r="G371" s="1">
        <v>7477</v>
      </c>
      <c r="H371" s="1">
        <v>14954</v>
      </c>
      <c r="I371" s="1">
        <v>0</v>
      </c>
      <c r="J371" s="1">
        <v>2</v>
      </c>
      <c r="K371" s="1">
        <v>0</v>
      </c>
    </row>
    <row r="372" spans="1:11" ht="30" x14ac:dyDescent="0.2">
      <c r="A372" s="1" t="s">
        <v>342</v>
      </c>
      <c r="B372" s="1" t="s">
        <v>362</v>
      </c>
      <c r="C372" s="1" t="str">
        <f>"12200-30HA0"</f>
        <v>12200-30HA0</v>
      </c>
      <c r="D372" s="1" t="str">
        <f>"12200-30HA0"</f>
        <v>12200-30HA0</v>
      </c>
      <c r="E372" s="1" t="s">
        <v>17</v>
      </c>
      <c r="F372" s="1">
        <v>2</v>
      </c>
      <c r="G372" s="1">
        <v>12458</v>
      </c>
      <c r="H372" s="1">
        <v>24916</v>
      </c>
      <c r="I372" s="1">
        <v>0</v>
      </c>
      <c r="J372" s="1">
        <v>2</v>
      </c>
      <c r="K372" s="1">
        <v>0</v>
      </c>
    </row>
    <row r="373" spans="1:11" ht="30" x14ac:dyDescent="0.2">
      <c r="A373" s="1" t="s">
        <v>342</v>
      </c>
      <c r="B373" s="1" t="s">
        <v>363</v>
      </c>
      <c r="C373" s="1" t="str">
        <f>"400509"</f>
        <v>400509</v>
      </c>
      <c r="D373" s="1" t="str">
        <f>"400509"</f>
        <v>400509</v>
      </c>
      <c r="E373" s="1" t="s">
        <v>17</v>
      </c>
      <c r="F373" s="1">
        <v>18</v>
      </c>
      <c r="G373" s="1">
        <v>6450</v>
      </c>
      <c r="H373" s="1">
        <v>116100</v>
      </c>
      <c r="I373" s="1">
        <v>0</v>
      </c>
      <c r="J373" s="1">
        <v>18</v>
      </c>
      <c r="K373" s="1">
        <v>0</v>
      </c>
    </row>
    <row r="374" spans="1:11" ht="30" x14ac:dyDescent="0.2">
      <c r="A374" s="1" t="s">
        <v>342</v>
      </c>
      <c r="B374" s="1" t="s">
        <v>364</v>
      </c>
      <c r="C374" s="1" t="str">
        <f>"400151"</f>
        <v>400151</v>
      </c>
      <c r="D374" s="1" t="str">
        <f>"400151"</f>
        <v>400151</v>
      </c>
      <c r="E374" s="1" t="s">
        <v>17</v>
      </c>
      <c r="F374" s="1">
        <v>22</v>
      </c>
      <c r="G374" s="1">
        <v>9580</v>
      </c>
      <c r="H374" s="1">
        <v>210760</v>
      </c>
      <c r="I374" s="1">
        <v>0</v>
      </c>
      <c r="J374" s="1">
        <v>22</v>
      </c>
      <c r="K374" s="1">
        <v>0</v>
      </c>
    </row>
    <row r="375" spans="1:11" x14ac:dyDescent="0.2">
      <c r="A375" s="1" t="s">
        <v>342</v>
      </c>
      <c r="B375" s="1" t="s">
        <v>365</v>
      </c>
      <c r="C375" s="1" t="str">
        <f>"66298796247832"</f>
        <v>66298796247832</v>
      </c>
      <c r="D375" s="1" t="str">
        <f>"12161-42A01JP"</f>
        <v>12161-42A01JP</v>
      </c>
      <c r="E375" s="1" t="s">
        <v>17</v>
      </c>
      <c r="F375" s="1">
        <v>3</v>
      </c>
      <c r="G375" s="1">
        <v>10157.67</v>
      </c>
      <c r="H375" s="1">
        <v>30473</v>
      </c>
      <c r="I375" s="1">
        <v>0</v>
      </c>
      <c r="J375" s="1">
        <v>3</v>
      </c>
      <c r="K375" s="1">
        <v>0</v>
      </c>
    </row>
    <row r="376" spans="1:11" ht="30" x14ac:dyDescent="0.2">
      <c r="A376" s="1" t="s">
        <v>342</v>
      </c>
      <c r="B376" s="1" t="s">
        <v>366</v>
      </c>
      <c r="C376" s="1" t="str">
        <f>"400512"</f>
        <v>400512</v>
      </c>
      <c r="D376" s="1" t="str">
        <f>"400512"</f>
        <v>400512</v>
      </c>
      <c r="E376" s="1" t="s">
        <v>17</v>
      </c>
      <c r="F376" s="1">
        <v>23</v>
      </c>
      <c r="G376" s="1">
        <v>5805</v>
      </c>
      <c r="H376" s="1">
        <v>133515</v>
      </c>
      <c r="I376" s="1">
        <v>0</v>
      </c>
      <c r="J376" s="1">
        <v>23</v>
      </c>
      <c r="K376" s="1">
        <v>0</v>
      </c>
    </row>
    <row r="377" spans="1:11" ht="30" x14ac:dyDescent="0.2">
      <c r="A377" s="1" t="s">
        <v>342</v>
      </c>
      <c r="B377" s="1" t="s">
        <v>367</v>
      </c>
      <c r="C377" s="1" t="str">
        <f>"400493"</f>
        <v>400493</v>
      </c>
      <c r="D377" s="1" t="str">
        <f>"400493"</f>
        <v>400493</v>
      </c>
      <c r="E377" s="1" t="s">
        <v>17</v>
      </c>
      <c r="F377" s="1">
        <v>17</v>
      </c>
      <c r="G377" s="1">
        <v>3975</v>
      </c>
      <c r="H377" s="1">
        <v>67575</v>
      </c>
      <c r="I377" s="1">
        <v>0</v>
      </c>
      <c r="J377" s="1">
        <v>17</v>
      </c>
      <c r="K377" s="1">
        <v>0</v>
      </c>
    </row>
    <row r="378" spans="1:11" x14ac:dyDescent="0.2">
      <c r="A378" s="1" t="s">
        <v>342</v>
      </c>
      <c r="B378" s="1" t="s">
        <v>368</v>
      </c>
      <c r="C378" s="1" t="str">
        <f>"66298796449239"</f>
        <v>66298796449239</v>
      </c>
      <c r="D378" s="1" t="str">
        <f>"JE-5310-00"</f>
        <v>JE-5310-00</v>
      </c>
      <c r="E378" s="1" t="s">
        <v>17</v>
      </c>
      <c r="F378" s="1">
        <v>2</v>
      </c>
      <c r="G378" s="1">
        <v>13501</v>
      </c>
      <c r="H378" s="1">
        <v>27002</v>
      </c>
      <c r="I378" s="1">
        <v>0</v>
      </c>
      <c r="J378" s="1">
        <v>2</v>
      </c>
      <c r="K378" s="1">
        <v>0</v>
      </c>
    </row>
    <row r="379" spans="1:11" ht="30" x14ac:dyDescent="0.2">
      <c r="A379" s="1" t="s">
        <v>342</v>
      </c>
      <c r="B379" s="1" t="s">
        <v>369</v>
      </c>
      <c r="C379" s="1" t="str">
        <f>"400513"</f>
        <v>400513</v>
      </c>
      <c r="D379" s="1" t="str">
        <f>"400513"</f>
        <v>400513</v>
      </c>
      <c r="E379" s="1" t="s">
        <v>17</v>
      </c>
      <c r="F379" s="1">
        <v>28</v>
      </c>
      <c r="G379" s="1">
        <v>5805</v>
      </c>
      <c r="H379" s="1">
        <v>162540</v>
      </c>
      <c r="I379" s="1">
        <v>0</v>
      </c>
      <c r="J379" s="1">
        <v>28</v>
      </c>
      <c r="K379" s="1">
        <v>0</v>
      </c>
    </row>
    <row r="380" spans="1:11" ht="30" x14ac:dyDescent="0.2">
      <c r="A380" s="1" t="s">
        <v>342</v>
      </c>
      <c r="B380" s="1" t="s">
        <v>370</v>
      </c>
      <c r="C380" s="1" t="str">
        <f>"400514"</f>
        <v>400514</v>
      </c>
      <c r="D380" s="1" t="str">
        <f>"400514"</f>
        <v>400514</v>
      </c>
      <c r="E380" s="1" t="s">
        <v>17</v>
      </c>
      <c r="F380" s="1">
        <v>10</v>
      </c>
      <c r="G380" s="1">
        <v>5805</v>
      </c>
      <c r="H380" s="1">
        <v>58050</v>
      </c>
      <c r="I380" s="1">
        <v>0</v>
      </c>
      <c r="J380" s="1">
        <v>10</v>
      </c>
      <c r="K380" s="1">
        <v>0</v>
      </c>
    </row>
    <row r="381" spans="1:11" ht="30" x14ac:dyDescent="0.2">
      <c r="A381" s="1" t="s">
        <v>342</v>
      </c>
      <c r="B381" s="1" t="s">
        <v>371</v>
      </c>
      <c r="C381" s="1" t="str">
        <f>"400492"</f>
        <v>400492</v>
      </c>
      <c r="D381" s="1" t="str">
        <f>"400492"</f>
        <v>400492</v>
      </c>
      <c r="E381" s="1" t="s">
        <v>17</v>
      </c>
      <c r="F381" s="1">
        <v>35</v>
      </c>
      <c r="G381" s="1">
        <v>12901</v>
      </c>
      <c r="H381" s="1">
        <v>451535</v>
      </c>
      <c r="I381" s="1">
        <v>0</v>
      </c>
      <c r="J381" s="1">
        <v>35</v>
      </c>
      <c r="K381" s="1">
        <v>0</v>
      </c>
    </row>
    <row r="382" spans="1:11" ht="30" x14ac:dyDescent="0.2">
      <c r="A382" s="1" t="s">
        <v>342</v>
      </c>
      <c r="B382" s="1" t="s">
        <v>372</v>
      </c>
      <c r="C382" s="1" t="str">
        <f>"13201-GY6-150JP"</f>
        <v>13201-GY6-150JP</v>
      </c>
      <c r="D382" s="1" t="str">
        <f>"13201-GY6-150JP"</f>
        <v>13201-GY6-150JP</v>
      </c>
      <c r="E382" s="1" t="s">
        <v>17</v>
      </c>
      <c r="F382" s="1">
        <v>4</v>
      </c>
      <c r="G382" s="1">
        <v>9928</v>
      </c>
      <c r="H382" s="1">
        <v>39712</v>
      </c>
      <c r="I382" s="1">
        <v>0</v>
      </c>
      <c r="J382" s="1">
        <v>4</v>
      </c>
      <c r="K382" s="1">
        <v>0</v>
      </c>
    </row>
    <row r="383" spans="1:11" ht="30" x14ac:dyDescent="0.2">
      <c r="A383" s="1" t="s">
        <v>342</v>
      </c>
      <c r="B383" s="1" t="s">
        <v>373</v>
      </c>
      <c r="C383" s="1" t="str">
        <f>"400494"</f>
        <v>400494</v>
      </c>
      <c r="D383" s="1" t="str">
        <f>"400494"</f>
        <v>400494</v>
      </c>
      <c r="E383" s="1" t="s">
        <v>17</v>
      </c>
      <c r="F383" s="1">
        <v>27</v>
      </c>
      <c r="G383" s="1">
        <v>3361</v>
      </c>
      <c r="H383" s="1">
        <v>90747</v>
      </c>
      <c r="I383" s="1">
        <v>0</v>
      </c>
      <c r="J383" s="1">
        <v>27</v>
      </c>
      <c r="K383" s="1">
        <v>0</v>
      </c>
    </row>
    <row r="384" spans="1:11" ht="30" x14ac:dyDescent="0.2">
      <c r="A384" s="1" t="s">
        <v>342</v>
      </c>
      <c r="B384" s="1" t="s">
        <v>374</v>
      </c>
      <c r="C384" s="1" t="str">
        <f>"4ST-11650-00NPC"</f>
        <v>4ST-11650-00NPC</v>
      </c>
      <c r="D384" s="1" t="str">
        <f>"4ST-11650-00NPC"</f>
        <v>4ST-11650-00NPC</v>
      </c>
      <c r="E384" s="1" t="s">
        <v>17</v>
      </c>
      <c r="F384" s="1">
        <v>3</v>
      </c>
      <c r="G384" s="1">
        <v>6720</v>
      </c>
      <c r="H384" s="1">
        <v>20160</v>
      </c>
      <c r="I384" s="1">
        <v>0</v>
      </c>
      <c r="J384" s="1">
        <v>3</v>
      </c>
      <c r="K384" s="1">
        <v>0</v>
      </c>
    </row>
    <row r="385" spans="1:11" x14ac:dyDescent="0.2">
      <c r="A385" s="1" t="s">
        <v>342</v>
      </c>
      <c r="B385" s="1" t="s">
        <v>375</v>
      </c>
      <c r="C385" s="1" t="str">
        <f>"13201-KGA-B00JP"</f>
        <v>13201-KGA-B00JP</v>
      </c>
      <c r="D385" s="1" t="str">
        <f>"13201-KGA-B00JP"</f>
        <v>13201-KGA-B00JP</v>
      </c>
      <c r="E385" s="1" t="s">
        <v>17</v>
      </c>
      <c r="F385" s="1">
        <v>5</v>
      </c>
      <c r="G385" s="1">
        <v>12099</v>
      </c>
      <c r="H385" s="1">
        <v>60495</v>
      </c>
      <c r="I385" s="1">
        <v>0</v>
      </c>
      <c r="J385" s="1">
        <v>5</v>
      </c>
      <c r="K385" s="1">
        <v>0</v>
      </c>
    </row>
    <row r="386" spans="1:11" ht="30" x14ac:dyDescent="0.2">
      <c r="A386" s="1" t="s">
        <v>342</v>
      </c>
      <c r="B386" s="1" t="s">
        <v>376</v>
      </c>
      <c r="C386" s="1" t="str">
        <f>"13201-KPF-900JP"</f>
        <v>13201-KPF-900JP</v>
      </c>
      <c r="D386" s="1" t="str">
        <f>"13201-KPF-900JP"</f>
        <v>13201-KPF-900JP</v>
      </c>
      <c r="E386" s="1" t="s">
        <v>17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</row>
    <row r="387" spans="1:11" ht="30" x14ac:dyDescent="0.2">
      <c r="A387" s="1" t="s">
        <v>342</v>
      </c>
      <c r="B387" s="1" t="s">
        <v>377</v>
      </c>
      <c r="C387" s="1" t="str">
        <f>"66298796836047"</f>
        <v>66298796836047</v>
      </c>
      <c r="D387" s="1" t="str">
        <f>"400158"</f>
        <v>400158</v>
      </c>
      <c r="E387" s="1" t="s">
        <v>17</v>
      </c>
      <c r="F387" s="1">
        <v>26</v>
      </c>
      <c r="G387" s="1">
        <v>12789</v>
      </c>
      <c r="H387" s="1">
        <v>332514</v>
      </c>
      <c r="I387" s="1">
        <v>0</v>
      </c>
      <c r="J387" s="1">
        <v>26</v>
      </c>
      <c r="K387" s="1">
        <v>0</v>
      </c>
    </row>
    <row r="388" spans="1:11" ht="30" x14ac:dyDescent="0.2">
      <c r="A388" s="1" t="s">
        <v>342</v>
      </c>
      <c r="B388" s="1" t="s">
        <v>378</v>
      </c>
      <c r="C388" s="1" t="str">
        <f>"400516"</f>
        <v>400516</v>
      </c>
      <c r="D388" s="1" t="str">
        <f>"400516"</f>
        <v>400516</v>
      </c>
      <c r="E388" s="1" t="s">
        <v>17</v>
      </c>
      <c r="F388" s="1">
        <v>18</v>
      </c>
      <c r="G388" s="1">
        <v>12901</v>
      </c>
      <c r="H388" s="1">
        <v>232218</v>
      </c>
      <c r="I388" s="1">
        <v>0</v>
      </c>
      <c r="J388" s="1">
        <v>18</v>
      </c>
      <c r="K388" s="1">
        <v>0</v>
      </c>
    </row>
    <row r="389" spans="1:11" ht="30" x14ac:dyDescent="0.2">
      <c r="A389" s="1" t="s">
        <v>342</v>
      </c>
      <c r="B389" s="1" t="s">
        <v>379</v>
      </c>
      <c r="C389" s="1" t="str">
        <f>"400148"</f>
        <v>400148</v>
      </c>
      <c r="D389" s="1" t="str">
        <f>"400148"</f>
        <v>400148</v>
      </c>
      <c r="E389" s="1" t="s">
        <v>17</v>
      </c>
      <c r="F389" s="1">
        <v>12</v>
      </c>
      <c r="G389" s="1">
        <v>6490</v>
      </c>
      <c r="H389" s="1">
        <v>77880</v>
      </c>
      <c r="I389" s="1">
        <v>0</v>
      </c>
      <c r="J389" s="1">
        <v>12</v>
      </c>
      <c r="K389" s="1">
        <v>0</v>
      </c>
    </row>
    <row r="390" spans="1:11" x14ac:dyDescent="0.2">
      <c r="A390" s="1" t="s">
        <v>342</v>
      </c>
      <c r="B390" s="1" t="s">
        <v>380</v>
      </c>
      <c r="C390" s="1" t="str">
        <f>"4LS-11651-00IN"</f>
        <v>4LS-11651-00IN</v>
      </c>
      <c r="D390" s="1" t="str">
        <f>"4LS-11651-00IN"</f>
        <v>4LS-11651-00IN</v>
      </c>
      <c r="E390" s="1" t="s">
        <v>17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 spans="1:11" x14ac:dyDescent="0.2">
      <c r="A391" s="1" t="s">
        <v>342</v>
      </c>
      <c r="B391" s="1" t="s">
        <v>381</v>
      </c>
      <c r="C391" s="1" t="str">
        <f>"66298796967058"</f>
        <v>66298796967058</v>
      </c>
      <c r="D391" s="1" t="str">
        <f>"WPR158"</f>
        <v>WPR158</v>
      </c>
      <c r="E391" s="1" t="s">
        <v>17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</row>
    <row r="392" spans="1:11" x14ac:dyDescent="0.2">
      <c r="A392" s="1" t="s">
        <v>342</v>
      </c>
      <c r="B392" s="1" t="s">
        <v>382</v>
      </c>
      <c r="C392" s="1" t="str">
        <f>"4VP-11650-00JP"</f>
        <v>4VP-11650-00JP</v>
      </c>
      <c r="D392" s="1" t="str">
        <f>"4VP-11650-00JP"</f>
        <v>4VP-11650-00JP</v>
      </c>
      <c r="E392" s="1" t="s">
        <v>17</v>
      </c>
      <c r="F392" s="1">
        <v>6</v>
      </c>
      <c r="G392" s="1">
        <v>5023</v>
      </c>
      <c r="H392" s="1">
        <v>30138</v>
      </c>
      <c r="I392" s="1">
        <v>0</v>
      </c>
      <c r="J392" s="1">
        <v>6</v>
      </c>
      <c r="K392" s="1">
        <v>0</v>
      </c>
    </row>
    <row r="393" spans="1:11" ht="30" x14ac:dyDescent="0.2">
      <c r="A393" s="1" t="s">
        <v>342</v>
      </c>
      <c r="B393" s="1" t="s">
        <v>383</v>
      </c>
      <c r="C393" s="1" t="str">
        <f>"400501"</f>
        <v>400501</v>
      </c>
      <c r="D393" s="1" t="str">
        <f>"400501"</f>
        <v>400501</v>
      </c>
      <c r="E393" s="1" t="s">
        <v>17</v>
      </c>
      <c r="F393" s="1">
        <v>23</v>
      </c>
      <c r="G393" s="1">
        <v>5160</v>
      </c>
      <c r="H393" s="1">
        <v>118680</v>
      </c>
      <c r="I393" s="1">
        <v>0</v>
      </c>
      <c r="J393" s="1">
        <v>23</v>
      </c>
      <c r="K393" s="1">
        <v>0</v>
      </c>
    </row>
    <row r="394" spans="1:11" ht="30" x14ac:dyDescent="0.2">
      <c r="A394" s="1" t="s">
        <v>342</v>
      </c>
      <c r="B394" s="1" t="s">
        <v>384</v>
      </c>
      <c r="C394" s="1" t="str">
        <f>"5LW-11650-00JP"</f>
        <v>5LW-11650-00JP</v>
      </c>
      <c r="D394" s="1" t="str">
        <f>"5LW-11650-00JP"</f>
        <v>5LW-11650-00JP</v>
      </c>
      <c r="E394" s="1" t="s">
        <v>17</v>
      </c>
      <c r="F394" s="1">
        <v>4</v>
      </c>
      <c r="G394" s="1">
        <v>7011</v>
      </c>
      <c r="H394" s="1">
        <v>28044</v>
      </c>
      <c r="I394" s="1">
        <v>0</v>
      </c>
      <c r="J394" s="1">
        <v>4</v>
      </c>
      <c r="K394" s="1">
        <v>0</v>
      </c>
    </row>
    <row r="395" spans="1:11" x14ac:dyDescent="0.2">
      <c r="A395" s="1" t="s">
        <v>342</v>
      </c>
      <c r="B395" s="1" t="s">
        <v>385</v>
      </c>
      <c r="C395" s="1" t="str">
        <f>"66298797139480"</f>
        <v>66298797139480</v>
      </c>
      <c r="D395" s="1" t="str">
        <f>"00-292"</f>
        <v>00-292</v>
      </c>
      <c r="E395" s="1" t="s">
        <v>17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 ht="30" x14ac:dyDescent="0.2">
      <c r="A396" s="1" t="s">
        <v>342</v>
      </c>
      <c r="B396" s="1" t="s">
        <v>386</v>
      </c>
      <c r="C396" s="1" t="str">
        <f>"JP2001-30"</f>
        <v>JP2001-30</v>
      </c>
      <c r="D396" s="1" t="str">
        <f>"JP2001-30"</f>
        <v>JP2001-30</v>
      </c>
      <c r="E396" s="1" t="s">
        <v>17</v>
      </c>
      <c r="F396" s="1">
        <v>1</v>
      </c>
      <c r="G396" s="1">
        <v>50117</v>
      </c>
      <c r="H396" s="1">
        <v>50117</v>
      </c>
      <c r="I396" s="1">
        <v>0</v>
      </c>
      <c r="J396" s="1">
        <v>1</v>
      </c>
      <c r="K396" s="1">
        <v>0</v>
      </c>
    </row>
    <row r="397" spans="1:11" x14ac:dyDescent="0.2">
      <c r="A397" s="1" t="s">
        <v>18</v>
      </c>
      <c r="B397" s="1" t="s">
        <v>387</v>
      </c>
      <c r="C397" s="1" t="str">
        <f>"792"</f>
        <v>792</v>
      </c>
      <c r="D397" s="1" t="str">
        <f>"792"</f>
        <v>792</v>
      </c>
      <c r="E397" s="1" t="s">
        <v>17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</row>
    <row r="398" spans="1:11" x14ac:dyDescent="0.2">
      <c r="A398" s="1" t="s">
        <v>18</v>
      </c>
      <c r="B398" s="1" t="s">
        <v>387</v>
      </c>
      <c r="C398" s="1" t="str">
        <f>"570"</f>
        <v>570</v>
      </c>
      <c r="D398" s="1" t="str">
        <f>"570"</f>
        <v>570</v>
      </c>
      <c r="E398" s="1" t="s">
        <v>17</v>
      </c>
      <c r="F398" s="1">
        <v>2</v>
      </c>
      <c r="G398" s="1">
        <v>6513</v>
      </c>
      <c r="H398" s="1">
        <v>13026</v>
      </c>
      <c r="I398" s="1">
        <v>0</v>
      </c>
      <c r="J398" s="1">
        <v>2</v>
      </c>
      <c r="K398" s="1">
        <v>0</v>
      </c>
    </row>
    <row r="399" spans="1:11" x14ac:dyDescent="0.2">
      <c r="A399" s="1" t="s">
        <v>388</v>
      </c>
      <c r="B399" s="1" t="s">
        <v>389</v>
      </c>
      <c r="C399" s="1" t="str">
        <f>"66298797219742"</f>
        <v>66298797219742</v>
      </c>
      <c r="D399" s="1" t="str">
        <f>"1541"</f>
        <v>1541</v>
      </c>
      <c r="E399" s="1" t="s">
        <v>17</v>
      </c>
      <c r="F399" s="1">
        <v>1</v>
      </c>
      <c r="G399" s="1">
        <v>3983</v>
      </c>
      <c r="H399" s="1">
        <v>3983</v>
      </c>
      <c r="I399" s="1">
        <v>0</v>
      </c>
      <c r="J399" s="1">
        <v>1</v>
      </c>
      <c r="K399" s="1">
        <v>0</v>
      </c>
    </row>
    <row r="400" spans="1:11" x14ac:dyDescent="0.2">
      <c r="A400" s="1" t="s">
        <v>388</v>
      </c>
      <c r="B400" s="1" t="s">
        <v>390</v>
      </c>
      <c r="C400" s="1" t="str">
        <f>"DF-1110-40HB"</f>
        <v>DF-1110-40HB</v>
      </c>
      <c r="D400" s="1" t="str">
        <f>"DF-1110-40HB"</f>
        <v>DF-1110-40HB</v>
      </c>
      <c r="E400" s="1" t="s">
        <v>17</v>
      </c>
      <c r="F400" s="1">
        <v>2</v>
      </c>
      <c r="G400" s="1">
        <v>1545</v>
      </c>
      <c r="H400" s="1">
        <v>3090</v>
      </c>
      <c r="I400" s="1">
        <v>0</v>
      </c>
      <c r="J400" s="1">
        <v>2</v>
      </c>
      <c r="K400" s="1">
        <v>0</v>
      </c>
    </row>
    <row r="401" spans="1:11" x14ac:dyDescent="0.2">
      <c r="A401" s="1" t="s">
        <v>388</v>
      </c>
      <c r="B401" s="1" t="s">
        <v>391</v>
      </c>
      <c r="C401" s="1" t="str">
        <f>"66298797259954"</f>
        <v>66298797259954</v>
      </c>
      <c r="D401" s="1" t="str">
        <f>"PA-3512-01HB"</f>
        <v>PA-3512-01HB</v>
      </c>
      <c r="E401" s="1" t="s">
        <v>17</v>
      </c>
      <c r="F401" s="1">
        <v>6</v>
      </c>
      <c r="G401" s="1">
        <v>1080</v>
      </c>
      <c r="H401" s="1">
        <v>6480</v>
      </c>
      <c r="I401" s="1">
        <v>0</v>
      </c>
      <c r="J401" s="1">
        <v>6</v>
      </c>
      <c r="K401" s="1">
        <v>0</v>
      </c>
    </row>
    <row r="402" spans="1:11" x14ac:dyDescent="0.2">
      <c r="A402" s="1" t="s">
        <v>388</v>
      </c>
      <c r="B402" s="1" t="s">
        <v>392</v>
      </c>
      <c r="C402" s="1" t="str">
        <f>"66298797301729"</f>
        <v>66298797301729</v>
      </c>
      <c r="D402" s="1" t="str">
        <f>"30500-KTE-910HB"</f>
        <v>30500-KTE-910HB</v>
      </c>
      <c r="E402" s="1" t="s">
        <v>17</v>
      </c>
      <c r="F402" s="1">
        <v>1</v>
      </c>
      <c r="G402" s="1">
        <v>2437</v>
      </c>
      <c r="H402" s="1">
        <v>2437</v>
      </c>
      <c r="I402" s="1">
        <v>0</v>
      </c>
      <c r="J402" s="1">
        <v>1</v>
      </c>
      <c r="K402" s="1">
        <v>0</v>
      </c>
    </row>
    <row r="403" spans="1:11" x14ac:dyDescent="0.2">
      <c r="A403" s="1" t="s">
        <v>388</v>
      </c>
      <c r="B403" s="1" t="s">
        <v>393</v>
      </c>
      <c r="C403" s="1" t="str">
        <f>"66298797341619"</f>
        <v>66298797341619</v>
      </c>
      <c r="D403" s="1" t="str">
        <f>"83162"</f>
        <v>83162</v>
      </c>
      <c r="E403" s="1" t="s">
        <v>17</v>
      </c>
      <c r="F403" s="1">
        <v>6</v>
      </c>
      <c r="G403" s="1">
        <v>2411</v>
      </c>
      <c r="H403" s="1">
        <v>14466</v>
      </c>
      <c r="I403" s="1">
        <v>0</v>
      </c>
      <c r="J403" s="1">
        <v>6</v>
      </c>
      <c r="K403" s="1">
        <v>0</v>
      </c>
    </row>
    <row r="404" spans="1:11" x14ac:dyDescent="0.2">
      <c r="A404" s="1" t="s">
        <v>388</v>
      </c>
      <c r="B404" s="1" t="s">
        <v>394</v>
      </c>
      <c r="C404" s="1" t="str">
        <f>"66298797383306"</f>
        <v>66298797383306</v>
      </c>
      <c r="D404" s="1" t="str">
        <f>"30500-KST-940HB"</f>
        <v>30500-KST-940HB</v>
      </c>
      <c r="E404" s="1" t="s">
        <v>17</v>
      </c>
      <c r="F404" s="1">
        <v>2</v>
      </c>
      <c r="G404" s="1">
        <v>2892</v>
      </c>
      <c r="H404" s="1">
        <v>5784</v>
      </c>
      <c r="I404" s="1">
        <v>0</v>
      </c>
      <c r="J404" s="1">
        <v>2</v>
      </c>
      <c r="K404" s="1">
        <v>0</v>
      </c>
    </row>
    <row r="405" spans="1:11" x14ac:dyDescent="0.2">
      <c r="A405" s="1" t="s">
        <v>388</v>
      </c>
      <c r="B405" s="1" t="s">
        <v>395</v>
      </c>
      <c r="C405" s="1" t="str">
        <f>"66298797418029"</f>
        <v>66298797418029</v>
      </c>
      <c r="D405" s="1" t="str">
        <f>"80789"</f>
        <v>80789</v>
      </c>
      <c r="E405" s="1" t="s">
        <v>17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</row>
    <row r="406" spans="1:11" x14ac:dyDescent="0.2">
      <c r="A406" s="1" t="s">
        <v>388</v>
      </c>
      <c r="B406" s="1" t="s">
        <v>396</v>
      </c>
      <c r="C406" s="1" t="str">
        <f>"B069"</f>
        <v>B069</v>
      </c>
      <c r="D406" s="1" t="str">
        <f>"B069"</f>
        <v>B069</v>
      </c>
      <c r="E406" s="1" t="s">
        <v>17</v>
      </c>
      <c r="F406" s="1">
        <v>1</v>
      </c>
      <c r="G406" s="1">
        <v>2670</v>
      </c>
      <c r="H406" s="1">
        <v>2670</v>
      </c>
      <c r="I406" s="1">
        <v>0</v>
      </c>
      <c r="J406" s="1">
        <v>1</v>
      </c>
      <c r="K406" s="1">
        <v>0</v>
      </c>
    </row>
    <row r="407" spans="1:11" x14ac:dyDescent="0.2">
      <c r="A407" s="1" t="s">
        <v>388</v>
      </c>
      <c r="B407" s="1" t="s">
        <v>397</v>
      </c>
      <c r="C407" s="1" t="str">
        <f>"66298797499279"</f>
        <v>66298797499279</v>
      </c>
      <c r="D407" s="1" t="str">
        <f>"401088"</f>
        <v>401088</v>
      </c>
      <c r="E407" s="1" t="s">
        <v>17</v>
      </c>
      <c r="F407" s="1">
        <v>16</v>
      </c>
      <c r="G407" s="1">
        <v>3227</v>
      </c>
      <c r="H407" s="1">
        <v>51632</v>
      </c>
      <c r="I407" s="1">
        <v>0</v>
      </c>
      <c r="J407" s="1">
        <v>16</v>
      </c>
      <c r="K407" s="1">
        <v>0</v>
      </c>
    </row>
    <row r="408" spans="1:11" x14ac:dyDescent="0.2">
      <c r="A408" s="1" t="s">
        <v>388</v>
      </c>
      <c r="B408" s="1" t="s">
        <v>398</v>
      </c>
      <c r="C408" s="1" t="str">
        <f>"30500-KRE-900"</f>
        <v>30500-KRE-900</v>
      </c>
      <c r="D408" s="1" t="str">
        <f>"30500-KRE-900"</f>
        <v>30500-KRE-900</v>
      </c>
      <c r="E408" s="1" t="s">
        <v>17</v>
      </c>
      <c r="F408" s="1">
        <v>9</v>
      </c>
      <c r="G408" s="1">
        <v>4897</v>
      </c>
      <c r="H408" s="1">
        <v>44073</v>
      </c>
      <c r="I408" s="1">
        <v>0</v>
      </c>
      <c r="J408" s="1">
        <v>9</v>
      </c>
      <c r="K408" s="1">
        <v>0</v>
      </c>
    </row>
    <row r="409" spans="1:11" x14ac:dyDescent="0.2">
      <c r="A409" s="1" t="s">
        <v>388</v>
      </c>
      <c r="B409" s="1" t="s">
        <v>399</v>
      </c>
      <c r="C409" s="1" t="str">
        <f>"66298797457668"</f>
        <v>66298797457668</v>
      </c>
      <c r="D409" s="1" t="str">
        <f>"80790"</f>
        <v>80790</v>
      </c>
      <c r="E409" s="1" t="s">
        <v>17</v>
      </c>
      <c r="F409" s="1">
        <v>1</v>
      </c>
      <c r="G409" s="1">
        <v>1967</v>
      </c>
      <c r="H409" s="1">
        <v>1967</v>
      </c>
      <c r="I409" s="1">
        <v>0</v>
      </c>
      <c r="J409" s="1">
        <v>1</v>
      </c>
      <c r="K409" s="1">
        <v>0</v>
      </c>
    </row>
    <row r="410" spans="1:11" x14ac:dyDescent="0.2">
      <c r="A410" s="1" t="s">
        <v>388</v>
      </c>
      <c r="B410" s="1" t="s">
        <v>400</v>
      </c>
      <c r="C410" s="1" t="str">
        <f>"85248"</f>
        <v>85248</v>
      </c>
      <c r="D410" s="1" t="str">
        <f>"85248"</f>
        <v>85248</v>
      </c>
      <c r="E410" s="1" t="s">
        <v>17</v>
      </c>
      <c r="F410" s="1">
        <v>3</v>
      </c>
      <c r="G410" s="1">
        <v>4200</v>
      </c>
      <c r="H410" s="1">
        <v>12600</v>
      </c>
      <c r="I410" s="1">
        <v>0</v>
      </c>
      <c r="J410" s="1">
        <v>3</v>
      </c>
      <c r="K410" s="1">
        <v>0</v>
      </c>
    </row>
    <row r="411" spans="1:11" x14ac:dyDescent="0.2">
      <c r="A411" s="1" t="s">
        <v>388</v>
      </c>
      <c r="B411" s="1" t="s">
        <v>401</v>
      </c>
      <c r="C411" s="1" t="str">
        <f>"66298797537120"</f>
        <v>66298797537120</v>
      </c>
      <c r="D411" s="1" t="str">
        <f>"DS-1110-35HB"</f>
        <v>DS-1110-35HB</v>
      </c>
      <c r="E411" s="1" t="s">
        <v>17</v>
      </c>
      <c r="F411" s="1">
        <v>4</v>
      </c>
      <c r="G411" s="1">
        <v>2363</v>
      </c>
      <c r="H411" s="1">
        <v>9452</v>
      </c>
      <c r="I411" s="1">
        <v>0</v>
      </c>
      <c r="J411" s="1">
        <v>4</v>
      </c>
      <c r="K411" s="1">
        <v>0</v>
      </c>
    </row>
    <row r="412" spans="1:11" x14ac:dyDescent="0.2">
      <c r="A412" s="1" t="s">
        <v>388</v>
      </c>
      <c r="B412" s="1" t="s">
        <v>402</v>
      </c>
      <c r="C412" s="1" t="str">
        <f>"66298797588228"</f>
        <v>66298797588228</v>
      </c>
      <c r="D412" s="1" t="str">
        <f>"83131"</f>
        <v>83131</v>
      </c>
      <c r="E412" s="1" t="s">
        <v>17</v>
      </c>
      <c r="F412" s="1">
        <v>4</v>
      </c>
      <c r="G412" s="1">
        <v>2420</v>
      </c>
      <c r="H412" s="1">
        <v>9680</v>
      </c>
      <c r="I412" s="1">
        <v>0</v>
      </c>
      <c r="J412" s="1">
        <v>4</v>
      </c>
      <c r="K412" s="1">
        <v>0</v>
      </c>
    </row>
    <row r="413" spans="1:11" x14ac:dyDescent="0.2">
      <c r="A413" s="1" t="s">
        <v>388</v>
      </c>
      <c r="B413" s="1" t="s">
        <v>402</v>
      </c>
      <c r="C413" s="1" t="str">
        <f>"66298797595659"</f>
        <v>66298797595659</v>
      </c>
      <c r="D413" s="1" t="str">
        <f>"45D-H2310-00HB"</f>
        <v>45D-H2310-00HB</v>
      </c>
      <c r="E413" s="1" t="s">
        <v>17</v>
      </c>
      <c r="F413" s="1">
        <v>10</v>
      </c>
      <c r="G413" s="1">
        <v>4839.2</v>
      </c>
      <c r="H413" s="1">
        <v>48392</v>
      </c>
      <c r="I413" s="1">
        <v>0</v>
      </c>
      <c r="J413" s="1">
        <v>10</v>
      </c>
      <c r="K413" s="1">
        <v>0</v>
      </c>
    </row>
    <row r="414" spans="1:11" x14ac:dyDescent="0.2">
      <c r="A414" s="1" t="s">
        <v>388</v>
      </c>
      <c r="B414" s="1" t="s">
        <v>402</v>
      </c>
      <c r="C414" s="1" t="str">
        <f>"66298797602960"</f>
        <v>66298797602960</v>
      </c>
      <c r="D414" s="1" t="str">
        <f>"VB002"</f>
        <v>VB002</v>
      </c>
      <c r="E414" s="1" t="s">
        <v>17</v>
      </c>
      <c r="F414" s="1">
        <v>3</v>
      </c>
      <c r="G414" s="1">
        <v>3119.67</v>
      </c>
      <c r="H414" s="1">
        <v>9359</v>
      </c>
      <c r="I414" s="1">
        <v>0</v>
      </c>
      <c r="J414" s="1">
        <v>3</v>
      </c>
      <c r="K414" s="1">
        <v>0</v>
      </c>
    </row>
    <row r="415" spans="1:11" ht="30" x14ac:dyDescent="0.2">
      <c r="A415" s="1" t="s">
        <v>388</v>
      </c>
      <c r="B415" s="1" t="s">
        <v>403</v>
      </c>
      <c r="C415" s="1" t="str">
        <f>"66298797669217"</f>
        <v>66298797669217</v>
      </c>
      <c r="D415" s="1" t="str">
        <f>"80793"</f>
        <v>80793</v>
      </c>
      <c r="E415" s="1" t="s">
        <v>17</v>
      </c>
      <c r="F415" s="1">
        <v>7</v>
      </c>
      <c r="G415" s="1">
        <v>5337</v>
      </c>
      <c r="H415" s="1">
        <v>37359</v>
      </c>
      <c r="I415" s="1">
        <v>0</v>
      </c>
      <c r="J415" s="1">
        <v>7</v>
      </c>
      <c r="K415" s="1">
        <v>0</v>
      </c>
    </row>
    <row r="416" spans="1:11" ht="30" x14ac:dyDescent="0.2">
      <c r="A416" s="1" t="s">
        <v>388</v>
      </c>
      <c r="B416" s="1" t="s">
        <v>404</v>
      </c>
      <c r="C416" s="1" t="str">
        <f>"66298797711956"</f>
        <v>66298797711956</v>
      </c>
      <c r="D416" s="1" t="str">
        <f>"401089"</f>
        <v>401089</v>
      </c>
      <c r="E416" s="1" t="s">
        <v>17</v>
      </c>
      <c r="F416" s="1">
        <v>22</v>
      </c>
      <c r="G416" s="1">
        <v>4233</v>
      </c>
      <c r="H416" s="1">
        <v>93126</v>
      </c>
      <c r="I416" s="1">
        <v>0</v>
      </c>
      <c r="J416" s="1">
        <v>22</v>
      </c>
      <c r="K416" s="1">
        <v>0</v>
      </c>
    </row>
    <row r="417" spans="1:11" x14ac:dyDescent="0.2">
      <c r="A417" s="1" t="s">
        <v>388</v>
      </c>
      <c r="B417" s="1" t="s">
        <v>405</v>
      </c>
      <c r="C417" s="1" t="str">
        <f>"66298797756831"</f>
        <v>66298797756831</v>
      </c>
      <c r="D417" s="1" t="str">
        <f>"82784"</f>
        <v>82784</v>
      </c>
      <c r="E417" s="1" t="s">
        <v>17</v>
      </c>
      <c r="F417" s="1">
        <v>15</v>
      </c>
      <c r="G417" s="1">
        <v>2753</v>
      </c>
      <c r="H417" s="1">
        <v>41295</v>
      </c>
      <c r="I417" s="1">
        <v>0</v>
      </c>
      <c r="J417" s="1">
        <v>15</v>
      </c>
      <c r="K417" s="1">
        <v>0</v>
      </c>
    </row>
    <row r="418" spans="1:11" x14ac:dyDescent="0.2">
      <c r="A418" s="1" t="s">
        <v>388</v>
      </c>
      <c r="B418" s="1" t="s">
        <v>405</v>
      </c>
      <c r="C418" s="1" t="str">
        <f>"66298797762702"</f>
        <v>66298797762702</v>
      </c>
      <c r="D418" s="1" t="str">
        <f>"VB005"</f>
        <v>VB005</v>
      </c>
      <c r="E418" s="1" t="s">
        <v>17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</row>
    <row r="419" spans="1:11" x14ac:dyDescent="0.2">
      <c r="A419" s="1" t="s">
        <v>388</v>
      </c>
      <c r="B419" s="1" t="s">
        <v>406</v>
      </c>
      <c r="C419" s="1" t="str">
        <f>"66298797815481"</f>
        <v>66298797815481</v>
      </c>
      <c r="D419" s="1" t="str">
        <f>"84116"</f>
        <v>84116</v>
      </c>
      <c r="E419" s="1" t="s">
        <v>17</v>
      </c>
      <c r="F419" s="1">
        <v>3</v>
      </c>
      <c r="G419" s="1">
        <v>1328</v>
      </c>
      <c r="H419" s="1">
        <v>3984</v>
      </c>
      <c r="I419" s="1">
        <v>0</v>
      </c>
      <c r="J419" s="1">
        <v>3</v>
      </c>
      <c r="K419" s="1">
        <v>0</v>
      </c>
    </row>
    <row r="420" spans="1:11" x14ac:dyDescent="0.2">
      <c r="A420" s="1" t="s">
        <v>388</v>
      </c>
      <c r="B420" s="1" t="s">
        <v>407</v>
      </c>
      <c r="C420" s="1" t="str">
        <f>"66298797857135"</f>
        <v>66298797857135</v>
      </c>
      <c r="D420" s="1" t="str">
        <f>"DJ-1110-59HB"</f>
        <v>DJ-1110-59HB</v>
      </c>
      <c r="E420" s="1" t="s">
        <v>17</v>
      </c>
      <c r="F420" s="1">
        <v>8</v>
      </c>
      <c r="G420" s="1">
        <v>3190.75</v>
      </c>
      <c r="H420" s="1">
        <v>25526</v>
      </c>
      <c r="I420" s="1">
        <v>0</v>
      </c>
      <c r="J420" s="1">
        <v>8</v>
      </c>
      <c r="K420" s="1">
        <v>0</v>
      </c>
    </row>
    <row r="421" spans="1:11" x14ac:dyDescent="0.2">
      <c r="A421" s="1" t="s">
        <v>388</v>
      </c>
      <c r="B421" s="1" t="s">
        <v>408</v>
      </c>
      <c r="C421" s="1" t="str">
        <f>"66298797942168"</f>
        <v>66298797942168</v>
      </c>
      <c r="D421" s="1" t="str">
        <f>"BOB-SCOOTER"</f>
        <v>BOB-SCOOTER</v>
      </c>
      <c r="E421" s="1" t="s">
        <v>17</v>
      </c>
      <c r="F421" s="1">
        <v>1</v>
      </c>
      <c r="G421" s="1">
        <v>1639</v>
      </c>
      <c r="H421" s="1">
        <v>1639</v>
      </c>
      <c r="I421" s="1">
        <v>0</v>
      </c>
      <c r="J421" s="1">
        <v>1</v>
      </c>
      <c r="K421" s="1">
        <v>0</v>
      </c>
    </row>
    <row r="422" spans="1:11" x14ac:dyDescent="0.2">
      <c r="A422" s="1" t="s">
        <v>388</v>
      </c>
      <c r="B422" s="1" t="s">
        <v>409</v>
      </c>
      <c r="C422" s="1" t="str">
        <f>"66298797899375"</f>
        <v>66298797899375</v>
      </c>
      <c r="D422" s="1" t="str">
        <f>"82314"</f>
        <v>82314</v>
      </c>
      <c r="E422" s="1" t="s">
        <v>17</v>
      </c>
      <c r="F422" s="1">
        <v>21</v>
      </c>
      <c r="G422" s="1">
        <v>2753</v>
      </c>
      <c r="H422" s="1">
        <v>57813</v>
      </c>
      <c r="I422" s="1">
        <v>0</v>
      </c>
      <c r="J422" s="1">
        <v>21</v>
      </c>
      <c r="K422" s="1">
        <v>0</v>
      </c>
    </row>
    <row r="423" spans="1:11" x14ac:dyDescent="0.2">
      <c r="A423" s="1" t="s">
        <v>388</v>
      </c>
      <c r="B423" s="1" t="s">
        <v>409</v>
      </c>
      <c r="C423" s="1" t="str">
        <f>"H1079"</f>
        <v>H1079</v>
      </c>
      <c r="D423" s="1" t="str">
        <f>"H1079"</f>
        <v>H1079</v>
      </c>
      <c r="E423" s="1" t="s">
        <v>17</v>
      </c>
      <c r="F423" s="1">
        <v>2</v>
      </c>
      <c r="G423" s="1">
        <v>1910</v>
      </c>
      <c r="H423" s="1">
        <v>3820</v>
      </c>
      <c r="I423" s="1">
        <v>0</v>
      </c>
      <c r="J423" s="1">
        <v>2</v>
      </c>
      <c r="K423" s="1">
        <v>0</v>
      </c>
    </row>
    <row r="424" spans="1:11" x14ac:dyDescent="0.2">
      <c r="A424" s="1" t="s">
        <v>388</v>
      </c>
      <c r="B424" s="1" t="s">
        <v>410</v>
      </c>
      <c r="C424" s="1" t="str">
        <f>"66298797982311"</f>
        <v>66298797982311</v>
      </c>
      <c r="D424" s="1" t="str">
        <f>"401090"</f>
        <v>401090</v>
      </c>
      <c r="E424" s="1" t="s">
        <v>17</v>
      </c>
      <c r="F424" s="1">
        <v>9</v>
      </c>
      <c r="G424" s="1">
        <v>3141</v>
      </c>
      <c r="H424" s="1">
        <v>28269</v>
      </c>
      <c r="I424" s="1">
        <v>0</v>
      </c>
      <c r="J424" s="1">
        <v>9</v>
      </c>
      <c r="K424" s="1">
        <v>0</v>
      </c>
    </row>
    <row r="425" spans="1:11" x14ac:dyDescent="0.2">
      <c r="A425" s="1" t="s">
        <v>388</v>
      </c>
      <c r="B425" s="1" t="s">
        <v>411</v>
      </c>
      <c r="C425" s="1" t="str">
        <f>"66298798020429"</f>
        <v>66298798020429</v>
      </c>
      <c r="D425" s="1" t="str">
        <f>"N9060180HB"</f>
        <v>N9060180HB</v>
      </c>
      <c r="E425" s="1" t="s">
        <v>17</v>
      </c>
      <c r="F425" s="1">
        <v>3</v>
      </c>
      <c r="G425" s="1">
        <v>7968</v>
      </c>
      <c r="H425" s="1">
        <v>23904</v>
      </c>
      <c r="I425" s="1">
        <v>0</v>
      </c>
      <c r="J425" s="1">
        <v>3</v>
      </c>
      <c r="K425" s="1">
        <v>0</v>
      </c>
    </row>
    <row r="426" spans="1:11" x14ac:dyDescent="0.2">
      <c r="A426" s="1" t="s">
        <v>388</v>
      </c>
      <c r="B426" s="1" t="s">
        <v>412</v>
      </c>
      <c r="C426" s="1" t="str">
        <f>"66298798057807"</f>
        <v>66298798057807</v>
      </c>
      <c r="D426" s="1" t="str">
        <f>"33410H87700H000"</f>
        <v>33410H87700H000</v>
      </c>
      <c r="E426" s="1" t="s">
        <v>17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</row>
    <row r="427" spans="1:11" x14ac:dyDescent="0.2">
      <c r="A427" s="1" t="s">
        <v>388</v>
      </c>
      <c r="B427" s="1" t="s">
        <v>413</v>
      </c>
      <c r="C427" s="1" t="str">
        <f>"66298798096122"</f>
        <v>66298798096122</v>
      </c>
      <c r="D427" s="1" t="str">
        <f>"VB007"</f>
        <v>VB007</v>
      </c>
      <c r="E427" s="1" t="s">
        <v>17</v>
      </c>
      <c r="F427" s="1">
        <v>1</v>
      </c>
      <c r="G427" s="1">
        <v>2613</v>
      </c>
      <c r="H427" s="1">
        <v>2613</v>
      </c>
      <c r="I427" s="1">
        <v>0</v>
      </c>
      <c r="J427" s="1">
        <v>1</v>
      </c>
      <c r="K427" s="1">
        <v>0</v>
      </c>
    </row>
    <row r="428" spans="1:11" x14ac:dyDescent="0.2">
      <c r="A428" s="1" t="s">
        <v>388</v>
      </c>
      <c r="B428" s="1" t="s">
        <v>414</v>
      </c>
      <c r="C428" s="1" t="str">
        <f>"85230"</f>
        <v>85230</v>
      </c>
      <c r="D428" s="1" t="str">
        <f>"85230"</f>
        <v>85230</v>
      </c>
      <c r="E428" s="1" t="s">
        <v>17</v>
      </c>
      <c r="F428" s="1">
        <v>3</v>
      </c>
      <c r="G428" s="1">
        <v>4590</v>
      </c>
      <c r="H428" s="1">
        <v>13770</v>
      </c>
      <c r="I428" s="1">
        <v>0</v>
      </c>
      <c r="J428" s="1">
        <v>3</v>
      </c>
      <c r="K428" s="1">
        <v>0</v>
      </c>
    </row>
    <row r="429" spans="1:11" x14ac:dyDescent="0.2">
      <c r="A429" s="1" t="s">
        <v>388</v>
      </c>
      <c r="B429" s="1" t="s">
        <v>415</v>
      </c>
      <c r="C429" s="1" t="str">
        <f>"66298798136214"</f>
        <v>66298798136214</v>
      </c>
      <c r="D429" s="1" t="str">
        <f>"80792"</f>
        <v>80792</v>
      </c>
      <c r="E429" s="1" t="s">
        <v>17</v>
      </c>
      <c r="F429" s="1">
        <v>14</v>
      </c>
      <c r="G429" s="1">
        <v>2771</v>
      </c>
      <c r="H429" s="1">
        <v>38794</v>
      </c>
      <c r="I429" s="1">
        <v>0</v>
      </c>
      <c r="J429" s="1">
        <v>14</v>
      </c>
      <c r="K429" s="1">
        <v>0</v>
      </c>
    </row>
    <row r="430" spans="1:11" x14ac:dyDescent="0.2">
      <c r="A430" s="1" t="s">
        <v>388</v>
      </c>
      <c r="B430" s="1" t="s">
        <v>416</v>
      </c>
      <c r="C430" s="1" t="str">
        <f>"66298798178433"</f>
        <v>66298798178433</v>
      </c>
      <c r="D430" s="1" t="str">
        <f>"1P5-H2310-00"</f>
        <v>1P5-H2310-00</v>
      </c>
      <c r="E430" s="1" t="s">
        <v>17</v>
      </c>
      <c r="F430" s="1">
        <v>1</v>
      </c>
      <c r="G430" s="1">
        <v>31700</v>
      </c>
      <c r="H430" s="1">
        <v>31700</v>
      </c>
      <c r="I430" s="1">
        <v>0</v>
      </c>
      <c r="J430" s="1">
        <v>1</v>
      </c>
      <c r="K430" s="1">
        <v>0</v>
      </c>
    </row>
    <row r="431" spans="1:11" x14ac:dyDescent="0.2">
      <c r="A431" s="1" t="s">
        <v>417</v>
      </c>
      <c r="B431" s="1" t="s">
        <v>418</v>
      </c>
      <c r="C431" s="1" t="str">
        <f>"66298798284733"</f>
        <v>66298798284733</v>
      </c>
      <c r="D431" s="1" t="str">
        <f>"190302"</f>
        <v>190302</v>
      </c>
      <c r="E431" s="1" t="s">
        <v>17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</row>
    <row r="432" spans="1:11" x14ac:dyDescent="0.2">
      <c r="A432" s="1" t="s">
        <v>417</v>
      </c>
      <c r="B432" s="1" t="s">
        <v>419</v>
      </c>
      <c r="C432" s="1" t="str">
        <f>"66298798324111"</f>
        <v>66298798324111</v>
      </c>
      <c r="D432" s="1" t="str">
        <f>"400593"</f>
        <v>400593</v>
      </c>
      <c r="E432" s="1" t="s">
        <v>17</v>
      </c>
      <c r="F432" s="1">
        <v>10</v>
      </c>
      <c r="G432" s="1">
        <v>637</v>
      </c>
      <c r="H432" s="1">
        <v>6370</v>
      </c>
      <c r="I432" s="1">
        <v>0</v>
      </c>
      <c r="J432" s="1">
        <v>10</v>
      </c>
      <c r="K432" s="1">
        <v>0</v>
      </c>
    </row>
    <row r="433" spans="1:11" x14ac:dyDescent="0.2">
      <c r="A433" s="1" t="s">
        <v>417</v>
      </c>
      <c r="B433" s="1" t="s">
        <v>420</v>
      </c>
      <c r="C433" s="1" t="str">
        <f>"66298798367345"</f>
        <v>66298798367345</v>
      </c>
      <c r="D433" s="1" t="str">
        <f>"827"</f>
        <v>827</v>
      </c>
      <c r="E433" s="1" t="s">
        <v>17</v>
      </c>
      <c r="F433" s="1">
        <v>9</v>
      </c>
      <c r="G433" s="1">
        <v>2689.03</v>
      </c>
      <c r="H433" s="1">
        <v>24201</v>
      </c>
      <c r="I433" s="1">
        <v>0</v>
      </c>
      <c r="J433" s="1">
        <v>9</v>
      </c>
      <c r="K433" s="1">
        <v>0</v>
      </c>
    </row>
    <row r="434" spans="1:11" x14ac:dyDescent="0.2">
      <c r="A434" s="1" t="s">
        <v>417</v>
      </c>
      <c r="B434" s="1" t="s">
        <v>421</v>
      </c>
      <c r="C434" s="1" t="str">
        <f>"66298798221015"</f>
        <v>66298798221015</v>
      </c>
      <c r="D434" s="1" t="str">
        <f>"80795"</f>
        <v>80795</v>
      </c>
      <c r="E434" s="1" t="s">
        <v>17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</row>
    <row r="435" spans="1:11" x14ac:dyDescent="0.2">
      <c r="A435" s="1" t="s">
        <v>417</v>
      </c>
      <c r="B435" s="1" t="s">
        <v>421</v>
      </c>
      <c r="C435" s="1" t="str">
        <f>"66298798226039"</f>
        <v>66298798226039</v>
      </c>
      <c r="D435" s="1" t="str">
        <f>"80794"</f>
        <v>80794</v>
      </c>
      <c r="E435" s="1" t="s">
        <v>17</v>
      </c>
      <c r="F435" s="1">
        <v>7</v>
      </c>
      <c r="G435" s="1">
        <v>921</v>
      </c>
      <c r="H435" s="1">
        <v>6447</v>
      </c>
      <c r="I435" s="1">
        <v>0</v>
      </c>
      <c r="J435" s="1">
        <v>7</v>
      </c>
      <c r="K435" s="1">
        <v>0</v>
      </c>
    </row>
    <row r="436" spans="1:11" x14ac:dyDescent="0.2">
      <c r="A436" s="1" t="s">
        <v>417</v>
      </c>
      <c r="B436" s="1" t="s">
        <v>422</v>
      </c>
      <c r="C436" s="1" t="str">
        <f>"66298798406164"</f>
        <v>66298798406164</v>
      </c>
      <c r="D436" s="1" t="str">
        <f>"81797"</f>
        <v>81797</v>
      </c>
      <c r="E436" s="1" t="s">
        <v>17</v>
      </c>
      <c r="F436" s="1">
        <v>6</v>
      </c>
      <c r="G436" s="1">
        <v>921</v>
      </c>
      <c r="H436" s="1">
        <v>5526</v>
      </c>
      <c r="I436" s="1">
        <v>0</v>
      </c>
      <c r="J436" s="1">
        <v>6</v>
      </c>
      <c r="K436" s="1">
        <v>0</v>
      </c>
    </row>
    <row r="437" spans="1:11" x14ac:dyDescent="0.2">
      <c r="A437" s="1" t="s">
        <v>417</v>
      </c>
      <c r="B437" s="1" t="s">
        <v>423</v>
      </c>
      <c r="C437" s="1" t="str">
        <f>"66298798449230"</f>
        <v>66298798449230</v>
      </c>
      <c r="D437" s="1" t="str">
        <f>"BOCINA"</f>
        <v>BOCINA</v>
      </c>
      <c r="E437" s="1" t="s">
        <v>17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</row>
    <row r="438" spans="1:11" x14ac:dyDescent="0.2">
      <c r="A438" s="1" t="s">
        <v>18</v>
      </c>
      <c r="B438" s="1" t="s">
        <v>424</v>
      </c>
      <c r="C438" s="1" t="str">
        <f>"66298798491810"</f>
        <v>66298798491810</v>
      </c>
      <c r="D438" s="1" t="str">
        <f>"BOLSA-VINI"</f>
        <v>BOLSA-VINI</v>
      </c>
      <c r="E438" s="1" t="s">
        <v>17</v>
      </c>
      <c r="F438" s="1">
        <v>32</v>
      </c>
      <c r="G438" s="1">
        <v>20</v>
      </c>
      <c r="H438" s="1">
        <v>640</v>
      </c>
      <c r="I438" s="1">
        <v>0</v>
      </c>
      <c r="J438" s="1">
        <v>32</v>
      </c>
      <c r="K438" s="1">
        <v>0</v>
      </c>
    </row>
    <row r="439" spans="1:11" x14ac:dyDescent="0.2">
      <c r="A439" s="1" t="s">
        <v>425</v>
      </c>
      <c r="B439" s="1" t="s">
        <v>426</v>
      </c>
      <c r="C439" s="1" t="str">
        <f>"66298798533811"</f>
        <v>66298798533811</v>
      </c>
      <c r="D439" s="1" t="str">
        <f>"400762"</f>
        <v>400762</v>
      </c>
      <c r="E439" s="1" t="s">
        <v>17</v>
      </c>
      <c r="F439" s="1">
        <v>25</v>
      </c>
      <c r="G439" s="1">
        <v>1351</v>
      </c>
      <c r="H439" s="1">
        <v>33775</v>
      </c>
      <c r="I439" s="1">
        <v>0</v>
      </c>
      <c r="J439" s="1">
        <v>25</v>
      </c>
      <c r="K439" s="1">
        <v>0</v>
      </c>
    </row>
    <row r="440" spans="1:11" x14ac:dyDescent="0.2">
      <c r="A440" s="1" t="s">
        <v>425</v>
      </c>
      <c r="B440" s="1" t="s">
        <v>427</v>
      </c>
      <c r="C440" s="1" t="str">
        <f>"B092"</f>
        <v>B092</v>
      </c>
      <c r="D440" s="1" t="str">
        <f>"B092"</f>
        <v>B092</v>
      </c>
      <c r="E440" s="1" t="s">
        <v>17</v>
      </c>
      <c r="F440" s="1">
        <v>6</v>
      </c>
      <c r="G440" s="1">
        <v>3800</v>
      </c>
      <c r="H440" s="1">
        <v>22800</v>
      </c>
      <c r="I440" s="1">
        <v>0</v>
      </c>
      <c r="J440" s="1">
        <v>6</v>
      </c>
      <c r="K440" s="1">
        <v>0</v>
      </c>
    </row>
    <row r="441" spans="1:11" x14ac:dyDescent="0.2">
      <c r="A441" s="1" t="s">
        <v>425</v>
      </c>
      <c r="B441" s="1" t="s">
        <v>428</v>
      </c>
      <c r="C441" s="1" t="str">
        <f>"66298798661833"</f>
        <v>66298798661833</v>
      </c>
      <c r="D441" s="1" t="str">
        <f>"400765"</f>
        <v>400765</v>
      </c>
      <c r="E441" s="1" t="s">
        <v>17</v>
      </c>
      <c r="F441" s="1">
        <v>31</v>
      </c>
      <c r="G441" s="1">
        <v>2182</v>
      </c>
      <c r="H441" s="1">
        <v>67642</v>
      </c>
      <c r="I441" s="1">
        <v>0</v>
      </c>
      <c r="J441" s="1">
        <v>31</v>
      </c>
      <c r="K441" s="1">
        <v>0</v>
      </c>
    </row>
    <row r="442" spans="1:11" x14ac:dyDescent="0.2">
      <c r="A442" s="1" t="s">
        <v>425</v>
      </c>
      <c r="B442" s="1" t="s">
        <v>429</v>
      </c>
      <c r="C442" s="1" t="str">
        <f>"11450"</f>
        <v>11450</v>
      </c>
      <c r="D442" s="1" t="str">
        <f>"11450"</f>
        <v>11450</v>
      </c>
      <c r="E442" s="1" t="s">
        <v>17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</row>
    <row r="443" spans="1:11" x14ac:dyDescent="0.2">
      <c r="A443" s="1" t="s">
        <v>425</v>
      </c>
      <c r="B443" s="1" t="s">
        <v>430</v>
      </c>
      <c r="C443" s="1" t="str">
        <f>"66298798617551"</f>
        <v>66298798617551</v>
      </c>
      <c r="D443" s="1" t="str">
        <f>"400998"</f>
        <v>400998</v>
      </c>
      <c r="E443" s="1" t="s">
        <v>17</v>
      </c>
      <c r="F443" s="1">
        <v>16</v>
      </c>
      <c r="G443" s="1">
        <v>2009</v>
      </c>
      <c r="H443" s="1">
        <v>32144</v>
      </c>
      <c r="I443" s="1">
        <v>0</v>
      </c>
      <c r="J443" s="1">
        <v>16</v>
      </c>
      <c r="K443" s="1">
        <v>0</v>
      </c>
    </row>
    <row r="444" spans="1:11" x14ac:dyDescent="0.2">
      <c r="A444" s="1" t="s">
        <v>425</v>
      </c>
      <c r="B444" s="1" t="s">
        <v>431</v>
      </c>
      <c r="C444" s="1" t="str">
        <f>"66298798703427"</f>
        <v>66298798703427</v>
      </c>
      <c r="D444" s="1" t="str">
        <f>"400766"</f>
        <v>400766</v>
      </c>
      <c r="E444" s="1" t="s">
        <v>17</v>
      </c>
      <c r="F444" s="1">
        <v>89</v>
      </c>
      <c r="G444" s="1">
        <v>1801</v>
      </c>
      <c r="H444" s="1">
        <v>160289</v>
      </c>
      <c r="I444" s="1">
        <v>0</v>
      </c>
      <c r="J444" s="1">
        <v>89</v>
      </c>
      <c r="K444" s="1">
        <v>0</v>
      </c>
    </row>
    <row r="445" spans="1:11" x14ac:dyDescent="0.2">
      <c r="A445" s="1" t="s">
        <v>425</v>
      </c>
      <c r="B445" s="1" t="s">
        <v>432</v>
      </c>
      <c r="C445" s="1" t="str">
        <f>"66298798749546"</f>
        <v>66298798749546</v>
      </c>
      <c r="D445" s="1" t="str">
        <f>"80319"</f>
        <v>80319</v>
      </c>
      <c r="E445" s="1" t="s">
        <v>17</v>
      </c>
      <c r="F445" s="1">
        <v>2</v>
      </c>
      <c r="G445" s="1">
        <v>1732</v>
      </c>
      <c r="H445" s="1">
        <v>3464</v>
      </c>
      <c r="I445" s="1">
        <v>0</v>
      </c>
      <c r="J445" s="1">
        <v>2</v>
      </c>
      <c r="K445" s="1">
        <v>0</v>
      </c>
    </row>
    <row r="446" spans="1:11" x14ac:dyDescent="0.2">
      <c r="A446" s="1" t="s">
        <v>425</v>
      </c>
      <c r="B446" s="1" t="s">
        <v>433</v>
      </c>
      <c r="C446" s="1" t="str">
        <f>"66298798830569"</f>
        <v>66298798830569</v>
      </c>
      <c r="D446" s="1" t="str">
        <f>"400763"</f>
        <v>400763</v>
      </c>
      <c r="E446" s="1" t="s">
        <v>17</v>
      </c>
      <c r="F446" s="1">
        <v>12</v>
      </c>
      <c r="G446" s="1">
        <v>3217</v>
      </c>
      <c r="H446" s="1">
        <v>38604</v>
      </c>
      <c r="I446" s="1">
        <v>0</v>
      </c>
      <c r="J446" s="1">
        <v>12</v>
      </c>
      <c r="K446" s="1">
        <v>0</v>
      </c>
    </row>
    <row r="447" spans="1:11" x14ac:dyDescent="0.2">
      <c r="A447" s="1" t="s">
        <v>425</v>
      </c>
      <c r="B447" s="1" t="s">
        <v>434</v>
      </c>
      <c r="C447" s="1" t="str">
        <f>"66298798788674"</f>
        <v>66298798788674</v>
      </c>
      <c r="D447" s="1" t="str">
        <f>"81359"</f>
        <v>81359</v>
      </c>
      <c r="E447" s="1" t="s">
        <v>17</v>
      </c>
      <c r="F447" s="1">
        <v>1</v>
      </c>
      <c r="G447" s="1">
        <v>2436</v>
      </c>
      <c r="H447" s="1">
        <v>2436</v>
      </c>
      <c r="I447" s="1">
        <v>0</v>
      </c>
      <c r="J447" s="1">
        <v>1</v>
      </c>
      <c r="K447" s="1">
        <v>0</v>
      </c>
    </row>
    <row r="448" spans="1:11" x14ac:dyDescent="0.2">
      <c r="A448" s="1" t="s">
        <v>425</v>
      </c>
      <c r="B448" s="1" t="s">
        <v>435</v>
      </c>
      <c r="C448" s="1" t="str">
        <f>"66298798871149"</f>
        <v>66298798871149</v>
      </c>
      <c r="D448" s="1" t="str">
        <f>"400760"</f>
        <v>400760</v>
      </c>
      <c r="E448" s="1" t="s">
        <v>17</v>
      </c>
      <c r="F448" s="1">
        <v>31</v>
      </c>
      <c r="G448" s="1">
        <v>2789</v>
      </c>
      <c r="H448" s="1">
        <v>86459</v>
      </c>
      <c r="I448" s="1">
        <v>0</v>
      </c>
      <c r="J448" s="1">
        <v>31</v>
      </c>
      <c r="K448" s="1">
        <v>0</v>
      </c>
    </row>
    <row r="449" spans="1:11" x14ac:dyDescent="0.2">
      <c r="A449" s="1" t="s">
        <v>425</v>
      </c>
      <c r="B449" s="1" t="s">
        <v>436</v>
      </c>
      <c r="C449" s="1" t="str">
        <f>"66298798910168"</f>
        <v>66298798910168</v>
      </c>
      <c r="D449" s="1" t="str">
        <f>"CP002"</f>
        <v>CP002</v>
      </c>
      <c r="E449" s="1" t="s">
        <v>17</v>
      </c>
      <c r="F449" s="1">
        <v>5</v>
      </c>
      <c r="G449" s="1">
        <v>1200</v>
      </c>
      <c r="H449" s="1">
        <v>6000</v>
      </c>
      <c r="I449" s="1">
        <v>0</v>
      </c>
      <c r="J449" s="1">
        <v>5</v>
      </c>
      <c r="K449" s="1">
        <v>0</v>
      </c>
    </row>
    <row r="450" spans="1:11" x14ac:dyDescent="0.2">
      <c r="A450" s="1" t="s">
        <v>425</v>
      </c>
      <c r="B450" s="1" t="s">
        <v>437</v>
      </c>
      <c r="C450" s="1" t="str">
        <f>"66298798952749"</f>
        <v>66298798952749</v>
      </c>
      <c r="D450" s="1" t="str">
        <f>"83941"</f>
        <v>83941</v>
      </c>
      <c r="E450" s="1" t="s">
        <v>17</v>
      </c>
      <c r="F450" s="1">
        <v>3</v>
      </c>
      <c r="G450" s="1">
        <v>2346</v>
      </c>
      <c r="H450" s="1">
        <v>7038</v>
      </c>
      <c r="I450" s="1">
        <v>0</v>
      </c>
      <c r="J450" s="1">
        <v>3</v>
      </c>
      <c r="K450" s="1">
        <v>0</v>
      </c>
    </row>
    <row r="451" spans="1:11" x14ac:dyDescent="0.2">
      <c r="A451" s="1" t="s">
        <v>425</v>
      </c>
      <c r="B451" s="1" t="s">
        <v>438</v>
      </c>
      <c r="C451" s="1" t="str">
        <f>"66298798996589"</f>
        <v>66298798996589</v>
      </c>
      <c r="D451" s="1" t="str">
        <f>"400761"</f>
        <v>400761</v>
      </c>
      <c r="E451" s="1" t="s">
        <v>17</v>
      </c>
      <c r="F451" s="1">
        <v>58</v>
      </c>
      <c r="G451" s="1">
        <v>3164</v>
      </c>
      <c r="H451" s="1">
        <v>183512</v>
      </c>
      <c r="I451" s="1">
        <v>0</v>
      </c>
      <c r="J451" s="1">
        <v>58</v>
      </c>
      <c r="K451" s="1">
        <v>0</v>
      </c>
    </row>
    <row r="452" spans="1:11" x14ac:dyDescent="0.2">
      <c r="A452" s="1" t="s">
        <v>425</v>
      </c>
      <c r="B452" s="1" t="s">
        <v>439</v>
      </c>
      <c r="C452" s="1" t="str">
        <f>"CP009"</f>
        <v>CP009</v>
      </c>
      <c r="D452" s="1" t="str">
        <f>"CP009"</f>
        <v>CP009</v>
      </c>
      <c r="E452" s="1" t="s">
        <v>17</v>
      </c>
      <c r="F452" s="1">
        <v>2</v>
      </c>
      <c r="G452" s="1">
        <v>5424</v>
      </c>
      <c r="H452" s="1">
        <v>10848</v>
      </c>
      <c r="I452" s="1">
        <v>0</v>
      </c>
      <c r="J452" s="1">
        <v>2</v>
      </c>
      <c r="K452" s="1">
        <v>0</v>
      </c>
    </row>
    <row r="453" spans="1:11" x14ac:dyDescent="0.2">
      <c r="A453" s="1" t="s">
        <v>425</v>
      </c>
      <c r="B453" s="1" t="s">
        <v>440</v>
      </c>
      <c r="C453" s="1" t="str">
        <f>"66298799035344"</f>
        <v>66298799035344</v>
      </c>
      <c r="D453" s="1" t="str">
        <f>"400764"</f>
        <v>400764</v>
      </c>
      <c r="E453" s="1" t="s">
        <v>17</v>
      </c>
      <c r="F453" s="1">
        <v>104</v>
      </c>
      <c r="G453" s="1">
        <v>1710</v>
      </c>
      <c r="H453" s="1">
        <v>177840</v>
      </c>
      <c r="I453" s="1">
        <v>0</v>
      </c>
      <c r="J453" s="1">
        <v>104</v>
      </c>
      <c r="K453" s="1">
        <v>0</v>
      </c>
    </row>
    <row r="454" spans="1:11" x14ac:dyDescent="0.2">
      <c r="A454" s="1" t="s">
        <v>425</v>
      </c>
      <c r="B454" s="1" t="s">
        <v>441</v>
      </c>
      <c r="C454" s="1" t="str">
        <f>"12167"</f>
        <v>12167</v>
      </c>
      <c r="D454" s="1" t="str">
        <f>"12167"</f>
        <v>12167</v>
      </c>
      <c r="E454" s="1" t="s">
        <v>17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</row>
    <row r="455" spans="1:11" x14ac:dyDescent="0.2">
      <c r="A455" s="1" t="s">
        <v>442</v>
      </c>
      <c r="B455" s="1" t="s">
        <v>443</v>
      </c>
      <c r="C455" s="1" t="str">
        <f>"HFP-382H"</f>
        <v>HFP-382H</v>
      </c>
      <c r="D455" s="1" t="str">
        <f>"HFP-382H"</f>
        <v>HFP-382H</v>
      </c>
      <c r="E455" s="1" t="s">
        <v>17</v>
      </c>
      <c r="F455" s="1">
        <v>1</v>
      </c>
      <c r="G455" s="1">
        <v>10935</v>
      </c>
      <c r="H455" s="1">
        <v>10935</v>
      </c>
      <c r="I455" s="1">
        <v>0</v>
      </c>
      <c r="J455" s="1">
        <v>1</v>
      </c>
      <c r="K455" s="1">
        <v>0</v>
      </c>
    </row>
    <row r="456" spans="1:11" x14ac:dyDescent="0.2">
      <c r="A456" s="1" t="s">
        <v>442</v>
      </c>
      <c r="B456" s="1" t="s">
        <v>444</v>
      </c>
      <c r="C456" s="1" t="str">
        <f>"66298799077286"</f>
        <v>66298799077286</v>
      </c>
      <c r="D456" s="1" t="str">
        <f>"AG50"</f>
        <v>AG50</v>
      </c>
      <c r="E456" s="1" t="s">
        <v>17</v>
      </c>
      <c r="F456" s="1">
        <v>10</v>
      </c>
      <c r="G456" s="1">
        <v>1740</v>
      </c>
      <c r="H456" s="1">
        <v>17400</v>
      </c>
      <c r="I456" s="1">
        <v>0</v>
      </c>
      <c r="J456" s="1">
        <v>10</v>
      </c>
      <c r="K456" s="1">
        <v>0</v>
      </c>
    </row>
    <row r="457" spans="1:11" x14ac:dyDescent="0.2">
      <c r="A457" s="1" t="s">
        <v>442</v>
      </c>
      <c r="B457" s="1" t="s">
        <v>445</v>
      </c>
      <c r="C457" s="1" t="str">
        <f>"66298799126851"</f>
        <v>66298799126851</v>
      </c>
      <c r="D457" s="1" t="str">
        <f>"GRACE-F13-7"</f>
        <v>GRACE-F13-7</v>
      </c>
      <c r="E457" s="1" t="s">
        <v>17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</row>
    <row r="458" spans="1:11" x14ac:dyDescent="0.2">
      <c r="A458" s="1" t="s">
        <v>442</v>
      </c>
      <c r="B458" s="1" t="s">
        <v>446</v>
      </c>
      <c r="C458" s="1" t="str">
        <f>"66298799172507"</f>
        <v>66298799172507</v>
      </c>
      <c r="D458" s="1" t="str">
        <f>"HFP-382K"</f>
        <v>HFP-382K</v>
      </c>
      <c r="E458" s="1" t="s">
        <v>17</v>
      </c>
      <c r="F458" s="1">
        <v>4</v>
      </c>
      <c r="G458" s="1">
        <v>8349</v>
      </c>
      <c r="H458" s="1">
        <v>33396</v>
      </c>
      <c r="I458" s="1">
        <v>0</v>
      </c>
      <c r="J458" s="1">
        <v>4</v>
      </c>
      <c r="K458" s="1">
        <v>0</v>
      </c>
    </row>
    <row r="459" spans="1:11" x14ac:dyDescent="0.2">
      <c r="A459" s="1" t="s">
        <v>442</v>
      </c>
      <c r="B459" s="1" t="s">
        <v>447</v>
      </c>
      <c r="C459" s="1" t="str">
        <f>"66298799209613"</f>
        <v>66298799209613</v>
      </c>
      <c r="D459" s="1" t="str">
        <f>"HFP-389"</f>
        <v>HFP-389</v>
      </c>
      <c r="E459" s="1" t="s">
        <v>17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</row>
    <row r="460" spans="1:11" x14ac:dyDescent="0.2">
      <c r="A460" s="1" t="s">
        <v>448</v>
      </c>
      <c r="B460" s="1" t="s">
        <v>449</v>
      </c>
      <c r="C460" s="1" t="str">
        <f>"66298799292049"</f>
        <v>66298799292049</v>
      </c>
      <c r="D460" s="1" t="str">
        <f>"W150"</f>
        <v>W150</v>
      </c>
      <c r="E460" s="1" t="s">
        <v>17</v>
      </c>
      <c r="F460" s="1">
        <v>2</v>
      </c>
      <c r="G460" s="1">
        <v>6160</v>
      </c>
      <c r="H460" s="1">
        <v>12320</v>
      </c>
      <c r="I460" s="1">
        <v>0</v>
      </c>
      <c r="J460" s="1">
        <v>2</v>
      </c>
      <c r="K460" s="1">
        <v>0</v>
      </c>
    </row>
    <row r="461" spans="1:11" x14ac:dyDescent="0.2">
      <c r="A461" s="1" t="s">
        <v>448</v>
      </c>
      <c r="B461" s="1" t="s">
        <v>450</v>
      </c>
      <c r="C461" s="1" t="str">
        <f>"Q014"</f>
        <v>Q014</v>
      </c>
      <c r="D461" s="1" t="str">
        <f>"Q014"</f>
        <v>Q014</v>
      </c>
      <c r="E461" s="1" t="s">
        <v>17</v>
      </c>
      <c r="F461" s="1">
        <v>4</v>
      </c>
      <c r="G461" s="1">
        <v>6354</v>
      </c>
      <c r="H461" s="1">
        <v>25416</v>
      </c>
      <c r="I461" s="1">
        <v>0</v>
      </c>
      <c r="J461" s="1">
        <v>4</v>
      </c>
      <c r="K461" s="1">
        <v>0</v>
      </c>
    </row>
    <row r="462" spans="1:11" x14ac:dyDescent="0.2">
      <c r="A462" s="1" t="s">
        <v>448</v>
      </c>
      <c r="B462" s="1" t="s">
        <v>451</v>
      </c>
      <c r="C462" s="1" t="str">
        <f>"Q015"</f>
        <v>Q015</v>
      </c>
      <c r="D462" s="1" t="str">
        <f>"Q015"</f>
        <v>Q015</v>
      </c>
      <c r="E462" s="1" t="s">
        <v>17</v>
      </c>
      <c r="F462" s="1">
        <v>3</v>
      </c>
      <c r="G462" s="1">
        <v>11487.33</v>
      </c>
      <c r="H462" s="1">
        <v>34462</v>
      </c>
      <c r="I462" s="1">
        <v>0</v>
      </c>
      <c r="J462" s="1">
        <v>3</v>
      </c>
      <c r="K462" s="1">
        <v>0</v>
      </c>
    </row>
    <row r="463" spans="1:11" x14ac:dyDescent="0.2">
      <c r="A463" s="1" t="s">
        <v>448</v>
      </c>
      <c r="B463" s="1" t="s">
        <v>452</v>
      </c>
      <c r="C463" s="1" t="str">
        <f>"66298799623614"</f>
        <v>66298799623614</v>
      </c>
      <c r="D463" s="1" t="str">
        <f>"Q008"</f>
        <v>Q008</v>
      </c>
      <c r="E463" s="1" t="s">
        <v>17</v>
      </c>
      <c r="F463" s="1">
        <v>7</v>
      </c>
      <c r="G463" s="1">
        <v>6705</v>
      </c>
      <c r="H463" s="1">
        <v>46935</v>
      </c>
      <c r="I463" s="1">
        <v>0</v>
      </c>
      <c r="J463" s="1">
        <v>7</v>
      </c>
      <c r="K463" s="1">
        <v>0</v>
      </c>
    </row>
    <row r="464" spans="1:11" x14ac:dyDescent="0.2">
      <c r="A464" s="1" t="s">
        <v>448</v>
      </c>
      <c r="B464" s="1" t="s">
        <v>453</v>
      </c>
      <c r="C464" s="1" t="str">
        <f>"Q007"</f>
        <v>Q007</v>
      </c>
      <c r="D464" s="1" t="str">
        <f>"Q007"</f>
        <v>Q007</v>
      </c>
      <c r="E464" s="1" t="s">
        <v>17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</row>
    <row r="465" spans="1:11" x14ac:dyDescent="0.2">
      <c r="A465" s="1" t="s">
        <v>448</v>
      </c>
      <c r="B465" s="1" t="s">
        <v>454</v>
      </c>
      <c r="C465" s="1" t="str">
        <f>"9399"</f>
        <v>9399</v>
      </c>
      <c r="D465" s="1" t="str">
        <f>"9399"</f>
        <v>9399</v>
      </c>
      <c r="E465" s="1" t="s">
        <v>17</v>
      </c>
      <c r="F465" s="1">
        <v>1</v>
      </c>
      <c r="G465" s="1">
        <v>13810.08</v>
      </c>
      <c r="H465" s="1">
        <v>13810</v>
      </c>
      <c r="I465" s="1">
        <v>0</v>
      </c>
      <c r="J465" s="1">
        <v>1</v>
      </c>
      <c r="K465" s="1">
        <v>0</v>
      </c>
    </row>
    <row r="466" spans="1:11" x14ac:dyDescent="0.2">
      <c r="A466" s="1" t="s">
        <v>448</v>
      </c>
      <c r="B466" s="1" t="s">
        <v>455</v>
      </c>
      <c r="C466" s="1" t="str">
        <f>"66298799458059"</f>
        <v>66298799458059</v>
      </c>
      <c r="D466" s="1" t="str">
        <f>"400530"</f>
        <v>400530</v>
      </c>
      <c r="E466" s="1" t="s">
        <v>17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</row>
    <row r="467" spans="1:11" x14ac:dyDescent="0.2">
      <c r="A467" s="1" t="s">
        <v>448</v>
      </c>
      <c r="B467" s="1" t="s">
        <v>456</v>
      </c>
      <c r="C467" s="1" t="str">
        <f>"66298799495819"</f>
        <v>66298799495819</v>
      </c>
      <c r="D467" s="1" t="str">
        <f>"BF-GN125"</f>
        <v>BF-GN125</v>
      </c>
      <c r="E467" s="1" t="s">
        <v>17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</row>
    <row r="468" spans="1:11" x14ac:dyDescent="0.2">
      <c r="A468" s="1" t="s">
        <v>448</v>
      </c>
      <c r="B468" s="1" t="s">
        <v>457</v>
      </c>
      <c r="C468" s="1" t="str">
        <f>"Q013"</f>
        <v>Q013</v>
      </c>
      <c r="D468" s="1" t="str">
        <f>"Q013"</f>
        <v>Q013</v>
      </c>
      <c r="E468" s="1" t="s">
        <v>17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</row>
    <row r="469" spans="1:11" x14ac:dyDescent="0.2">
      <c r="A469" s="1" t="s">
        <v>448</v>
      </c>
      <c r="B469" s="1" t="s">
        <v>458</v>
      </c>
      <c r="C469" s="1" t="str">
        <f>"66298799535723"</f>
        <v>66298799535723</v>
      </c>
      <c r="D469" s="1" t="str">
        <f>"59064H2A080H000"</f>
        <v>59064H2A080H000</v>
      </c>
      <c r="E469" s="1" t="s">
        <v>17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</row>
    <row r="470" spans="1:11" x14ac:dyDescent="0.2">
      <c r="A470" s="1" t="s">
        <v>448</v>
      </c>
      <c r="B470" s="1" t="s">
        <v>459</v>
      </c>
      <c r="C470" s="1" t="str">
        <f>"66298799579942"</f>
        <v>66298799579942</v>
      </c>
      <c r="D470" s="1" t="str">
        <f>"Q029"</f>
        <v>Q029</v>
      </c>
      <c r="E470" s="1" t="s">
        <v>17</v>
      </c>
      <c r="F470" s="1">
        <v>6</v>
      </c>
      <c r="G470" s="1">
        <v>5877</v>
      </c>
      <c r="H470" s="1">
        <v>35262</v>
      </c>
      <c r="I470" s="1">
        <v>0</v>
      </c>
      <c r="J470" s="1">
        <v>6</v>
      </c>
      <c r="K470" s="1">
        <v>0</v>
      </c>
    </row>
    <row r="471" spans="1:11" x14ac:dyDescent="0.2">
      <c r="A471" s="1" t="s">
        <v>448</v>
      </c>
      <c r="B471" s="1" t="s">
        <v>460</v>
      </c>
      <c r="C471" s="1" t="str">
        <f>"66298799753987"</f>
        <v>66298799753987</v>
      </c>
      <c r="D471" s="1" t="str">
        <f>"H1110"</f>
        <v>H1110</v>
      </c>
      <c r="E471" s="1" t="s">
        <v>17</v>
      </c>
      <c r="F471" s="1">
        <v>3</v>
      </c>
      <c r="G471" s="1">
        <v>8900</v>
      </c>
      <c r="H471" s="1">
        <v>26700</v>
      </c>
      <c r="I471" s="1">
        <v>0</v>
      </c>
      <c r="J471" s="1">
        <v>3</v>
      </c>
      <c r="K471" s="1">
        <v>0</v>
      </c>
    </row>
    <row r="472" spans="1:11" x14ac:dyDescent="0.2">
      <c r="A472" s="1" t="s">
        <v>448</v>
      </c>
      <c r="B472" s="1" t="s">
        <v>461</v>
      </c>
      <c r="C472" s="1" t="str">
        <f>"Q012"</f>
        <v>Q012</v>
      </c>
      <c r="D472" s="1" t="str">
        <f>"Q012"</f>
        <v>Q012</v>
      </c>
      <c r="E472" s="1" t="s">
        <v>17</v>
      </c>
      <c r="F472" s="1">
        <v>11</v>
      </c>
      <c r="G472" s="1">
        <v>5202</v>
      </c>
      <c r="H472" s="1">
        <v>57222</v>
      </c>
      <c r="I472" s="1">
        <v>0</v>
      </c>
      <c r="J472" s="1">
        <v>11</v>
      </c>
      <c r="K472" s="1">
        <v>0</v>
      </c>
    </row>
    <row r="473" spans="1:11" x14ac:dyDescent="0.2">
      <c r="A473" s="1" t="s">
        <v>448</v>
      </c>
      <c r="B473" s="1" t="s">
        <v>461</v>
      </c>
      <c r="C473" s="1" t="str">
        <f>"66298799708072"</f>
        <v>66298799708072</v>
      </c>
      <c r="D473" s="1" t="str">
        <f>"LY125"</f>
        <v>LY125</v>
      </c>
      <c r="E473" s="1" t="s">
        <v>17</v>
      </c>
      <c r="F473" s="1">
        <v>3</v>
      </c>
      <c r="G473" s="1">
        <v>6230</v>
      </c>
      <c r="H473" s="1">
        <v>18690</v>
      </c>
      <c r="I473" s="1">
        <v>0</v>
      </c>
      <c r="J473" s="1">
        <v>3</v>
      </c>
      <c r="K473" s="1">
        <v>0</v>
      </c>
    </row>
    <row r="474" spans="1:11" x14ac:dyDescent="0.2">
      <c r="A474" s="1" t="s">
        <v>448</v>
      </c>
      <c r="B474" s="1" t="s">
        <v>462</v>
      </c>
      <c r="C474" s="1" t="str">
        <f>"66298799792490"</f>
        <v>66298799792490</v>
      </c>
      <c r="D474" s="1" t="str">
        <f>"400572"</f>
        <v>400572</v>
      </c>
      <c r="E474" s="1" t="s">
        <v>17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</row>
    <row r="475" spans="1:11" x14ac:dyDescent="0.2">
      <c r="A475" s="1" t="s">
        <v>448</v>
      </c>
      <c r="B475" s="1" t="s">
        <v>463</v>
      </c>
      <c r="C475" s="1" t="str">
        <f>"Q009"</f>
        <v>Q009</v>
      </c>
      <c r="D475" s="1" t="str">
        <f>"Q009"</f>
        <v>Q009</v>
      </c>
      <c r="E475" s="1" t="s">
        <v>17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</row>
    <row r="476" spans="1:11" x14ac:dyDescent="0.2">
      <c r="A476" s="1" t="s">
        <v>448</v>
      </c>
      <c r="B476" s="1" t="s">
        <v>464</v>
      </c>
      <c r="C476" s="1" t="str">
        <f>"66298799834223"</f>
        <v>66298799834223</v>
      </c>
      <c r="D476" s="1" t="str">
        <f>"400531"</f>
        <v>400531</v>
      </c>
      <c r="E476" s="1" t="s">
        <v>17</v>
      </c>
      <c r="F476" s="1">
        <v>4</v>
      </c>
      <c r="G476" s="1">
        <v>4061</v>
      </c>
      <c r="H476" s="1">
        <v>16244</v>
      </c>
      <c r="I476" s="1">
        <v>0</v>
      </c>
      <c r="J476" s="1">
        <v>4</v>
      </c>
      <c r="K476" s="1">
        <v>0</v>
      </c>
    </row>
    <row r="477" spans="1:11" x14ac:dyDescent="0.2">
      <c r="A477" s="1" t="s">
        <v>448</v>
      </c>
      <c r="B477" s="1" t="s">
        <v>465</v>
      </c>
      <c r="C477" s="1" t="str">
        <f>"66298799926841"</f>
        <v>66298799926841</v>
      </c>
      <c r="D477" s="1" t="str">
        <f>"G125"</f>
        <v>G125</v>
      </c>
      <c r="E477" s="1" t="s">
        <v>17</v>
      </c>
      <c r="F477" s="1">
        <v>1</v>
      </c>
      <c r="G477" s="1">
        <v>5320</v>
      </c>
      <c r="H477" s="1">
        <v>5320</v>
      </c>
      <c r="I477" s="1">
        <v>0</v>
      </c>
      <c r="J477" s="1">
        <v>1</v>
      </c>
      <c r="K477" s="1">
        <v>0</v>
      </c>
    </row>
    <row r="478" spans="1:11" x14ac:dyDescent="0.2">
      <c r="A478" s="1" t="s">
        <v>448</v>
      </c>
      <c r="B478" s="1" t="s">
        <v>466</v>
      </c>
      <c r="C478" s="1" t="str">
        <f>"66298799879995"</f>
        <v>66298799879995</v>
      </c>
      <c r="D478" s="1" t="str">
        <f>"L150"</f>
        <v>L150</v>
      </c>
      <c r="E478" s="1" t="s">
        <v>17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</row>
    <row r="479" spans="1:11" x14ac:dyDescent="0.2">
      <c r="A479" s="1" t="s">
        <v>448</v>
      </c>
      <c r="B479" s="1" t="s">
        <v>467</v>
      </c>
      <c r="C479" s="1" t="str">
        <f>"66298800074222"</f>
        <v>66298800074222</v>
      </c>
      <c r="D479" s="1" t="str">
        <f>"400571"</f>
        <v>400571</v>
      </c>
      <c r="E479" s="1" t="s">
        <v>17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</row>
    <row r="480" spans="1:11" x14ac:dyDescent="0.2">
      <c r="A480" s="1" t="s">
        <v>448</v>
      </c>
      <c r="B480" s="1" t="s">
        <v>468</v>
      </c>
      <c r="C480" s="1" t="str">
        <f>"66298799966017"</f>
        <v>66298799966017</v>
      </c>
      <c r="D480" s="1" t="str">
        <f>"E150"</f>
        <v>E150</v>
      </c>
      <c r="E480" s="1" t="s">
        <v>17</v>
      </c>
      <c r="F480" s="1">
        <v>2</v>
      </c>
      <c r="G480" s="1">
        <v>8800</v>
      </c>
      <c r="H480" s="1">
        <v>17600</v>
      </c>
      <c r="I480" s="1">
        <v>0</v>
      </c>
      <c r="J480" s="1">
        <v>2</v>
      </c>
      <c r="K480" s="1">
        <v>0</v>
      </c>
    </row>
    <row r="481" spans="1:11" x14ac:dyDescent="0.2">
      <c r="A481" s="1" t="s">
        <v>448</v>
      </c>
      <c r="B481" s="1" t="s">
        <v>468</v>
      </c>
      <c r="C481" s="1" t="str">
        <f>"Q001"</f>
        <v>Q001</v>
      </c>
      <c r="D481" s="1" t="str">
        <f>"Q001"</f>
        <v>Q001</v>
      </c>
      <c r="E481" s="1" t="s">
        <v>17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</row>
    <row r="482" spans="1:11" x14ac:dyDescent="0.2">
      <c r="A482" s="1" t="s">
        <v>448</v>
      </c>
      <c r="B482" s="1" t="s">
        <v>468</v>
      </c>
      <c r="C482" s="1" t="str">
        <f>"Q005"</f>
        <v>Q005</v>
      </c>
      <c r="D482" s="1" t="str">
        <f>"Q005"</f>
        <v>Q005</v>
      </c>
      <c r="E482" s="1" t="s">
        <v>17</v>
      </c>
      <c r="F482" s="1">
        <v>6</v>
      </c>
      <c r="G482" s="1">
        <v>5553</v>
      </c>
      <c r="H482" s="1">
        <v>33318</v>
      </c>
      <c r="I482" s="1">
        <v>0</v>
      </c>
      <c r="J482" s="1">
        <v>6</v>
      </c>
      <c r="K482" s="1">
        <v>0</v>
      </c>
    </row>
    <row r="483" spans="1:11" x14ac:dyDescent="0.2">
      <c r="A483" s="1" t="s">
        <v>448</v>
      </c>
      <c r="B483" s="1" t="s">
        <v>468</v>
      </c>
      <c r="C483" s="1" t="str">
        <f>"Q003"</f>
        <v>Q003</v>
      </c>
      <c r="D483" s="1" t="str">
        <f>"Q003"</f>
        <v>Q003</v>
      </c>
      <c r="E483" s="1" t="s">
        <v>17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</row>
    <row r="484" spans="1:11" x14ac:dyDescent="0.2">
      <c r="A484" s="1" t="s">
        <v>448</v>
      </c>
      <c r="B484" s="1" t="s">
        <v>469</v>
      </c>
      <c r="C484" s="1" t="str">
        <f>"Q016"</f>
        <v>Q016</v>
      </c>
      <c r="D484" s="1" t="str">
        <f>"Q016"</f>
        <v>Q016</v>
      </c>
      <c r="E484" s="1" t="s">
        <v>17</v>
      </c>
      <c r="F484" s="1">
        <v>4</v>
      </c>
      <c r="G484" s="1">
        <v>7911</v>
      </c>
      <c r="H484" s="1">
        <v>31644</v>
      </c>
      <c r="I484" s="1">
        <v>0</v>
      </c>
      <c r="J484" s="1">
        <v>4</v>
      </c>
      <c r="K484" s="1">
        <v>0</v>
      </c>
    </row>
    <row r="485" spans="1:11" x14ac:dyDescent="0.2">
      <c r="A485" s="1" t="s">
        <v>448</v>
      </c>
      <c r="B485" s="1" t="s">
        <v>470</v>
      </c>
      <c r="C485" s="1" t="str">
        <f>"66298800152935"</f>
        <v>66298800152935</v>
      </c>
      <c r="D485" s="1" t="str">
        <f>"400532"</f>
        <v>400532</v>
      </c>
      <c r="E485" s="1" t="s">
        <v>17</v>
      </c>
      <c r="F485" s="1">
        <v>9</v>
      </c>
      <c r="G485" s="1">
        <v>4062</v>
      </c>
      <c r="H485" s="1">
        <v>36558</v>
      </c>
      <c r="I485" s="1">
        <v>0</v>
      </c>
      <c r="J485" s="1">
        <v>9</v>
      </c>
      <c r="K485" s="1">
        <v>0</v>
      </c>
    </row>
    <row r="486" spans="1:11" x14ac:dyDescent="0.2">
      <c r="A486" s="1" t="s">
        <v>448</v>
      </c>
      <c r="B486" s="1" t="s">
        <v>471</v>
      </c>
      <c r="C486" s="1" t="str">
        <f>"Q006"</f>
        <v>Q006</v>
      </c>
      <c r="D486" s="1" t="str">
        <f>"Q006"</f>
        <v>Q006</v>
      </c>
      <c r="E486" s="1" t="s">
        <v>17</v>
      </c>
      <c r="F486" s="1">
        <v>9</v>
      </c>
      <c r="G486" s="1">
        <v>6659.67</v>
      </c>
      <c r="H486" s="1">
        <v>59937</v>
      </c>
      <c r="I486" s="1">
        <v>0</v>
      </c>
      <c r="J486" s="1">
        <v>9</v>
      </c>
      <c r="K486" s="1">
        <v>0</v>
      </c>
    </row>
    <row r="487" spans="1:11" x14ac:dyDescent="0.2">
      <c r="A487" s="1" t="s">
        <v>448</v>
      </c>
      <c r="B487" s="1" t="s">
        <v>472</v>
      </c>
      <c r="C487" s="1" t="str">
        <f>"66298800232610"</f>
        <v>66298800232610</v>
      </c>
      <c r="D487" s="1" t="str">
        <f>"80975"</f>
        <v>80975</v>
      </c>
      <c r="E487" s="1" t="s">
        <v>17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1" x14ac:dyDescent="0.2">
      <c r="A488" s="1" t="s">
        <v>448</v>
      </c>
      <c r="B488" s="1" t="s">
        <v>473</v>
      </c>
      <c r="C488" s="1" t="str">
        <f>"66298800112749"</f>
        <v>66298800112749</v>
      </c>
      <c r="D488" s="1" t="str">
        <f>"Q017"</f>
        <v>Q017</v>
      </c>
      <c r="E488" s="1" t="s">
        <v>17</v>
      </c>
      <c r="F488" s="1">
        <v>10</v>
      </c>
      <c r="G488" s="1">
        <v>6111</v>
      </c>
      <c r="H488" s="1">
        <v>61110</v>
      </c>
      <c r="I488" s="1">
        <v>0</v>
      </c>
      <c r="J488" s="1">
        <v>10</v>
      </c>
      <c r="K488" s="1">
        <v>0</v>
      </c>
    </row>
    <row r="489" spans="1:11" x14ac:dyDescent="0.2">
      <c r="A489" s="1" t="s">
        <v>448</v>
      </c>
      <c r="B489" s="1" t="s">
        <v>474</v>
      </c>
      <c r="C489" s="1" t="str">
        <f>"66298800272348"</f>
        <v>66298800272348</v>
      </c>
      <c r="D489" s="1" t="str">
        <f>"400570"</f>
        <v>400570</v>
      </c>
      <c r="E489" s="1" t="s">
        <v>17</v>
      </c>
      <c r="F489" s="1">
        <v>11</v>
      </c>
      <c r="G489" s="1">
        <v>4041</v>
      </c>
      <c r="H489" s="1">
        <v>44451</v>
      </c>
      <c r="I489" s="1">
        <v>0</v>
      </c>
      <c r="J489" s="1">
        <v>11</v>
      </c>
      <c r="K489" s="1">
        <v>0</v>
      </c>
    </row>
    <row r="490" spans="1:11" x14ac:dyDescent="0.2">
      <c r="A490" s="1" t="s">
        <v>448</v>
      </c>
      <c r="B490" s="1" t="s">
        <v>475</v>
      </c>
      <c r="C490" s="1" t="str">
        <f>"66298799247975"</f>
        <v>66298799247975</v>
      </c>
      <c r="D490" s="1" t="str">
        <f>"J150"</f>
        <v>J150</v>
      </c>
      <c r="E490" s="1" t="s">
        <v>17</v>
      </c>
      <c r="F490" s="1">
        <v>1</v>
      </c>
      <c r="G490" s="1">
        <v>6930</v>
      </c>
      <c r="H490" s="1">
        <v>6930</v>
      </c>
      <c r="I490" s="1">
        <v>0</v>
      </c>
      <c r="J490" s="1">
        <v>1</v>
      </c>
      <c r="K490" s="1">
        <v>0</v>
      </c>
    </row>
    <row r="491" spans="1:11" x14ac:dyDescent="0.2">
      <c r="A491" s="1" t="s">
        <v>448</v>
      </c>
      <c r="B491" s="1" t="s">
        <v>476</v>
      </c>
      <c r="C491" s="1" t="str">
        <f>"131"</f>
        <v>131</v>
      </c>
      <c r="D491" s="1" t="str">
        <f>"131"</f>
        <v>131</v>
      </c>
      <c r="E491" s="1" t="s">
        <v>17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</row>
    <row r="492" spans="1:11" x14ac:dyDescent="0.2">
      <c r="A492" s="1" t="s">
        <v>448</v>
      </c>
      <c r="B492" s="1" t="s">
        <v>477</v>
      </c>
      <c r="C492" s="1" t="str">
        <f>"66298800358170"</f>
        <v>66298800358170</v>
      </c>
      <c r="D492" s="1" t="str">
        <f>"QB001"</f>
        <v>QB001</v>
      </c>
      <c r="E492" s="1" t="s">
        <v>17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</row>
    <row r="493" spans="1:11" x14ac:dyDescent="0.2">
      <c r="A493" s="1" t="s">
        <v>448</v>
      </c>
      <c r="B493" s="1" t="s">
        <v>478</v>
      </c>
      <c r="C493" s="1" t="str">
        <f>"66298800310945"</f>
        <v>66298800310945</v>
      </c>
      <c r="D493" s="1" t="str">
        <f>"QB003"</f>
        <v>QB003</v>
      </c>
      <c r="E493" s="1" t="s">
        <v>17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</row>
    <row r="494" spans="1:11" x14ac:dyDescent="0.2">
      <c r="A494" s="1" t="s">
        <v>479</v>
      </c>
      <c r="B494" s="1" t="s">
        <v>480</v>
      </c>
      <c r="C494" s="1" t="str">
        <f>"QG005"</f>
        <v>QG005</v>
      </c>
      <c r="D494" s="1" t="str">
        <f>"QG005"</f>
        <v>QG005</v>
      </c>
      <c r="E494" s="1" t="s">
        <v>17</v>
      </c>
      <c r="F494" s="1">
        <v>17</v>
      </c>
      <c r="G494" s="1">
        <v>353.18</v>
      </c>
      <c r="H494" s="1">
        <v>6004</v>
      </c>
      <c r="I494" s="1">
        <v>0</v>
      </c>
      <c r="J494" s="1">
        <v>17</v>
      </c>
      <c r="K494" s="1">
        <v>0</v>
      </c>
    </row>
    <row r="495" spans="1:11" x14ac:dyDescent="0.2">
      <c r="A495" s="1" t="s">
        <v>479</v>
      </c>
      <c r="B495" s="1" t="s">
        <v>480</v>
      </c>
      <c r="C495" s="1" t="str">
        <f>"BO-BOCINA"</f>
        <v>BO-BOCINA</v>
      </c>
      <c r="D495" s="1" t="str">
        <f>"BO-BOCINA"</f>
        <v>BO-BOCINA</v>
      </c>
      <c r="E495" s="1" t="s">
        <v>17</v>
      </c>
      <c r="F495" s="1">
        <v>5</v>
      </c>
      <c r="G495" s="1">
        <v>191.54</v>
      </c>
      <c r="H495" s="1">
        <v>958</v>
      </c>
      <c r="I495" s="1">
        <v>0</v>
      </c>
      <c r="J495" s="1">
        <v>5</v>
      </c>
      <c r="K495" s="1">
        <v>0</v>
      </c>
    </row>
    <row r="496" spans="1:11" x14ac:dyDescent="0.2">
      <c r="A496" s="1" t="s">
        <v>479</v>
      </c>
      <c r="B496" s="1" t="s">
        <v>481</v>
      </c>
      <c r="C496" s="1" t="str">
        <f>"QG003"</f>
        <v>QG003</v>
      </c>
      <c r="D496" s="1" t="str">
        <f>"QG003"</f>
        <v>QG003</v>
      </c>
      <c r="E496" s="1" t="s">
        <v>17</v>
      </c>
      <c r="F496" s="1">
        <v>15</v>
      </c>
      <c r="G496" s="1">
        <v>354.67</v>
      </c>
      <c r="H496" s="1">
        <v>5320</v>
      </c>
      <c r="I496" s="1">
        <v>0</v>
      </c>
      <c r="J496" s="1">
        <v>15</v>
      </c>
      <c r="K496" s="1">
        <v>0</v>
      </c>
    </row>
    <row r="497" spans="1:11" x14ac:dyDescent="0.2">
      <c r="A497" s="1" t="s">
        <v>479</v>
      </c>
      <c r="B497" s="1" t="s">
        <v>481</v>
      </c>
      <c r="C497" s="1" t="str">
        <f>"BO-CALUCES"</f>
        <v>BO-CALUCES</v>
      </c>
      <c r="D497" s="1" t="str">
        <f>"BO-CALUCES"</f>
        <v>BO-CALUCES</v>
      </c>
      <c r="E497" s="1" t="s">
        <v>17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</row>
    <row r="498" spans="1:11" x14ac:dyDescent="0.2">
      <c r="A498" s="1" t="s">
        <v>479</v>
      </c>
      <c r="B498" s="1" t="s">
        <v>482</v>
      </c>
      <c r="C498" s="1" t="str">
        <f>"66298800438483"</f>
        <v>66298800438483</v>
      </c>
      <c r="D498" s="1" t="str">
        <f>"QG076"</f>
        <v>QG076</v>
      </c>
      <c r="E498" s="1" t="s">
        <v>17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</row>
    <row r="499" spans="1:11" x14ac:dyDescent="0.2">
      <c r="A499" s="1" t="s">
        <v>479</v>
      </c>
      <c r="B499" s="1" t="s">
        <v>482</v>
      </c>
      <c r="C499" s="1" t="str">
        <f>"4043"</f>
        <v>4043</v>
      </c>
      <c r="D499" s="1" t="str">
        <f>"4043"</f>
        <v>4043</v>
      </c>
      <c r="E499" s="1" t="s">
        <v>17</v>
      </c>
      <c r="F499" s="1">
        <v>1</v>
      </c>
      <c r="G499" s="1">
        <v>1756.48</v>
      </c>
      <c r="H499" s="1">
        <v>1756</v>
      </c>
      <c r="I499" s="1">
        <v>0</v>
      </c>
      <c r="J499" s="1">
        <v>1</v>
      </c>
      <c r="K499" s="1">
        <v>0</v>
      </c>
    </row>
    <row r="500" spans="1:11" x14ac:dyDescent="0.2">
      <c r="A500" s="1" t="s">
        <v>479</v>
      </c>
      <c r="B500" s="1" t="s">
        <v>483</v>
      </c>
      <c r="C500" s="1" t="str">
        <f>"66298800477532"</f>
        <v>66298800477532</v>
      </c>
      <c r="D500" s="1" t="str">
        <f>"QF026-A"</f>
        <v>QF026-A</v>
      </c>
      <c r="E500" s="1" t="s">
        <v>17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</row>
    <row r="501" spans="1:11" x14ac:dyDescent="0.2">
      <c r="A501" s="1" t="s">
        <v>479</v>
      </c>
      <c r="B501" s="1" t="s">
        <v>484</v>
      </c>
      <c r="C501" s="1" t="str">
        <f>"BO-ENC"</f>
        <v>BO-ENC</v>
      </c>
      <c r="D501" s="1" t="str">
        <f>"BO-ENC"</f>
        <v>BO-ENC</v>
      </c>
      <c r="E501" s="1" t="s">
        <v>17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</row>
    <row r="502" spans="1:11" x14ac:dyDescent="0.2">
      <c r="A502" s="1" t="s">
        <v>479</v>
      </c>
      <c r="B502" s="1" t="s">
        <v>484</v>
      </c>
      <c r="C502" s="1" t="str">
        <f>"80400"</f>
        <v>80400</v>
      </c>
      <c r="D502" s="1" t="str">
        <f>"80400"</f>
        <v>80400</v>
      </c>
      <c r="E502" s="1" t="s">
        <v>17</v>
      </c>
      <c r="F502" s="1">
        <v>10</v>
      </c>
      <c r="G502" s="1">
        <v>590</v>
      </c>
      <c r="H502" s="1">
        <v>5900</v>
      </c>
      <c r="I502" s="1">
        <v>0</v>
      </c>
      <c r="J502" s="1">
        <v>10</v>
      </c>
      <c r="K502" s="1">
        <v>0</v>
      </c>
    </row>
    <row r="503" spans="1:11" x14ac:dyDescent="0.2">
      <c r="A503" s="1" t="s">
        <v>479</v>
      </c>
      <c r="B503" s="1" t="s">
        <v>485</v>
      </c>
      <c r="C503" s="1" t="str">
        <f>"QG009"</f>
        <v>QG009</v>
      </c>
      <c r="D503" s="1" t="str">
        <f>"QG009"</f>
        <v>QG009</v>
      </c>
      <c r="E503" s="1" t="s">
        <v>17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</row>
    <row r="504" spans="1:11" x14ac:dyDescent="0.2">
      <c r="A504" s="1" t="s">
        <v>479</v>
      </c>
      <c r="B504" s="1" t="s">
        <v>485</v>
      </c>
      <c r="C504" s="1" t="str">
        <f>"2250"</f>
        <v>2250</v>
      </c>
      <c r="D504" s="1" t="str">
        <f>"2250"</f>
        <v>2250</v>
      </c>
      <c r="E504" s="1" t="s">
        <v>17</v>
      </c>
      <c r="F504" s="1">
        <v>10</v>
      </c>
      <c r="G504" s="1">
        <v>924</v>
      </c>
      <c r="H504" s="1">
        <v>9240</v>
      </c>
      <c r="I504" s="1">
        <v>0</v>
      </c>
      <c r="J504" s="1">
        <v>10</v>
      </c>
      <c r="K504" s="1">
        <v>0</v>
      </c>
    </row>
    <row r="505" spans="1:11" x14ac:dyDescent="0.2">
      <c r="A505" s="1" t="s">
        <v>479</v>
      </c>
      <c r="B505" s="1" t="s">
        <v>486</v>
      </c>
      <c r="C505" s="1" t="str">
        <f>"QG006"</f>
        <v>QG006</v>
      </c>
      <c r="D505" s="1" t="str">
        <f>"QG006"</f>
        <v>QG006</v>
      </c>
      <c r="E505" s="1" t="s">
        <v>17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">
      <c r="A506" s="1" t="s">
        <v>479</v>
      </c>
      <c r="B506" s="1" t="s">
        <v>486</v>
      </c>
      <c r="C506" s="1" t="str">
        <f>"BO-ALTAYBAJA"</f>
        <v>BO-ALTAYBAJA</v>
      </c>
      <c r="D506" s="1" t="str">
        <f>"BO-ALTAYBAJA"</f>
        <v>BO-ALTAYBAJA</v>
      </c>
      <c r="E506" s="1" t="s">
        <v>17</v>
      </c>
      <c r="F506" s="1">
        <v>5</v>
      </c>
      <c r="G506" s="1">
        <v>191.54</v>
      </c>
      <c r="H506" s="1">
        <v>958</v>
      </c>
      <c r="I506" s="1">
        <v>0</v>
      </c>
      <c r="J506" s="1">
        <v>5</v>
      </c>
      <c r="K506" s="1">
        <v>0</v>
      </c>
    </row>
    <row r="507" spans="1:11" x14ac:dyDescent="0.2">
      <c r="A507" s="1" t="s">
        <v>479</v>
      </c>
      <c r="B507" s="1" t="s">
        <v>487</v>
      </c>
      <c r="C507" s="1" t="str">
        <f>"BOTON-GY6"</f>
        <v>BOTON-GY6</v>
      </c>
      <c r="D507" s="1" t="str">
        <f>"BOTON-GY6"</f>
        <v>BOTON-GY6</v>
      </c>
      <c r="E507" s="1" t="s">
        <v>17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</row>
    <row r="508" spans="1:11" x14ac:dyDescent="0.2">
      <c r="A508" s="1" t="s">
        <v>479</v>
      </c>
      <c r="B508" s="1" t="s">
        <v>488</v>
      </c>
      <c r="C508" s="1" t="str">
        <f>"66298800514760"</f>
        <v>66298800514760</v>
      </c>
      <c r="D508" s="1" t="str">
        <f>"QG050"</f>
        <v>QG050</v>
      </c>
      <c r="E508" s="1" t="s">
        <v>17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</row>
    <row r="509" spans="1:11" x14ac:dyDescent="0.2">
      <c r="A509" s="1" t="s">
        <v>479</v>
      </c>
      <c r="B509" s="1" t="s">
        <v>489</v>
      </c>
      <c r="C509" s="1" t="str">
        <f>"66298800637205"</f>
        <v>66298800637205</v>
      </c>
      <c r="D509" s="1" t="str">
        <f>"QG008"</f>
        <v>QG008</v>
      </c>
      <c r="E509" s="1" t="s">
        <v>17</v>
      </c>
      <c r="F509" s="1">
        <v>5</v>
      </c>
      <c r="G509" s="1">
        <v>1152</v>
      </c>
      <c r="H509" s="1">
        <v>5760</v>
      </c>
      <c r="I509" s="1">
        <v>0</v>
      </c>
      <c r="J509" s="1">
        <v>5</v>
      </c>
      <c r="K509" s="1">
        <v>0</v>
      </c>
    </row>
    <row r="510" spans="1:11" x14ac:dyDescent="0.2">
      <c r="A510" s="1" t="s">
        <v>479</v>
      </c>
      <c r="B510" s="1" t="s">
        <v>490</v>
      </c>
      <c r="C510" s="1" t="str">
        <f>"66298800683705"</f>
        <v>66298800683705</v>
      </c>
      <c r="D510" s="1" t="str">
        <f>"QG053"</f>
        <v>QG053</v>
      </c>
      <c r="E510" s="1" t="s">
        <v>17</v>
      </c>
      <c r="F510" s="1">
        <v>8</v>
      </c>
      <c r="G510" s="1">
        <v>2007</v>
      </c>
      <c r="H510" s="1">
        <v>16056</v>
      </c>
      <c r="I510" s="1">
        <v>0</v>
      </c>
      <c r="J510" s="1">
        <v>8</v>
      </c>
      <c r="K510" s="1">
        <v>0</v>
      </c>
    </row>
    <row r="511" spans="1:11" x14ac:dyDescent="0.2">
      <c r="A511" s="1" t="s">
        <v>479</v>
      </c>
      <c r="B511" s="1" t="s">
        <v>491</v>
      </c>
      <c r="C511" s="1" t="str">
        <f>"66298800723853"</f>
        <v>66298800723853</v>
      </c>
      <c r="D511" s="1" t="str">
        <f>"0393"</f>
        <v>0393</v>
      </c>
      <c r="E511" s="1" t="s">
        <v>17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</row>
    <row r="512" spans="1:11" x14ac:dyDescent="0.2">
      <c r="A512" s="1" t="s">
        <v>479</v>
      </c>
      <c r="B512" s="1" t="s">
        <v>492</v>
      </c>
      <c r="C512" s="1" t="str">
        <f>"66298800555912"</f>
        <v>66298800555912</v>
      </c>
      <c r="D512" s="1" t="str">
        <f>"3221"</f>
        <v>3221</v>
      </c>
      <c r="E512" s="1" t="s">
        <v>17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</row>
    <row r="513" spans="1:11" x14ac:dyDescent="0.2">
      <c r="A513" s="1" t="s">
        <v>479</v>
      </c>
      <c r="B513" s="1" t="s">
        <v>492</v>
      </c>
      <c r="C513" s="1" t="str">
        <f>"66298800560729"</f>
        <v>66298800560729</v>
      </c>
      <c r="D513" s="1" t="str">
        <f>"QG077"</f>
        <v>QG077</v>
      </c>
      <c r="E513" s="1" t="s">
        <v>17</v>
      </c>
      <c r="F513" s="1">
        <v>2</v>
      </c>
      <c r="G513" s="1">
        <v>648</v>
      </c>
      <c r="H513" s="1">
        <v>1296</v>
      </c>
      <c r="I513" s="1">
        <v>0</v>
      </c>
      <c r="J513" s="1">
        <v>2</v>
      </c>
      <c r="K513" s="1">
        <v>0</v>
      </c>
    </row>
    <row r="514" spans="1:11" x14ac:dyDescent="0.2">
      <c r="A514" s="1" t="s">
        <v>479</v>
      </c>
      <c r="B514" s="1" t="s">
        <v>492</v>
      </c>
      <c r="C514" s="1" t="str">
        <f>"66298800567862"</f>
        <v>66298800567862</v>
      </c>
      <c r="D514" s="1" t="str">
        <f>"QG054"</f>
        <v>QG054</v>
      </c>
      <c r="E514" s="1" t="s">
        <v>17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</row>
    <row r="515" spans="1:11" x14ac:dyDescent="0.2">
      <c r="A515" s="1" t="s">
        <v>18</v>
      </c>
      <c r="B515" s="1" t="s">
        <v>492</v>
      </c>
      <c r="C515" s="1" t="str">
        <f>"QF016"</f>
        <v>QF016</v>
      </c>
      <c r="D515" s="1" t="str">
        <f>"QF016"</f>
        <v>QF016</v>
      </c>
      <c r="E515" s="1" t="s">
        <v>17</v>
      </c>
      <c r="F515" s="1">
        <v>2</v>
      </c>
      <c r="G515" s="1">
        <v>1220</v>
      </c>
      <c r="H515" s="1">
        <v>2440</v>
      </c>
      <c r="I515" s="1">
        <v>0</v>
      </c>
      <c r="J515" s="1">
        <v>2</v>
      </c>
      <c r="K515" s="1">
        <v>0</v>
      </c>
    </row>
    <row r="516" spans="1:11" x14ac:dyDescent="0.2">
      <c r="A516" s="1" t="s">
        <v>18</v>
      </c>
      <c r="B516" s="1" t="s">
        <v>492</v>
      </c>
      <c r="C516" s="1" t="str">
        <f>"QF011"</f>
        <v>QF011</v>
      </c>
      <c r="D516" s="1" t="str">
        <f>"QF011"</f>
        <v>QF011</v>
      </c>
      <c r="E516" s="1" t="s">
        <v>17</v>
      </c>
      <c r="F516" s="1">
        <v>1</v>
      </c>
      <c r="G516" s="1">
        <v>1580</v>
      </c>
      <c r="H516" s="1">
        <v>1580</v>
      </c>
      <c r="I516" s="1">
        <v>0</v>
      </c>
      <c r="J516" s="1">
        <v>1</v>
      </c>
      <c r="K516" s="1">
        <v>0</v>
      </c>
    </row>
    <row r="517" spans="1:11" x14ac:dyDescent="0.2">
      <c r="A517" s="1" t="s">
        <v>479</v>
      </c>
      <c r="B517" s="1" t="s">
        <v>492</v>
      </c>
      <c r="C517" s="1" t="str">
        <f>"202104"</f>
        <v>202104</v>
      </c>
      <c r="D517" s="1" t="str">
        <f>"202104"</f>
        <v>202104</v>
      </c>
      <c r="E517" s="1" t="s">
        <v>17</v>
      </c>
      <c r="F517" s="1">
        <v>3</v>
      </c>
      <c r="G517" s="1">
        <v>1313.33</v>
      </c>
      <c r="H517" s="1">
        <v>3940</v>
      </c>
      <c r="I517" s="1">
        <v>0</v>
      </c>
      <c r="J517" s="1">
        <v>3</v>
      </c>
      <c r="K517" s="1">
        <v>0</v>
      </c>
    </row>
    <row r="518" spans="1:11" x14ac:dyDescent="0.2">
      <c r="A518" s="1" t="s">
        <v>479</v>
      </c>
      <c r="B518" s="1" t="s">
        <v>493</v>
      </c>
      <c r="C518" s="1" t="str">
        <f>"QG002"</f>
        <v>QG002</v>
      </c>
      <c r="D518" s="1" t="str">
        <f>"QG002"</f>
        <v>QG002</v>
      </c>
      <c r="E518" s="1" t="s">
        <v>17</v>
      </c>
      <c r="F518" s="1">
        <v>7</v>
      </c>
      <c r="G518" s="1">
        <v>380</v>
      </c>
      <c r="H518" s="1">
        <v>2660</v>
      </c>
      <c r="I518" s="1">
        <v>0</v>
      </c>
      <c r="J518" s="1">
        <v>7</v>
      </c>
      <c r="K518" s="1">
        <v>0</v>
      </c>
    </row>
    <row r="519" spans="1:11" x14ac:dyDescent="0.2">
      <c r="A519" s="1" t="s">
        <v>479</v>
      </c>
      <c r="B519" s="1" t="s">
        <v>494</v>
      </c>
      <c r="C519" s="1" t="str">
        <f>"QG004"</f>
        <v>QG004</v>
      </c>
      <c r="D519" s="1" t="str">
        <f>"QG004"</f>
        <v>QG004</v>
      </c>
      <c r="E519" s="1" t="s">
        <v>17</v>
      </c>
      <c r="F519" s="1">
        <v>5</v>
      </c>
      <c r="G519" s="1">
        <v>320</v>
      </c>
      <c r="H519" s="1">
        <v>1600</v>
      </c>
      <c r="I519" s="1">
        <v>0</v>
      </c>
      <c r="J519" s="1">
        <v>5</v>
      </c>
      <c r="K519" s="1">
        <v>0</v>
      </c>
    </row>
    <row r="520" spans="1:11" x14ac:dyDescent="0.2">
      <c r="A520" s="1" t="s">
        <v>479</v>
      </c>
      <c r="B520" s="1" t="s">
        <v>494</v>
      </c>
      <c r="C520" s="1" t="str">
        <f>"BO-SENAL"</f>
        <v>BO-SENAL</v>
      </c>
      <c r="D520" s="1" t="str">
        <f>"BO-SENAL"</f>
        <v>BO-SENAL</v>
      </c>
      <c r="E520" s="1" t="s">
        <v>17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</row>
    <row r="521" spans="1:11" x14ac:dyDescent="0.2">
      <c r="A521" s="1" t="s">
        <v>18</v>
      </c>
      <c r="B521" s="1" t="s">
        <v>495</v>
      </c>
      <c r="C521" s="1" t="str">
        <f>"C175"</f>
        <v>C175</v>
      </c>
      <c r="D521" s="1" t="str">
        <f>"C175"</f>
        <v>C175</v>
      </c>
      <c r="E521" s="1" t="s">
        <v>17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</row>
    <row r="522" spans="1:11" x14ac:dyDescent="0.2">
      <c r="A522" s="1" t="s">
        <v>496</v>
      </c>
      <c r="B522" s="1" t="s">
        <v>497</v>
      </c>
      <c r="C522" s="1" t="str">
        <f>"ZZA005"</f>
        <v>ZZA005</v>
      </c>
      <c r="D522" s="1" t="str">
        <f>"ZZA005"</f>
        <v>ZZA005</v>
      </c>
      <c r="E522" s="1" t="s">
        <v>17</v>
      </c>
      <c r="F522" s="1">
        <v>4</v>
      </c>
      <c r="G522" s="1">
        <v>680</v>
      </c>
      <c r="H522" s="1">
        <v>2720</v>
      </c>
      <c r="I522" s="1">
        <v>0</v>
      </c>
      <c r="J522" s="1">
        <v>4</v>
      </c>
      <c r="K522" s="1">
        <v>0</v>
      </c>
    </row>
    <row r="523" spans="1:11" x14ac:dyDescent="0.2">
      <c r="A523" s="1" t="s">
        <v>496</v>
      </c>
      <c r="B523" s="1" t="s">
        <v>498</v>
      </c>
      <c r="C523" s="1" t="str">
        <f>"21650-33G80-000"</f>
        <v>21650-33G80-000</v>
      </c>
      <c r="D523" s="1" t="str">
        <f>"21650-33G80-000"</f>
        <v>21650-33G80-000</v>
      </c>
      <c r="E523" s="1" t="s">
        <v>17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</row>
    <row r="524" spans="1:11" x14ac:dyDescent="0.2">
      <c r="A524" s="1" t="s">
        <v>496</v>
      </c>
      <c r="B524" s="1" t="s">
        <v>499</v>
      </c>
      <c r="C524" s="1" t="str">
        <f>"66298800770590"</f>
        <v>66298800770590</v>
      </c>
      <c r="D524" s="1" t="str">
        <f>"CC003"</f>
        <v>CC003</v>
      </c>
      <c r="E524" s="1" t="s">
        <v>17</v>
      </c>
      <c r="F524" s="1">
        <v>9</v>
      </c>
      <c r="G524" s="1">
        <v>1898.78</v>
      </c>
      <c r="H524" s="1">
        <v>17089</v>
      </c>
      <c r="I524" s="1">
        <v>0</v>
      </c>
      <c r="J524" s="1">
        <v>9</v>
      </c>
      <c r="K524" s="1">
        <v>0</v>
      </c>
    </row>
    <row r="525" spans="1:11" ht="30" x14ac:dyDescent="0.2">
      <c r="A525" s="1" t="s">
        <v>496</v>
      </c>
      <c r="B525" s="1" t="s">
        <v>500</v>
      </c>
      <c r="C525" s="1" t="str">
        <f>"66298800816074"</f>
        <v>66298800816074</v>
      </c>
      <c r="D525" s="1" t="str">
        <f>"CC002"</f>
        <v>CC002</v>
      </c>
      <c r="E525" s="1" t="s">
        <v>17</v>
      </c>
      <c r="F525" s="1">
        <v>2</v>
      </c>
      <c r="G525" s="1">
        <v>2340</v>
      </c>
      <c r="H525" s="1">
        <v>4680</v>
      </c>
      <c r="I525" s="1">
        <v>0</v>
      </c>
      <c r="J525" s="1">
        <v>2</v>
      </c>
      <c r="K525" s="1">
        <v>0</v>
      </c>
    </row>
    <row r="526" spans="1:11" x14ac:dyDescent="0.2">
      <c r="A526" s="1" t="s">
        <v>496</v>
      </c>
      <c r="B526" s="1" t="s">
        <v>501</v>
      </c>
      <c r="C526" s="1" t="str">
        <f>"22121-HKE-000"</f>
        <v>22121-HKE-000</v>
      </c>
      <c r="D526" s="1" t="str">
        <f>"22121-HKE-000"</f>
        <v>22121-HKE-000</v>
      </c>
      <c r="E526" s="1" t="s">
        <v>17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</row>
    <row r="527" spans="1:11" x14ac:dyDescent="0.2">
      <c r="A527" s="1" t="s">
        <v>496</v>
      </c>
      <c r="B527" s="1" t="s">
        <v>501</v>
      </c>
      <c r="C527" s="1" t="str">
        <f>"H2120"</f>
        <v>H2120</v>
      </c>
      <c r="D527" s="1" t="str">
        <f>"H2120"</f>
        <v>H2120</v>
      </c>
      <c r="E527" s="1" t="s">
        <v>17</v>
      </c>
      <c r="F527" s="1">
        <v>2</v>
      </c>
      <c r="G527" s="1">
        <v>910</v>
      </c>
      <c r="H527" s="1">
        <v>1820</v>
      </c>
      <c r="I527" s="1">
        <v>0</v>
      </c>
      <c r="J527" s="1">
        <v>2</v>
      </c>
      <c r="K527" s="1">
        <v>0</v>
      </c>
    </row>
    <row r="528" spans="1:11" x14ac:dyDescent="0.2">
      <c r="A528" s="1" t="s">
        <v>496</v>
      </c>
      <c r="B528" s="1" t="s">
        <v>502</v>
      </c>
      <c r="C528" s="1" t="str">
        <f>"CC001"</f>
        <v>CC001</v>
      </c>
      <c r="D528" s="1" t="str">
        <f>"CC001"</f>
        <v>CC001</v>
      </c>
      <c r="E528" s="1" t="s">
        <v>17</v>
      </c>
      <c r="F528" s="1">
        <v>2</v>
      </c>
      <c r="G528" s="1">
        <v>2364</v>
      </c>
      <c r="H528" s="1">
        <v>4728</v>
      </c>
      <c r="I528" s="1">
        <v>0</v>
      </c>
      <c r="J528" s="1">
        <v>2</v>
      </c>
      <c r="K528" s="1">
        <v>0</v>
      </c>
    </row>
    <row r="529" spans="1:11" x14ac:dyDescent="0.2">
      <c r="A529" s="1" t="s">
        <v>496</v>
      </c>
      <c r="B529" s="1" t="s">
        <v>503</v>
      </c>
      <c r="C529" s="1" t="str">
        <f>"B120"</f>
        <v>B120</v>
      </c>
      <c r="D529" s="1" t="str">
        <f>"B120"</f>
        <v>B120</v>
      </c>
      <c r="E529" s="1" t="s">
        <v>17</v>
      </c>
      <c r="F529" s="1">
        <v>2</v>
      </c>
      <c r="G529" s="1">
        <v>730</v>
      </c>
      <c r="H529" s="1">
        <v>1460</v>
      </c>
      <c r="I529" s="1">
        <v>0</v>
      </c>
      <c r="J529" s="1">
        <v>2</v>
      </c>
      <c r="K529" s="1">
        <v>0</v>
      </c>
    </row>
    <row r="530" spans="1:11" x14ac:dyDescent="0.2">
      <c r="A530" s="1" t="s">
        <v>496</v>
      </c>
      <c r="B530" s="1" t="s">
        <v>504</v>
      </c>
      <c r="C530" s="1" t="str">
        <f>"66298800858288"</f>
        <v>66298800858288</v>
      </c>
      <c r="D530" s="1" t="str">
        <f>"13521"</f>
        <v>13521</v>
      </c>
      <c r="E530" s="1" t="s">
        <v>17</v>
      </c>
      <c r="F530" s="1">
        <v>7</v>
      </c>
      <c r="G530" s="1">
        <v>1650</v>
      </c>
      <c r="H530" s="1">
        <v>11550</v>
      </c>
      <c r="I530" s="1">
        <v>0</v>
      </c>
      <c r="J530" s="1">
        <v>7</v>
      </c>
      <c r="K530" s="1">
        <v>0</v>
      </c>
    </row>
    <row r="531" spans="1:11" x14ac:dyDescent="0.2">
      <c r="A531" s="1" t="s">
        <v>505</v>
      </c>
      <c r="B531" s="1" t="s">
        <v>506</v>
      </c>
      <c r="C531" s="1" t="str">
        <f>"66298800901697"</f>
        <v>66298800901697</v>
      </c>
      <c r="D531" s="1" t="str">
        <f>"D8EACN"</f>
        <v>D8EACN</v>
      </c>
      <c r="E531" s="1" t="s">
        <v>17</v>
      </c>
      <c r="F531" s="1">
        <v>9</v>
      </c>
      <c r="G531" s="1">
        <v>378</v>
      </c>
      <c r="H531" s="1">
        <v>3402</v>
      </c>
      <c r="I531" s="1">
        <v>0</v>
      </c>
      <c r="J531" s="1">
        <v>9</v>
      </c>
      <c r="K531" s="1">
        <v>0</v>
      </c>
    </row>
    <row r="532" spans="1:11" x14ac:dyDescent="0.2">
      <c r="A532" s="1" t="s">
        <v>505</v>
      </c>
      <c r="B532" s="1" t="s">
        <v>507</v>
      </c>
      <c r="C532" s="1" t="str">
        <f>"66298800985695"</f>
        <v>66298800985695</v>
      </c>
      <c r="D532" s="1" t="str">
        <f>"IU20JP"</f>
        <v>IU20JP</v>
      </c>
      <c r="E532" s="1" t="s">
        <v>17</v>
      </c>
      <c r="F532" s="1">
        <v>4</v>
      </c>
      <c r="G532" s="1">
        <v>6563</v>
      </c>
      <c r="H532" s="1">
        <v>26252</v>
      </c>
      <c r="I532" s="1">
        <v>0</v>
      </c>
      <c r="J532" s="1">
        <v>4</v>
      </c>
      <c r="K532" s="1">
        <v>0</v>
      </c>
    </row>
    <row r="533" spans="1:11" x14ac:dyDescent="0.2">
      <c r="A533" s="1" t="s">
        <v>505</v>
      </c>
      <c r="B533" s="1" t="s">
        <v>508</v>
      </c>
      <c r="C533" s="1" t="str">
        <f>"66298801067873"</f>
        <v>66298801067873</v>
      </c>
      <c r="D533" s="1" t="str">
        <f>"IU22JP"</f>
        <v>IU22JP</v>
      </c>
      <c r="E533" s="1" t="s">
        <v>17</v>
      </c>
      <c r="F533" s="1">
        <v>28</v>
      </c>
      <c r="G533" s="1">
        <v>6738</v>
      </c>
      <c r="H533" s="1">
        <v>188664</v>
      </c>
      <c r="I533" s="1">
        <v>0</v>
      </c>
      <c r="J533" s="1">
        <v>28</v>
      </c>
      <c r="K533" s="1">
        <v>0</v>
      </c>
    </row>
    <row r="534" spans="1:11" x14ac:dyDescent="0.2">
      <c r="A534" s="1" t="s">
        <v>505</v>
      </c>
      <c r="B534" s="1" t="s">
        <v>509</v>
      </c>
      <c r="C534" s="1" t="str">
        <f>"IU24JP"</f>
        <v>IU24JP</v>
      </c>
      <c r="D534" s="1" t="str">
        <f>"IU24JP"</f>
        <v>IU24JP</v>
      </c>
      <c r="E534" s="1" t="s">
        <v>17</v>
      </c>
      <c r="F534" s="1">
        <v>4</v>
      </c>
      <c r="G534" s="1">
        <v>7345</v>
      </c>
      <c r="H534" s="1">
        <v>29380</v>
      </c>
      <c r="I534" s="1">
        <v>0</v>
      </c>
      <c r="J534" s="1">
        <v>4</v>
      </c>
      <c r="K534" s="1">
        <v>0</v>
      </c>
    </row>
    <row r="535" spans="1:11" ht="30" x14ac:dyDescent="0.2">
      <c r="A535" s="1" t="s">
        <v>505</v>
      </c>
      <c r="B535" s="1" t="s">
        <v>510</v>
      </c>
      <c r="C535" s="1" t="str">
        <f>"66298801320393"</f>
        <v>66298801320393</v>
      </c>
      <c r="D535" s="1" t="str">
        <f>"IU24AJP"</f>
        <v>IU24AJP</v>
      </c>
      <c r="E535" s="1" t="s">
        <v>17</v>
      </c>
      <c r="F535" s="1">
        <v>8</v>
      </c>
      <c r="G535" s="1">
        <v>6662</v>
      </c>
      <c r="H535" s="1">
        <v>53296</v>
      </c>
      <c r="I535" s="1">
        <v>0</v>
      </c>
      <c r="J535" s="1">
        <v>8</v>
      </c>
      <c r="K535" s="1">
        <v>0</v>
      </c>
    </row>
    <row r="536" spans="1:11" x14ac:dyDescent="0.2">
      <c r="A536" s="1" t="s">
        <v>505</v>
      </c>
      <c r="B536" s="1" t="s">
        <v>511</v>
      </c>
      <c r="C536" s="1" t="str">
        <f>"IU27JP"</f>
        <v>IU27JP</v>
      </c>
      <c r="D536" s="1" t="str">
        <f>"IU27JP"</f>
        <v>IU27JP</v>
      </c>
      <c r="E536" s="1" t="s">
        <v>17</v>
      </c>
      <c r="F536" s="1">
        <v>2</v>
      </c>
      <c r="G536" s="1">
        <v>6485</v>
      </c>
      <c r="H536" s="1">
        <v>12970</v>
      </c>
      <c r="I536" s="1">
        <v>0</v>
      </c>
      <c r="J536" s="1">
        <v>2</v>
      </c>
      <c r="K536" s="1">
        <v>0</v>
      </c>
    </row>
    <row r="537" spans="1:11" x14ac:dyDescent="0.2">
      <c r="A537" s="1" t="s">
        <v>505</v>
      </c>
      <c r="B537" s="1" t="s">
        <v>512</v>
      </c>
      <c r="C537" s="1" t="str">
        <f>"66298801360705"</f>
        <v>66298801360705</v>
      </c>
      <c r="D537" s="1" t="str">
        <f>"IU27AJP"</f>
        <v>IU27AJP</v>
      </c>
      <c r="E537" s="1" t="s">
        <v>17</v>
      </c>
      <c r="F537" s="1">
        <v>1</v>
      </c>
      <c r="G537" s="1">
        <v>6177</v>
      </c>
      <c r="H537" s="1">
        <v>6177</v>
      </c>
      <c r="I537" s="1">
        <v>0</v>
      </c>
      <c r="J537" s="1">
        <v>1</v>
      </c>
      <c r="K537" s="1">
        <v>0</v>
      </c>
    </row>
    <row r="538" spans="1:11" x14ac:dyDescent="0.2">
      <c r="A538" s="1" t="s">
        <v>505</v>
      </c>
      <c r="B538" s="1" t="s">
        <v>513</v>
      </c>
      <c r="C538" s="1" t="str">
        <f>"IU31"</f>
        <v>IU31</v>
      </c>
      <c r="D538" s="1" t="str">
        <f>"IU31"</f>
        <v>IU31</v>
      </c>
      <c r="E538" s="1" t="s">
        <v>17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</row>
    <row r="539" spans="1:11" ht="30" x14ac:dyDescent="0.2">
      <c r="A539" s="1" t="s">
        <v>505</v>
      </c>
      <c r="B539" s="1" t="s">
        <v>514</v>
      </c>
      <c r="C539" s="1" t="str">
        <f>"66298801025535"</f>
        <v>66298801025535</v>
      </c>
      <c r="D539" s="1" t="str">
        <f>"IU31AJP"</f>
        <v>IU31AJP</v>
      </c>
      <c r="E539" s="1" t="s">
        <v>17</v>
      </c>
      <c r="F539" s="1">
        <v>8</v>
      </c>
      <c r="G539" s="1">
        <v>12205</v>
      </c>
      <c r="H539" s="1">
        <v>97640</v>
      </c>
      <c r="I539" s="1">
        <v>0</v>
      </c>
      <c r="J539" s="1">
        <v>8</v>
      </c>
      <c r="K539" s="1">
        <v>0</v>
      </c>
    </row>
    <row r="540" spans="1:11" x14ac:dyDescent="0.2">
      <c r="A540" s="1" t="s">
        <v>505</v>
      </c>
      <c r="B540" s="1" t="s">
        <v>515</v>
      </c>
      <c r="C540" s="1" t="str">
        <f>"IUF22JP"</f>
        <v>IUF22JP</v>
      </c>
      <c r="D540" s="1" t="str">
        <f>"IUF22JP"</f>
        <v>IUF22JP</v>
      </c>
      <c r="E540" s="1" t="s">
        <v>17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</row>
    <row r="541" spans="1:11" x14ac:dyDescent="0.2">
      <c r="A541" s="1" t="s">
        <v>505</v>
      </c>
      <c r="B541" s="1" t="s">
        <v>516</v>
      </c>
      <c r="C541" s="1" t="str">
        <f>"IUF24JP"</f>
        <v>IUF24JP</v>
      </c>
      <c r="D541" s="1" t="str">
        <f>"IUF24JP"</f>
        <v>IUF24JP</v>
      </c>
      <c r="E541" s="1" t="s">
        <v>17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</row>
    <row r="542" spans="1:11" x14ac:dyDescent="0.2">
      <c r="A542" s="1" t="s">
        <v>505</v>
      </c>
      <c r="B542" s="1" t="s">
        <v>517</v>
      </c>
      <c r="C542" s="1" t="str">
        <f>"66298801112250"</f>
        <v>66298801112250</v>
      </c>
      <c r="D542" s="1" t="str">
        <f>"IUH24JP"</f>
        <v>IUH24JP</v>
      </c>
      <c r="E542" s="1" t="s">
        <v>17</v>
      </c>
      <c r="F542" s="1">
        <v>9</v>
      </c>
      <c r="G542" s="1">
        <v>6436</v>
      </c>
      <c r="H542" s="1">
        <v>57924</v>
      </c>
      <c r="I542" s="1">
        <v>0</v>
      </c>
      <c r="J542" s="1">
        <v>9</v>
      </c>
      <c r="K542" s="1">
        <v>0</v>
      </c>
    </row>
    <row r="543" spans="1:11" x14ac:dyDescent="0.2">
      <c r="A543" s="1" t="s">
        <v>505</v>
      </c>
      <c r="B543" s="1" t="s">
        <v>518</v>
      </c>
      <c r="C543" s="1" t="str">
        <f>"66298801189788"</f>
        <v>66298801189788</v>
      </c>
      <c r="D543" s="1" t="str">
        <f>"IUH27JP"</f>
        <v>IUH27JP</v>
      </c>
      <c r="E543" s="1" t="s">
        <v>17</v>
      </c>
      <c r="F543" s="1">
        <v>12</v>
      </c>
      <c r="G543" s="1">
        <v>6499</v>
      </c>
      <c r="H543" s="1">
        <v>77988</v>
      </c>
      <c r="I543" s="1">
        <v>0</v>
      </c>
      <c r="J543" s="1">
        <v>12</v>
      </c>
      <c r="K543" s="1">
        <v>0</v>
      </c>
    </row>
    <row r="544" spans="1:11" x14ac:dyDescent="0.2">
      <c r="A544" s="1" t="s">
        <v>505</v>
      </c>
      <c r="B544" s="1" t="s">
        <v>519</v>
      </c>
      <c r="C544" s="1" t="str">
        <f>"66298800943216"</f>
        <v>66298800943216</v>
      </c>
      <c r="D544" s="1" t="str">
        <f>"IW24JP"</f>
        <v>IW24JP</v>
      </c>
      <c r="E544" s="1" t="s">
        <v>17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</row>
    <row r="545" spans="1:11" x14ac:dyDescent="0.2">
      <c r="A545" s="1" t="s">
        <v>505</v>
      </c>
      <c r="B545" s="1" t="s">
        <v>520</v>
      </c>
      <c r="C545" s="1" t="str">
        <f>"IWF24JP"</f>
        <v>IWF24JP</v>
      </c>
      <c r="D545" s="1" t="str">
        <f>"IWF24JP"</f>
        <v>IWF24JP</v>
      </c>
      <c r="E545" s="1" t="s">
        <v>17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</row>
    <row r="546" spans="1:11" x14ac:dyDescent="0.2">
      <c r="A546" s="1" t="s">
        <v>505</v>
      </c>
      <c r="B546" s="1" t="s">
        <v>521</v>
      </c>
      <c r="C546" s="1" t="str">
        <f>"IX24JP"</f>
        <v>IX24JP</v>
      </c>
      <c r="D546" s="1" t="str">
        <f>"IX24JP"</f>
        <v>IX24JP</v>
      </c>
      <c r="E546" s="1" t="s">
        <v>17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</row>
    <row r="547" spans="1:11" x14ac:dyDescent="0.2">
      <c r="A547" s="1" t="s">
        <v>505</v>
      </c>
      <c r="B547" s="1" t="s">
        <v>522</v>
      </c>
      <c r="C547" s="1" t="str">
        <f>"IX24BJP"</f>
        <v>IX24BJP</v>
      </c>
      <c r="D547" s="1" t="str">
        <f>"IX24BJP"</f>
        <v>IX24BJP</v>
      </c>
      <c r="E547" s="1" t="s">
        <v>17</v>
      </c>
      <c r="F547" s="1">
        <v>11</v>
      </c>
      <c r="G547" s="1">
        <v>7299</v>
      </c>
      <c r="H547" s="1">
        <v>80289</v>
      </c>
      <c r="I547" s="1">
        <v>0</v>
      </c>
      <c r="J547" s="1">
        <v>11</v>
      </c>
      <c r="K547" s="1">
        <v>0</v>
      </c>
    </row>
    <row r="548" spans="1:11" x14ac:dyDescent="0.2">
      <c r="A548" s="1" t="s">
        <v>505</v>
      </c>
      <c r="B548" s="1" t="s">
        <v>523</v>
      </c>
      <c r="C548" s="1" t="str">
        <f>"IX27BJP"</f>
        <v>IX27BJP</v>
      </c>
      <c r="D548" s="1" t="str">
        <f>"IX27BJP"</f>
        <v>IX27BJP</v>
      </c>
      <c r="E548" s="1" t="s">
        <v>17</v>
      </c>
      <c r="F548" s="1">
        <v>6</v>
      </c>
      <c r="G548" s="1">
        <v>6778</v>
      </c>
      <c r="H548" s="1">
        <v>40668</v>
      </c>
      <c r="I548" s="1">
        <v>0</v>
      </c>
      <c r="J548" s="1">
        <v>6</v>
      </c>
      <c r="K548" s="1">
        <v>0</v>
      </c>
    </row>
    <row r="549" spans="1:11" x14ac:dyDescent="0.2">
      <c r="A549" s="1" t="s">
        <v>505</v>
      </c>
      <c r="B549" s="1" t="s">
        <v>524</v>
      </c>
      <c r="C549" s="1" t="str">
        <f>"IXU24JP"</f>
        <v>IXU24JP</v>
      </c>
      <c r="D549" s="1" t="str">
        <f>"IXU24JP"</f>
        <v>IXU24JP</v>
      </c>
      <c r="E549" s="1" t="s">
        <v>17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</row>
    <row r="550" spans="1:11" ht="30" x14ac:dyDescent="0.2">
      <c r="A550" s="1" t="s">
        <v>505</v>
      </c>
      <c r="B550" s="1" t="s">
        <v>525</v>
      </c>
      <c r="C550" s="1" t="str">
        <f>"66298801276854"</f>
        <v>66298801276854</v>
      </c>
      <c r="D550" s="1" t="str">
        <f>"IXU27JP"</f>
        <v>IXU27JP</v>
      </c>
      <c r="E550" s="1" t="s">
        <v>17</v>
      </c>
      <c r="F550" s="1">
        <v>1</v>
      </c>
      <c r="G550" s="1">
        <v>4118</v>
      </c>
      <c r="H550" s="1">
        <v>4118</v>
      </c>
      <c r="I550" s="1">
        <v>0</v>
      </c>
      <c r="J550" s="1">
        <v>1</v>
      </c>
      <c r="K550" s="1">
        <v>0</v>
      </c>
    </row>
    <row r="551" spans="1:11" x14ac:dyDescent="0.2">
      <c r="A551" s="1" t="s">
        <v>505</v>
      </c>
      <c r="B551" s="1" t="s">
        <v>526</v>
      </c>
      <c r="C551" s="1" t="str">
        <f>"U20EPR-9JP"</f>
        <v>U20EPR-9JP</v>
      </c>
      <c r="D551" s="1" t="str">
        <f>"U20EPR-9JP"</f>
        <v>U20EPR-9JP</v>
      </c>
      <c r="E551" s="1" t="s">
        <v>17</v>
      </c>
      <c r="F551" s="1">
        <v>13</v>
      </c>
      <c r="G551" s="1">
        <v>3905</v>
      </c>
      <c r="H551" s="1">
        <v>50765</v>
      </c>
      <c r="I551" s="1">
        <v>0</v>
      </c>
      <c r="J551" s="1">
        <v>13</v>
      </c>
      <c r="K551" s="1">
        <v>0</v>
      </c>
    </row>
    <row r="552" spans="1:11" x14ac:dyDescent="0.2">
      <c r="A552" s="1" t="s">
        <v>505</v>
      </c>
      <c r="B552" s="1" t="s">
        <v>527</v>
      </c>
      <c r="C552" s="1" t="str">
        <f>"U22FS-UJP"</f>
        <v>U22FS-UJP</v>
      </c>
      <c r="D552" s="1" t="str">
        <f>"U22FS-UJP"</f>
        <v>U22FS-UJP</v>
      </c>
      <c r="E552" s="1" t="s">
        <v>17</v>
      </c>
      <c r="F552" s="1">
        <v>2</v>
      </c>
      <c r="G552" s="1">
        <v>1776</v>
      </c>
      <c r="H552" s="1">
        <v>3552</v>
      </c>
      <c r="I552" s="1">
        <v>0</v>
      </c>
      <c r="J552" s="1">
        <v>2</v>
      </c>
      <c r="K552" s="1">
        <v>0</v>
      </c>
    </row>
    <row r="553" spans="1:11" x14ac:dyDescent="0.2">
      <c r="A553" s="1" t="s">
        <v>505</v>
      </c>
      <c r="B553" s="1" t="s">
        <v>528</v>
      </c>
      <c r="C553" s="1" t="str">
        <f>"66298801485728"</f>
        <v>66298801485728</v>
      </c>
      <c r="D553" s="1" t="str">
        <f>"U22FSR-UJP"</f>
        <v>U22FSR-UJP</v>
      </c>
      <c r="E553" s="1" t="s">
        <v>17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</row>
    <row r="554" spans="1:11" x14ac:dyDescent="0.2">
      <c r="A554" s="1" t="s">
        <v>505</v>
      </c>
      <c r="B554" s="1" t="s">
        <v>529</v>
      </c>
      <c r="C554" s="1" t="str">
        <f>"66298801531667"</f>
        <v>66298801531667</v>
      </c>
      <c r="D554" s="1" t="str">
        <f>"U24ES-NJP"</f>
        <v>U24ES-NJP</v>
      </c>
      <c r="E554" s="1" t="s">
        <v>17</v>
      </c>
      <c r="F554" s="1">
        <v>9</v>
      </c>
      <c r="G554" s="1">
        <v>2109</v>
      </c>
      <c r="H554" s="1">
        <v>18981</v>
      </c>
      <c r="I554" s="1">
        <v>0</v>
      </c>
      <c r="J554" s="1">
        <v>9</v>
      </c>
      <c r="K554" s="1">
        <v>0</v>
      </c>
    </row>
    <row r="555" spans="1:11" ht="30" x14ac:dyDescent="0.2">
      <c r="A555" s="1" t="s">
        <v>505</v>
      </c>
      <c r="B555" s="1" t="s">
        <v>530</v>
      </c>
      <c r="C555" s="1" t="str">
        <f>"U24FER-9JP"</f>
        <v>U24FER-9JP</v>
      </c>
      <c r="D555" s="1" t="str">
        <f>"U24FER-9JP"</f>
        <v>U24FER-9JP</v>
      </c>
      <c r="E555" s="1" t="s">
        <v>17</v>
      </c>
      <c r="F555" s="1">
        <v>24</v>
      </c>
      <c r="G555" s="1">
        <v>6214.75</v>
      </c>
      <c r="H555" s="1">
        <v>149154</v>
      </c>
      <c r="I555" s="1">
        <v>0</v>
      </c>
      <c r="J555" s="1">
        <v>24</v>
      </c>
      <c r="K555" s="1">
        <v>0</v>
      </c>
    </row>
    <row r="556" spans="1:11" x14ac:dyDescent="0.2">
      <c r="A556" s="1" t="s">
        <v>505</v>
      </c>
      <c r="B556" s="1" t="s">
        <v>531</v>
      </c>
      <c r="C556" s="1" t="str">
        <f>"66298801608746"</f>
        <v>66298801608746</v>
      </c>
      <c r="D556" s="1" t="str">
        <f>"U27ES-NJP"</f>
        <v>U27ES-NJP</v>
      </c>
      <c r="E556" s="1" t="s">
        <v>17</v>
      </c>
      <c r="F556" s="1">
        <v>6</v>
      </c>
      <c r="G556" s="1">
        <v>2374</v>
      </c>
      <c r="H556" s="1">
        <v>14244</v>
      </c>
      <c r="I556" s="1">
        <v>0</v>
      </c>
      <c r="J556" s="1">
        <v>6</v>
      </c>
      <c r="K556" s="1">
        <v>0</v>
      </c>
    </row>
    <row r="557" spans="1:11" x14ac:dyDescent="0.2">
      <c r="A557" s="1" t="s">
        <v>505</v>
      </c>
      <c r="B557" s="1" t="s">
        <v>532</v>
      </c>
      <c r="C557" s="1" t="str">
        <f>"66298801651527"</f>
        <v>66298801651527</v>
      </c>
      <c r="D557" s="1" t="str">
        <f>"U27ESR-NJP"</f>
        <v>U27ESR-NJP</v>
      </c>
      <c r="E557" s="1" t="s">
        <v>17</v>
      </c>
      <c r="F557" s="1">
        <v>9</v>
      </c>
      <c r="G557" s="1">
        <v>3382</v>
      </c>
      <c r="H557" s="1">
        <v>30438</v>
      </c>
      <c r="I557" s="1">
        <v>0</v>
      </c>
      <c r="J557" s="1">
        <v>9</v>
      </c>
      <c r="K557" s="1">
        <v>0</v>
      </c>
    </row>
    <row r="558" spans="1:11" x14ac:dyDescent="0.2">
      <c r="A558" s="1" t="s">
        <v>505</v>
      </c>
      <c r="B558" s="1" t="s">
        <v>533</v>
      </c>
      <c r="C558" s="1" t="str">
        <f>"66298801407141"</f>
        <v>66298801407141</v>
      </c>
      <c r="D558" s="1" t="str">
        <f>"U27FER-9JP"</f>
        <v>U27FER-9JP</v>
      </c>
      <c r="E558" s="1" t="s">
        <v>17</v>
      </c>
      <c r="F558" s="1">
        <v>5</v>
      </c>
      <c r="G558" s="1">
        <v>3292</v>
      </c>
      <c r="H558" s="1">
        <v>16460</v>
      </c>
      <c r="I558" s="1">
        <v>0</v>
      </c>
      <c r="J558" s="1">
        <v>5</v>
      </c>
      <c r="K558" s="1">
        <v>0</v>
      </c>
    </row>
    <row r="559" spans="1:11" x14ac:dyDescent="0.2">
      <c r="A559" s="1" t="s">
        <v>505</v>
      </c>
      <c r="B559" s="1" t="s">
        <v>534</v>
      </c>
      <c r="C559" s="1" t="str">
        <f>"66298801696820"</f>
        <v>66298801696820</v>
      </c>
      <c r="D559" s="1" t="str">
        <f>"U31ETRJP"</f>
        <v>U31ETRJP</v>
      </c>
      <c r="E559" s="1" t="s">
        <v>17</v>
      </c>
      <c r="F559" s="1">
        <v>2</v>
      </c>
      <c r="G559" s="1">
        <v>4542</v>
      </c>
      <c r="H559" s="1">
        <v>9084</v>
      </c>
      <c r="I559" s="1">
        <v>0</v>
      </c>
      <c r="J559" s="1">
        <v>2</v>
      </c>
      <c r="K559" s="1">
        <v>0</v>
      </c>
    </row>
    <row r="560" spans="1:11" x14ac:dyDescent="0.2">
      <c r="A560" s="1" t="s">
        <v>505</v>
      </c>
      <c r="B560" s="1" t="s">
        <v>535</v>
      </c>
      <c r="C560" s="1" t="str">
        <f>"W20M-UJP"</f>
        <v>W20M-UJP</v>
      </c>
      <c r="D560" s="1" t="str">
        <f>"W20M-UJP"</f>
        <v>W20M-UJP</v>
      </c>
      <c r="E560" s="1" t="s">
        <v>17</v>
      </c>
      <c r="F560" s="1">
        <v>10</v>
      </c>
      <c r="G560" s="1">
        <v>1637</v>
      </c>
      <c r="H560" s="1">
        <v>16370</v>
      </c>
      <c r="I560" s="1">
        <v>0</v>
      </c>
      <c r="J560" s="1">
        <v>10</v>
      </c>
      <c r="K560" s="1">
        <v>0</v>
      </c>
    </row>
    <row r="561" spans="1:11" x14ac:dyDescent="0.2">
      <c r="A561" s="1" t="s">
        <v>505</v>
      </c>
      <c r="B561" s="1" t="s">
        <v>536</v>
      </c>
      <c r="C561" s="1" t="str">
        <f>"W24ESR-UJP"</f>
        <v>W24ESR-UJP</v>
      </c>
      <c r="D561" s="1" t="str">
        <f>"W24ESR-UJP"</f>
        <v>W24ESR-UJP</v>
      </c>
      <c r="E561" s="1" t="s">
        <v>17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</row>
    <row r="562" spans="1:11" x14ac:dyDescent="0.2">
      <c r="A562" s="1" t="s">
        <v>505</v>
      </c>
      <c r="B562" s="1" t="s">
        <v>537</v>
      </c>
      <c r="C562" s="1" t="str">
        <f>"W24ESR-VJP"</f>
        <v>W24ESR-VJP</v>
      </c>
      <c r="D562" s="1" t="str">
        <f>"W24ESR-VJP"</f>
        <v>W24ESR-VJP</v>
      </c>
      <c r="E562" s="1" t="s">
        <v>17</v>
      </c>
      <c r="F562" s="1">
        <v>10</v>
      </c>
      <c r="G562" s="1">
        <v>1366</v>
      </c>
      <c r="H562" s="1">
        <v>13660</v>
      </c>
      <c r="I562" s="1">
        <v>0</v>
      </c>
      <c r="J562" s="1">
        <v>10</v>
      </c>
      <c r="K562" s="1">
        <v>0</v>
      </c>
    </row>
    <row r="563" spans="1:11" x14ac:dyDescent="0.2">
      <c r="A563" s="1" t="s">
        <v>505</v>
      </c>
      <c r="B563" s="1" t="s">
        <v>538</v>
      </c>
      <c r="C563" s="1" t="str">
        <f>"W24FS-UJP"</f>
        <v>W24FS-UJP</v>
      </c>
      <c r="D563" s="1" t="str">
        <f>"W24FS-UJP"</f>
        <v>W24FS-UJP</v>
      </c>
      <c r="E563" s="1" t="s">
        <v>17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</row>
    <row r="564" spans="1:11" x14ac:dyDescent="0.2">
      <c r="A564" s="1" t="s">
        <v>505</v>
      </c>
      <c r="B564" s="1" t="s">
        <v>539</v>
      </c>
      <c r="C564" s="1" t="str">
        <f>"X24EP-U9JP"</f>
        <v>X24EP-U9JP</v>
      </c>
      <c r="D564" s="1" t="str">
        <f>"X24EP-U9JP"</f>
        <v>X24EP-U9JP</v>
      </c>
      <c r="E564" s="1" t="s">
        <v>17</v>
      </c>
      <c r="F564" s="1">
        <v>34</v>
      </c>
      <c r="G564" s="1">
        <v>1088.18</v>
      </c>
      <c r="H564" s="1">
        <v>36998</v>
      </c>
      <c r="I564" s="1">
        <v>0</v>
      </c>
      <c r="J564" s="1">
        <v>34</v>
      </c>
      <c r="K564" s="1">
        <v>0</v>
      </c>
    </row>
    <row r="565" spans="1:11" x14ac:dyDescent="0.2">
      <c r="A565" s="1" t="s">
        <v>505</v>
      </c>
      <c r="B565" s="1" t="s">
        <v>540</v>
      </c>
      <c r="C565" s="1" t="str">
        <f>"66298801737741"</f>
        <v>66298801737741</v>
      </c>
      <c r="D565" s="1" t="str">
        <f>"X24EPR-U9JP"</f>
        <v>X24EPR-U9JP</v>
      </c>
      <c r="E565" s="1" t="s">
        <v>17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</row>
    <row r="566" spans="1:11" x14ac:dyDescent="0.2">
      <c r="A566" s="1" t="s">
        <v>505</v>
      </c>
      <c r="B566" s="1" t="s">
        <v>541</v>
      </c>
      <c r="C566" s="1" t="str">
        <f>"66298801824468"</f>
        <v>66298801824468</v>
      </c>
      <c r="D566" s="1" t="str">
        <f>"XU24EPR-UJP"</f>
        <v>XU24EPR-UJP</v>
      </c>
      <c r="E566" s="1" t="s">
        <v>17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</row>
    <row r="567" spans="1:11" x14ac:dyDescent="0.2">
      <c r="A567" s="1" t="s">
        <v>505</v>
      </c>
      <c r="B567" s="1" t="s">
        <v>542</v>
      </c>
      <c r="C567" s="1" t="str">
        <f>"66298801864920"</f>
        <v>66298801864920</v>
      </c>
      <c r="D567" s="1" t="str">
        <f>"CR9E-EK"</f>
        <v>CR9E-EK</v>
      </c>
      <c r="E567" s="1" t="s">
        <v>17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</row>
    <row r="568" spans="1:11" x14ac:dyDescent="0.2">
      <c r="A568" s="1" t="s">
        <v>505</v>
      </c>
      <c r="B568" s="1" t="s">
        <v>543</v>
      </c>
      <c r="C568" s="1" t="str">
        <f>"66298801905107"</f>
        <v>66298801905107</v>
      </c>
      <c r="D568" s="1" t="str">
        <f>"CR7EI-EK"</f>
        <v>CR7EI-EK</v>
      </c>
      <c r="E568" s="1" t="s">
        <v>17</v>
      </c>
      <c r="F568" s="1">
        <v>1</v>
      </c>
      <c r="G568" s="1">
        <v>2923</v>
      </c>
      <c r="H568" s="1">
        <v>2923</v>
      </c>
      <c r="I568" s="1">
        <v>0</v>
      </c>
      <c r="J568" s="1">
        <v>1</v>
      </c>
      <c r="K568" s="1">
        <v>0</v>
      </c>
    </row>
    <row r="569" spans="1:11" x14ac:dyDescent="0.2">
      <c r="A569" s="1" t="s">
        <v>505</v>
      </c>
      <c r="B569" s="1" t="s">
        <v>544</v>
      </c>
      <c r="C569" s="1" t="str">
        <f>"66298801945839"</f>
        <v>66298801945839</v>
      </c>
      <c r="D569" s="1" t="str">
        <f>"IUF22-EK"</f>
        <v>IUF22-EK</v>
      </c>
      <c r="E569" s="1" t="s">
        <v>17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</row>
    <row r="570" spans="1:11" x14ac:dyDescent="0.2">
      <c r="A570" s="1" t="s">
        <v>505</v>
      </c>
      <c r="B570" s="1" t="s">
        <v>545</v>
      </c>
      <c r="C570" s="1" t="str">
        <f>"66298801987355"</f>
        <v>66298801987355</v>
      </c>
      <c r="D570" s="1" t="str">
        <f>"B7HS-EK"</f>
        <v>B7HS-EK</v>
      </c>
      <c r="E570" s="1" t="s">
        <v>17</v>
      </c>
      <c r="F570" s="1">
        <v>3</v>
      </c>
      <c r="G570" s="1">
        <v>736</v>
      </c>
      <c r="H570" s="1">
        <v>2208</v>
      </c>
      <c r="I570" s="1">
        <v>0</v>
      </c>
      <c r="J570" s="1">
        <v>3</v>
      </c>
      <c r="K570" s="1">
        <v>0</v>
      </c>
    </row>
    <row r="571" spans="1:11" x14ac:dyDescent="0.2">
      <c r="A571" s="1" t="s">
        <v>505</v>
      </c>
      <c r="B571" s="1" t="s">
        <v>546</v>
      </c>
      <c r="C571" s="1" t="str">
        <f>"66298802033748"</f>
        <v>66298802033748</v>
      </c>
      <c r="D571" s="1" t="str">
        <f>"A7TC-EK"</f>
        <v>A7TC-EK</v>
      </c>
      <c r="E571" s="1" t="s">
        <v>17</v>
      </c>
      <c r="F571" s="1">
        <v>18</v>
      </c>
      <c r="G571" s="1">
        <v>785</v>
      </c>
      <c r="H571" s="1">
        <v>14130</v>
      </c>
      <c r="I571" s="1">
        <v>0</v>
      </c>
      <c r="J571" s="1">
        <v>18</v>
      </c>
      <c r="K571" s="1">
        <v>0</v>
      </c>
    </row>
    <row r="572" spans="1:11" x14ac:dyDescent="0.2">
      <c r="A572" s="1" t="s">
        <v>505</v>
      </c>
      <c r="B572" s="1" t="s">
        <v>547</v>
      </c>
      <c r="C572" s="1" t="str">
        <f>"66298802074846"</f>
        <v>66298802074846</v>
      </c>
      <c r="D572" s="1" t="str">
        <f>"CR7HSCN"</f>
        <v>CR7HSCN</v>
      </c>
      <c r="E572" s="1" t="s">
        <v>17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</row>
    <row r="573" spans="1:11" x14ac:dyDescent="0.2">
      <c r="A573" s="1" t="s">
        <v>505</v>
      </c>
      <c r="B573" s="1" t="s">
        <v>548</v>
      </c>
      <c r="C573" s="1" t="str">
        <f>"66298802120728"</f>
        <v>66298802120728</v>
      </c>
      <c r="D573" s="1" t="str">
        <f>"DPR8EA-9CN"</f>
        <v>DPR8EA-9CN</v>
      </c>
      <c r="E573" s="1" t="s">
        <v>17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</row>
    <row r="574" spans="1:11" x14ac:dyDescent="0.2">
      <c r="A574" s="1" t="s">
        <v>505</v>
      </c>
      <c r="B574" s="1" t="s">
        <v>549</v>
      </c>
      <c r="C574" s="1" t="str">
        <f>"66298802172961"</f>
        <v>66298802172961</v>
      </c>
      <c r="D574" s="1" t="str">
        <f>"IWF16-JP"</f>
        <v>IWF16-JP</v>
      </c>
      <c r="E574" s="1" t="s">
        <v>17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</row>
    <row r="575" spans="1:11" x14ac:dyDescent="0.2">
      <c r="A575" s="1" t="s">
        <v>505</v>
      </c>
      <c r="B575" s="1" t="s">
        <v>550</v>
      </c>
      <c r="C575" s="1" t="str">
        <f>"66298802217472"</f>
        <v>66298802217472</v>
      </c>
      <c r="D575" s="1" t="str">
        <f>"BPR8EIXJP"</f>
        <v>BPR8EIXJP</v>
      </c>
      <c r="E575" s="1" t="s">
        <v>17</v>
      </c>
      <c r="F575" s="1">
        <v>1</v>
      </c>
      <c r="G575" s="1">
        <v>5647</v>
      </c>
      <c r="H575" s="1">
        <v>5647</v>
      </c>
      <c r="I575" s="1">
        <v>0</v>
      </c>
      <c r="J575" s="1">
        <v>1</v>
      </c>
      <c r="K575" s="1">
        <v>0</v>
      </c>
    </row>
    <row r="576" spans="1:11" x14ac:dyDescent="0.2">
      <c r="A576" s="1" t="s">
        <v>505</v>
      </c>
      <c r="B576" s="1" t="s">
        <v>551</v>
      </c>
      <c r="C576" s="1" t="str">
        <f>"66298802262478"</f>
        <v>66298802262478</v>
      </c>
      <c r="D576" s="1" t="str">
        <f>"BR10EIX"</f>
        <v>BR10EIX</v>
      </c>
      <c r="E576" s="1" t="s">
        <v>17</v>
      </c>
      <c r="F576" s="1">
        <v>1</v>
      </c>
      <c r="G576" s="1">
        <v>5243</v>
      </c>
      <c r="H576" s="1">
        <v>5243</v>
      </c>
      <c r="I576" s="1">
        <v>0</v>
      </c>
      <c r="J576" s="1">
        <v>1</v>
      </c>
      <c r="K576" s="1">
        <v>0</v>
      </c>
    </row>
    <row r="577" spans="1:11" ht="30" x14ac:dyDescent="0.2">
      <c r="A577" s="1" t="s">
        <v>505</v>
      </c>
      <c r="B577" s="1" t="s">
        <v>552</v>
      </c>
      <c r="C577" s="1" t="str">
        <f>"IFR6G-11K"</f>
        <v>IFR6G-11K</v>
      </c>
      <c r="D577" s="1" t="str">
        <f>"IFR6G-11K"</f>
        <v>IFR6G-11K</v>
      </c>
      <c r="E577" s="1" t="s">
        <v>17</v>
      </c>
      <c r="F577" s="1">
        <v>2</v>
      </c>
      <c r="G577" s="1">
        <v>8165.97</v>
      </c>
      <c r="H577" s="1">
        <v>16332</v>
      </c>
      <c r="I577" s="1">
        <v>0</v>
      </c>
      <c r="J577" s="1">
        <v>2</v>
      </c>
      <c r="K577" s="1">
        <v>0</v>
      </c>
    </row>
    <row r="578" spans="1:11" x14ac:dyDescent="0.2">
      <c r="A578" s="1" t="s">
        <v>505</v>
      </c>
      <c r="B578" s="1" t="s">
        <v>553</v>
      </c>
      <c r="C578" s="1" t="str">
        <f>"66298802311964"</f>
        <v>66298802311964</v>
      </c>
      <c r="D578" s="1" t="str">
        <f>"IJR8B-9JP"</f>
        <v>IJR8B-9JP</v>
      </c>
      <c r="E578" s="1" t="s">
        <v>17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</row>
    <row r="579" spans="1:11" x14ac:dyDescent="0.2">
      <c r="A579" s="1" t="s">
        <v>505</v>
      </c>
      <c r="B579" s="1" t="s">
        <v>554</v>
      </c>
      <c r="C579" s="1" t="str">
        <f>"B8ESJP"</f>
        <v>B8ESJP</v>
      </c>
      <c r="D579" s="1" t="str">
        <f>"B8ESJP"</f>
        <v>B8ESJP</v>
      </c>
      <c r="E579" s="1" t="s">
        <v>17</v>
      </c>
      <c r="F579" s="1">
        <v>10</v>
      </c>
      <c r="G579" s="1">
        <v>1125</v>
      </c>
      <c r="H579" s="1">
        <v>11250</v>
      </c>
      <c r="I579" s="1">
        <v>0</v>
      </c>
      <c r="J579" s="1">
        <v>10</v>
      </c>
      <c r="K579" s="1">
        <v>0</v>
      </c>
    </row>
    <row r="580" spans="1:11" x14ac:dyDescent="0.2">
      <c r="A580" s="1" t="s">
        <v>505</v>
      </c>
      <c r="B580" s="1" t="s">
        <v>555</v>
      </c>
      <c r="C580" s="1" t="str">
        <f>"66298802354731"</f>
        <v>66298802354731</v>
      </c>
      <c r="D580" s="1" t="str">
        <f>"BPR6ESJP"</f>
        <v>BPR6ESJP</v>
      </c>
      <c r="E580" s="1" t="s">
        <v>17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</row>
    <row r="581" spans="1:11" x14ac:dyDescent="0.2">
      <c r="A581" s="1" t="s">
        <v>505</v>
      </c>
      <c r="B581" s="1" t="s">
        <v>556</v>
      </c>
      <c r="C581" s="1" t="str">
        <f>"66298802399039"</f>
        <v>66298802399039</v>
      </c>
      <c r="D581" s="1" t="str">
        <f>"BPR6ES-11BR"</f>
        <v>BPR6ES-11BR</v>
      </c>
      <c r="E581" s="1" t="s">
        <v>17</v>
      </c>
      <c r="F581" s="1">
        <v>1</v>
      </c>
      <c r="G581" s="1">
        <v>776</v>
      </c>
      <c r="H581" s="1">
        <v>776</v>
      </c>
      <c r="I581" s="1">
        <v>0</v>
      </c>
      <c r="J581" s="1">
        <v>1</v>
      </c>
      <c r="K581" s="1">
        <v>0</v>
      </c>
    </row>
    <row r="582" spans="1:11" x14ac:dyDescent="0.2">
      <c r="A582" s="1" t="s">
        <v>505</v>
      </c>
      <c r="B582" s="1" t="s">
        <v>557</v>
      </c>
      <c r="C582" s="1" t="str">
        <f>"C7HSBR"</f>
        <v>C7HSBR</v>
      </c>
      <c r="D582" s="1" t="str">
        <f>"C7HSBR"</f>
        <v>C7HSBR</v>
      </c>
      <c r="E582" s="1" t="s">
        <v>17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</row>
    <row r="583" spans="1:11" x14ac:dyDescent="0.2">
      <c r="A583" s="1" t="s">
        <v>505</v>
      </c>
      <c r="B583" s="1" t="s">
        <v>558</v>
      </c>
      <c r="C583" s="1" t="str">
        <f>"C7HSA-BR"</f>
        <v>C7HSA-BR</v>
      </c>
      <c r="D583" s="1" t="str">
        <f>"C7HSA-BR"</f>
        <v>C7HSA-BR</v>
      </c>
      <c r="E583" s="1" t="s">
        <v>17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</row>
    <row r="584" spans="1:11" x14ac:dyDescent="0.2">
      <c r="A584" s="1" t="s">
        <v>505</v>
      </c>
      <c r="B584" s="1" t="s">
        <v>559</v>
      </c>
      <c r="C584" s="1" t="str">
        <f>"CR6HS"</f>
        <v>CR6HS</v>
      </c>
      <c r="D584" s="1" t="str">
        <f>"CR6HS"</f>
        <v>CR6HS</v>
      </c>
      <c r="E584" s="1" t="s">
        <v>17</v>
      </c>
      <c r="F584" s="1">
        <v>1</v>
      </c>
      <c r="G584" s="1">
        <v>1247.06</v>
      </c>
      <c r="H584" s="1">
        <v>1247</v>
      </c>
      <c r="I584" s="1">
        <v>0</v>
      </c>
      <c r="J584" s="1">
        <v>1</v>
      </c>
      <c r="K584" s="1">
        <v>0</v>
      </c>
    </row>
    <row r="585" spans="1:11" x14ac:dyDescent="0.2">
      <c r="A585" s="1" t="s">
        <v>505</v>
      </c>
      <c r="B585" s="1" t="s">
        <v>560</v>
      </c>
      <c r="C585" s="1" t="str">
        <f>"66298802441205"</f>
        <v>66298802441205</v>
      </c>
      <c r="D585" s="1" t="str">
        <f>"CR7EH-9JP"</f>
        <v>CR7EH-9JP</v>
      </c>
      <c r="E585" s="1" t="s">
        <v>17</v>
      </c>
      <c r="F585" s="1">
        <v>1</v>
      </c>
      <c r="G585" s="1">
        <v>4090</v>
      </c>
      <c r="H585" s="1">
        <v>4090</v>
      </c>
      <c r="I585" s="1">
        <v>0</v>
      </c>
      <c r="J585" s="1">
        <v>1</v>
      </c>
      <c r="K585" s="1">
        <v>0</v>
      </c>
    </row>
    <row r="586" spans="1:11" x14ac:dyDescent="0.2">
      <c r="A586" s="1" t="s">
        <v>505</v>
      </c>
      <c r="B586" s="1" t="s">
        <v>561</v>
      </c>
      <c r="C586" s="1" t="str">
        <f>"CR8EJP"</f>
        <v>CR8EJP</v>
      </c>
      <c r="D586" s="1" t="str">
        <f>"CR8EJP"</f>
        <v>CR8EJP</v>
      </c>
      <c r="E586" s="1" t="s">
        <v>17</v>
      </c>
      <c r="F586" s="1">
        <v>7</v>
      </c>
      <c r="G586" s="1">
        <v>3997</v>
      </c>
      <c r="H586" s="1">
        <v>27979</v>
      </c>
      <c r="I586" s="1">
        <v>0</v>
      </c>
      <c r="J586" s="1">
        <v>7</v>
      </c>
      <c r="K586" s="1">
        <v>0</v>
      </c>
    </row>
    <row r="587" spans="1:11" x14ac:dyDescent="0.2">
      <c r="A587" s="1" t="s">
        <v>505</v>
      </c>
      <c r="B587" s="1" t="s">
        <v>562</v>
      </c>
      <c r="C587" s="1" t="str">
        <f>"CR9EJP"</f>
        <v>CR9EJP</v>
      </c>
      <c r="D587" s="1" t="str">
        <f>"CR9EJP"</f>
        <v>CR9EJP</v>
      </c>
      <c r="E587" s="1" t="s">
        <v>17</v>
      </c>
      <c r="F587" s="1">
        <v>9</v>
      </c>
      <c r="G587" s="1">
        <v>3997</v>
      </c>
      <c r="H587" s="1">
        <v>35973</v>
      </c>
      <c r="I587" s="1">
        <v>0</v>
      </c>
      <c r="J587" s="1">
        <v>9</v>
      </c>
      <c r="K587" s="1">
        <v>0</v>
      </c>
    </row>
    <row r="588" spans="1:11" x14ac:dyDescent="0.2">
      <c r="A588" s="1" t="s">
        <v>505</v>
      </c>
      <c r="B588" s="1" t="s">
        <v>563</v>
      </c>
      <c r="C588" s="1" t="str">
        <f>"D8EAJP"</f>
        <v>D8EAJP</v>
      </c>
      <c r="D588" s="1" t="str">
        <f>"D8EAJP"</f>
        <v>D8EAJP</v>
      </c>
      <c r="E588" s="1" t="s">
        <v>17</v>
      </c>
      <c r="F588" s="1">
        <v>2</v>
      </c>
      <c r="G588" s="1">
        <v>1125</v>
      </c>
      <c r="H588" s="1">
        <v>2250</v>
      </c>
      <c r="I588" s="1">
        <v>0</v>
      </c>
      <c r="J588" s="1">
        <v>2</v>
      </c>
      <c r="K588" s="1">
        <v>0</v>
      </c>
    </row>
    <row r="589" spans="1:11" x14ac:dyDescent="0.2">
      <c r="A589" s="1" t="s">
        <v>505</v>
      </c>
      <c r="B589" s="1" t="s">
        <v>564</v>
      </c>
      <c r="C589" s="1" t="str">
        <f>"66298802485220"</f>
        <v>66298802485220</v>
      </c>
      <c r="D589" s="1" t="str">
        <f>"DPR8EA-9BR"</f>
        <v>DPR8EA-9BR</v>
      </c>
      <c r="E589" s="1" t="s">
        <v>17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</row>
    <row r="590" spans="1:11" ht="30" x14ac:dyDescent="0.2">
      <c r="A590" s="1" t="s">
        <v>505</v>
      </c>
      <c r="B590" s="1" t="s">
        <v>565</v>
      </c>
      <c r="C590" s="1" t="str">
        <f>"LKAR8A-9"</f>
        <v>LKAR8A-9</v>
      </c>
      <c r="D590" s="1" t="str">
        <f>"LKAR8A-9"</f>
        <v>LKAR8A-9</v>
      </c>
      <c r="E590" s="1" t="s">
        <v>17</v>
      </c>
      <c r="F590" s="1">
        <v>4</v>
      </c>
      <c r="G590" s="1">
        <v>5147</v>
      </c>
      <c r="H590" s="1">
        <v>20588</v>
      </c>
      <c r="I590" s="1">
        <v>0</v>
      </c>
      <c r="J590" s="1">
        <v>4</v>
      </c>
      <c r="K590" s="1">
        <v>0</v>
      </c>
    </row>
    <row r="591" spans="1:11" x14ac:dyDescent="0.2">
      <c r="A591" s="1" t="s">
        <v>505</v>
      </c>
      <c r="B591" s="1" t="s">
        <v>566</v>
      </c>
      <c r="C591" s="1" t="str">
        <f>"66298802530482"</f>
        <v>66298802530482</v>
      </c>
      <c r="D591" s="1" t="str">
        <f>"CPR8EA-9EIX-VN"</f>
        <v>CPR8EA-9EIX-VN</v>
      </c>
      <c r="E591" s="1" t="s">
        <v>17</v>
      </c>
      <c r="F591" s="1">
        <v>28</v>
      </c>
      <c r="G591" s="1">
        <v>1666</v>
      </c>
      <c r="H591" s="1">
        <v>46648</v>
      </c>
      <c r="I591" s="1">
        <v>0</v>
      </c>
      <c r="J591" s="1">
        <v>28</v>
      </c>
      <c r="K591" s="1">
        <v>0</v>
      </c>
    </row>
    <row r="592" spans="1:11" x14ac:dyDescent="0.2">
      <c r="A592" s="1" t="s">
        <v>505</v>
      </c>
      <c r="B592" s="1" t="s">
        <v>567</v>
      </c>
      <c r="C592" s="1" t="str">
        <f>"66298802573508"</f>
        <v>66298802573508</v>
      </c>
      <c r="D592" s="1" t="str">
        <f>"CR8EH-9EIX-VN"</f>
        <v>CR8EH-9EIX-VN</v>
      </c>
      <c r="E592" s="1" t="s">
        <v>17</v>
      </c>
      <c r="F592" s="1">
        <v>86</v>
      </c>
      <c r="G592" s="1">
        <v>1625</v>
      </c>
      <c r="H592" s="1">
        <v>139750</v>
      </c>
      <c r="I592" s="1">
        <v>0</v>
      </c>
      <c r="J592" s="1">
        <v>86</v>
      </c>
      <c r="K592" s="1">
        <v>0</v>
      </c>
    </row>
    <row r="593" spans="1:11" x14ac:dyDescent="0.2">
      <c r="A593" s="1" t="s">
        <v>505</v>
      </c>
      <c r="B593" s="1" t="s">
        <v>568</v>
      </c>
      <c r="C593" s="1" t="str">
        <f>"66298802617007"</f>
        <v>66298802617007</v>
      </c>
      <c r="D593" s="1" t="str">
        <f>"DPR8EA-9EIX-VN"</f>
        <v>DPR8EA-9EIX-VN</v>
      </c>
      <c r="E593" s="1" t="s">
        <v>17</v>
      </c>
      <c r="F593" s="1">
        <v>35</v>
      </c>
      <c r="G593" s="1">
        <v>1624</v>
      </c>
      <c r="H593" s="1">
        <v>56840</v>
      </c>
      <c r="I593" s="1">
        <v>0</v>
      </c>
      <c r="J593" s="1">
        <v>35</v>
      </c>
      <c r="K593" s="1">
        <v>0</v>
      </c>
    </row>
    <row r="594" spans="1:11" x14ac:dyDescent="0.2">
      <c r="A594" s="1" t="s">
        <v>505</v>
      </c>
      <c r="B594" s="1" t="s">
        <v>569</v>
      </c>
      <c r="C594" s="1" t="str">
        <f>"66298802661000"</f>
        <v>66298802661000</v>
      </c>
      <c r="D594" s="1" t="str">
        <f>"C7HSVN"</f>
        <v>C7HSVN</v>
      </c>
      <c r="E594" s="1" t="s">
        <v>17</v>
      </c>
      <c r="F594" s="1">
        <v>23</v>
      </c>
      <c r="G594" s="1">
        <v>316</v>
      </c>
      <c r="H594" s="1">
        <v>7268</v>
      </c>
      <c r="I594" s="1">
        <v>0</v>
      </c>
      <c r="J594" s="1">
        <v>23</v>
      </c>
      <c r="K594" s="1">
        <v>0</v>
      </c>
    </row>
    <row r="595" spans="1:11" x14ac:dyDescent="0.2">
      <c r="A595" s="1" t="s">
        <v>505</v>
      </c>
      <c r="B595" s="1" t="s">
        <v>570</v>
      </c>
      <c r="C595" s="1" t="str">
        <f>"66298802707892"</f>
        <v>66298802707892</v>
      </c>
      <c r="D595" s="1" t="str">
        <f>"CR8EVN"</f>
        <v>CR8EVN</v>
      </c>
      <c r="E595" s="1" t="s">
        <v>17</v>
      </c>
      <c r="F595" s="1">
        <v>44</v>
      </c>
      <c r="G595" s="1">
        <v>508</v>
      </c>
      <c r="H595" s="1">
        <v>22352</v>
      </c>
      <c r="I595" s="1">
        <v>0</v>
      </c>
      <c r="J595" s="1">
        <v>44</v>
      </c>
      <c r="K595" s="1">
        <v>0</v>
      </c>
    </row>
    <row r="596" spans="1:11" x14ac:dyDescent="0.2">
      <c r="A596" s="1" t="s">
        <v>505</v>
      </c>
      <c r="B596" s="1" t="s">
        <v>571</v>
      </c>
      <c r="C596" s="1" t="str">
        <f>"66298802748152"</f>
        <v>66298802748152</v>
      </c>
      <c r="D596" s="1" t="str">
        <f>"D8EAVN"</f>
        <v>D8EAVN</v>
      </c>
      <c r="E596" s="1" t="s">
        <v>17</v>
      </c>
      <c r="F596" s="1">
        <v>51</v>
      </c>
      <c r="G596" s="1">
        <v>348</v>
      </c>
      <c r="H596" s="1">
        <v>17748</v>
      </c>
      <c r="I596" s="1">
        <v>0</v>
      </c>
      <c r="J596" s="1">
        <v>51</v>
      </c>
      <c r="K596" s="1">
        <v>0</v>
      </c>
    </row>
    <row r="597" spans="1:11" x14ac:dyDescent="0.2">
      <c r="A597" s="1" t="s">
        <v>572</v>
      </c>
      <c r="B597" s="1" t="s">
        <v>573</v>
      </c>
      <c r="C597" s="1" t="str">
        <f>"66298802786849"</f>
        <v>66298802786849</v>
      </c>
      <c r="D597" s="1" t="str">
        <f>"DM-B-00004"</f>
        <v>DM-B-00004</v>
      </c>
      <c r="E597" s="1" t="s">
        <v>17</v>
      </c>
      <c r="F597" s="1">
        <v>3</v>
      </c>
      <c r="G597" s="1">
        <v>2861</v>
      </c>
      <c r="H597" s="1">
        <v>8583</v>
      </c>
      <c r="I597" s="1">
        <v>0</v>
      </c>
      <c r="J597" s="1">
        <v>3</v>
      </c>
      <c r="K597" s="1">
        <v>0</v>
      </c>
    </row>
    <row r="598" spans="1:11" x14ac:dyDescent="0.2">
      <c r="A598" s="1" t="s">
        <v>574</v>
      </c>
      <c r="B598" s="1" t="s">
        <v>575</v>
      </c>
      <c r="C598" s="1" t="str">
        <f>"66298802829474"</f>
        <v>66298802829474</v>
      </c>
      <c r="D598" s="1" t="str">
        <f>"VA004"</f>
        <v>VA004</v>
      </c>
      <c r="E598" s="1" t="s">
        <v>17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</row>
    <row r="599" spans="1:11" x14ac:dyDescent="0.2">
      <c r="A599" s="1" t="s">
        <v>574</v>
      </c>
      <c r="B599" s="1" t="s">
        <v>576</v>
      </c>
      <c r="C599" s="1" t="str">
        <f>"66298802872553"</f>
        <v>66298802872553</v>
      </c>
      <c r="D599" s="1" t="str">
        <f>"VA008"</f>
        <v>VA008</v>
      </c>
      <c r="E599" s="1" t="s">
        <v>17</v>
      </c>
      <c r="F599" s="1">
        <v>3</v>
      </c>
      <c r="G599" s="1">
        <v>6454</v>
      </c>
      <c r="H599" s="1">
        <v>19362</v>
      </c>
      <c r="I599" s="1">
        <v>0</v>
      </c>
      <c r="J599" s="1">
        <v>3</v>
      </c>
      <c r="K599" s="1">
        <v>0</v>
      </c>
    </row>
    <row r="600" spans="1:11" x14ac:dyDescent="0.2">
      <c r="A600" s="1" t="s">
        <v>574</v>
      </c>
      <c r="B600" s="1" t="s">
        <v>576</v>
      </c>
      <c r="C600" s="1" t="str">
        <f>"66298802914895"</f>
        <v>66298802914895</v>
      </c>
      <c r="D600" s="1" t="str">
        <f>"VA019"</f>
        <v>VA019</v>
      </c>
      <c r="E600" s="1" t="s">
        <v>17</v>
      </c>
      <c r="F600" s="1">
        <v>4</v>
      </c>
      <c r="G600" s="1">
        <v>7509</v>
      </c>
      <c r="H600" s="1">
        <v>30036</v>
      </c>
      <c r="I600" s="1">
        <v>0</v>
      </c>
      <c r="J600" s="1">
        <v>4</v>
      </c>
      <c r="K600" s="1">
        <v>0</v>
      </c>
    </row>
    <row r="601" spans="1:11" x14ac:dyDescent="0.2">
      <c r="A601" s="1" t="s">
        <v>574</v>
      </c>
      <c r="B601" s="1" t="s">
        <v>577</v>
      </c>
      <c r="C601" s="1" t="str">
        <f>"VA040"</f>
        <v>VA040</v>
      </c>
      <c r="D601" s="1" t="str">
        <f>"VA040"</f>
        <v>VA040</v>
      </c>
      <c r="E601" s="1" t="s">
        <v>17</v>
      </c>
      <c r="F601" s="1">
        <v>1</v>
      </c>
      <c r="G601" s="1">
        <v>8990.7800000000007</v>
      </c>
      <c r="H601" s="1">
        <v>8991</v>
      </c>
      <c r="I601" s="1">
        <v>0</v>
      </c>
      <c r="J601" s="1">
        <v>1</v>
      </c>
      <c r="K601" s="1">
        <v>0</v>
      </c>
    </row>
    <row r="602" spans="1:11" ht="30" x14ac:dyDescent="0.2">
      <c r="A602" s="1" t="s">
        <v>574</v>
      </c>
      <c r="B602" s="1" t="s">
        <v>578</v>
      </c>
      <c r="C602" s="1" t="str">
        <f>"66298802954882"</f>
        <v>66298802954882</v>
      </c>
      <c r="D602" s="1" t="str">
        <f>"30410-KSP-911HB"</f>
        <v>30410-KSP-911HB</v>
      </c>
      <c r="E602" s="1" t="s">
        <v>17</v>
      </c>
      <c r="F602" s="1">
        <v>5</v>
      </c>
      <c r="G602" s="1">
        <v>14592</v>
      </c>
      <c r="H602" s="1">
        <v>72960</v>
      </c>
      <c r="I602" s="1">
        <v>0</v>
      </c>
      <c r="J602" s="1">
        <v>5</v>
      </c>
      <c r="K602" s="1">
        <v>0</v>
      </c>
    </row>
    <row r="603" spans="1:11" x14ac:dyDescent="0.2">
      <c r="A603" s="1" t="s">
        <v>574</v>
      </c>
      <c r="B603" s="1" t="s">
        <v>579</v>
      </c>
      <c r="C603" s="1" t="str">
        <f>"66298802996722"</f>
        <v>66298802996722</v>
      </c>
      <c r="D603" s="1" t="str">
        <f>"83163"</f>
        <v>83163</v>
      </c>
      <c r="E603" s="1" t="s">
        <v>17</v>
      </c>
      <c r="F603" s="1">
        <v>2</v>
      </c>
      <c r="G603" s="1">
        <v>8611</v>
      </c>
      <c r="H603" s="1">
        <v>17222</v>
      </c>
      <c r="I603" s="1">
        <v>0</v>
      </c>
      <c r="J603" s="1">
        <v>2</v>
      </c>
      <c r="K603" s="1">
        <v>0</v>
      </c>
    </row>
    <row r="604" spans="1:11" x14ac:dyDescent="0.2">
      <c r="A604" s="1" t="s">
        <v>574</v>
      </c>
      <c r="B604" s="1" t="s">
        <v>580</v>
      </c>
      <c r="C604" s="1" t="str">
        <f>"66298803039279"</f>
        <v>66298803039279</v>
      </c>
      <c r="D604" s="1" t="str">
        <f>"V027"</f>
        <v>V027</v>
      </c>
      <c r="E604" s="1" t="s">
        <v>17</v>
      </c>
      <c r="F604" s="1">
        <v>2</v>
      </c>
      <c r="G604" s="1">
        <v>7217</v>
      </c>
      <c r="H604" s="1">
        <v>14434</v>
      </c>
      <c r="I604" s="1">
        <v>0</v>
      </c>
      <c r="J604" s="1">
        <v>2</v>
      </c>
      <c r="K604" s="1">
        <v>0</v>
      </c>
    </row>
    <row r="605" spans="1:11" x14ac:dyDescent="0.2">
      <c r="A605" s="1" t="s">
        <v>574</v>
      </c>
      <c r="B605" s="1" t="s">
        <v>580</v>
      </c>
      <c r="C605" s="1" t="str">
        <f>"66298803045585"</f>
        <v>66298803045585</v>
      </c>
      <c r="D605" s="1" t="str">
        <f>"VA016"</f>
        <v>VA016</v>
      </c>
      <c r="E605" s="1" t="s">
        <v>17</v>
      </c>
      <c r="F605" s="1">
        <v>3</v>
      </c>
      <c r="G605" s="1">
        <v>8584</v>
      </c>
      <c r="H605" s="1">
        <v>25752</v>
      </c>
      <c r="I605" s="1">
        <v>0</v>
      </c>
      <c r="J605" s="1">
        <v>3</v>
      </c>
      <c r="K605" s="1">
        <v>0</v>
      </c>
    </row>
    <row r="606" spans="1:11" x14ac:dyDescent="0.2">
      <c r="A606" s="1" t="s">
        <v>574</v>
      </c>
      <c r="B606" s="1" t="s">
        <v>581</v>
      </c>
      <c r="C606" s="1" t="str">
        <f>"F34"</f>
        <v>F34</v>
      </c>
      <c r="D606" s="1" t="str">
        <f>"F34"</f>
        <v>F34</v>
      </c>
      <c r="E606" s="1" t="s">
        <v>17</v>
      </c>
      <c r="F606" s="1">
        <v>1</v>
      </c>
      <c r="G606" s="1">
        <v>4230</v>
      </c>
      <c r="H606" s="1">
        <v>4230</v>
      </c>
      <c r="I606" s="1">
        <v>0</v>
      </c>
      <c r="J606" s="1">
        <v>1</v>
      </c>
      <c r="K606" s="1">
        <v>0</v>
      </c>
    </row>
    <row r="607" spans="1:11" x14ac:dyDescent="0.2">
      <c r="A607" s="1" t="s">
        <v>574</v>
      </c>
      <c r="B607" s="1" t="s">
        <v>581</v>
      </c>
      <c r="C607" s="1" t="str">
        <f>"F35"</f>
        <v>F35</v>
      </c>
      <c r="D607" s="1" t="str">
        <f>"F35"</f>
        <v>F35</v>
      </c>
      <c r="E607" s="1" t="s">
        <v>17</v>
      </c>
      <c r="F607" s="1">
        <v>1</v>
      </c>
      <c r="G607" s="1">
        <v>4230</v>
      </c>
      <c r="H607" s="1">
        <v>4230</v>
      </c>
      <c r="I607" s="1">
        <v>0</v>
      </c>
      <c r="J607" s="1">
        <v>1</v>
      </c>
      <c r="K607" s="1">
        <v>0</v>
      </c>
    </row>
    <row r="608" spans="1:11" x14ac:dyDescent="0.2">
      <c r="A608" s="1" t="s">
        <v>574</v>
      </c>
      <c r="B608" s="1" t="s">
        <v>582</v>
      </c>
      <c r="C608" s="1" t="str">
        <f>"66298803186450"</f>
        <v>66298803186450</v>
      </c>
      <c r="D608" s="1" t="str">
        <f>"M067"</f>
        <v>M067</v>
      </c>
      <c r="E608" s="1" t="s">
        <v>17</v>
      </c>
      <c r="F608" s="1">
        <v>1</v>
      </c>
      <c r="G608" s="1">
        <v>2120</v>
      </c>
      <c r="H608" s="1">
        <v>2120</v>
      </c>
      <c r="I608" s="1">
        <v>0</v>
      </c>
      <c r="J608" s="1">
        <v>1</v>
      </c>
      <c r="K608" s="1">
        <v>0</v>
      </c>
    </row>
    <row r="609" spans="1:11" x14ac:dyDescent="0.2">
      <c r="A609" s="1" t="s">
        <v>574</v>
      </c>
      <c r="B609" s="1" t="s">
        <v>583</v>
      </c>
      <c r="C609" s="1" t="str">
        <f>"66298803108320"</f>
        <v>66298803108320</v>
      </c>
      <c r="D609" s="1" t="str">
        <f>"80782"</f>
        <v>80782</v>
      </c>
      <c r="E609" s="1" t="s">
        <v>17</v>
      </c>
      <c r="F609" s="1">
        <v>1</v>
      </c>
      <c r="G609" s="1">
        <v>2582</v>
      </c>
      <c r="H609" s="1">
        <v>2582</v>
      </c>
      <c r="I609" s="1">
        <v>0</v>
      </c>
      <c r="J609" s="1">
        <v>1</v>
      </c>
      <c r="K609" s="1">
        <v>0</v>
      </c>
    </row>
    <row r="610" spans="1:11" x14ac:dyDescent="0.2">
      <c r="A610" s="1" t="s">
        <v>574</v>
      </c>
      <c r="B610" s="1" t="s">
        <v>583</v>
      </c>
      <c r="C610" s="1" t="str">
        <f>"66298803113014"</f>
        <v>66298803113014</v>
      </c>
      <c r="D610" s="1" t="str">
        <f>"DM-C-00039"</f>
        <v>DM-C-00039</v>
      </c>
      <c r="E610" s="1" t="s">
        <v>17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</row>
    <row r="611" spans="1:11" x14ac:dyDescent="0.2">
      <c r="A611" s="1" t="s">
        <v>574</v>
      </c>
      <c r="B611" s="1" t="s">
        <v>583</v>
      </c>
      <c r="C611" s="1" t="str">
        <f>"66298803118491"</f>
        <v>66298803118491</v>
      </c>
      <c r="D611" s="1" t="str">
        <f>"VA013"</f>
        <v>VA013</v>
      </c>
      <c r="E611" s="1" t="s">
        <v>17</v>
      </c>
      <c r="F611" s="1">
        <v>9</v>
      </c>
      <c r="G611" s="1">
        <v>2569.33</v>
      </c>
      <c r="H611" s="1">
        <v>23124</v>
      </c>
      <c r="I611" s="1">
        <v>0</v>
      </c>
      <c r="J611" s="1">
        <v>9</v>
      </c>
      <c r="K611" s="1">
        <v>0</v>
      </c>
    </row>
    <row r="612" spans="1:11" x14ac:dyDescent="0.2">
      <c r="A612" s="1" t="s">
        <v>574</v>
      </c>
      <c r="B612" s="1" t="s">
        <v>584</v>
      </c>
      <c r="C612" s="1" t="str">
        <f>"81092"</f>
        <v>81092</v>
      </c>
      <c r="D612" s="1" t="str">
        <f>"81092"</f>
        <v>81092</v>
      </c>
      <c r="E612" s="1" t="s">
        <v>17</v>
      </c>
      <c r="F612" s="1">
        <v>4</v>
      </c>
      <c r="G612" s="1">
        <v>4000</v>
      </c>
      <c r="H612" s="1">
        <v>16000</v>
      </c>
      <c r="I612" s="1">
        <v>0</v>
      </c>
      <c r="J612" s="1">
        <v>4</v>
      </c>
      <c r="K612" s="1">
        <v>0</v>
      </c>
    </row>
    <row r="613" spans="1:11" x14ac:dyDescent="0.2">
      <c r="A613" s="1" t="s">
        <v>574</v>
      </c>
      <c r="B613" s="1" t="s">
        <v>585</v>
      </c>
      <c r="C613" s="1" t="str">
        <f>"66298803264171"</f>
        <v>66298803264171</v>
      </c>
      <c r="D613" s="1" t="str">
        <f>"401054"</f>
        <v>401054</v>
      </c>
      <c r="E613" s="1" t="s">
        <v>17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</row>
    <row r="614" spans="1:11" x14ac:dyDescent="0.2">
      <c r="A614" s="1" t="s">
        <v>574</v>
      </c>
      <c r="B614" s="1" t="s">
        <v>586</v>
      </c>
      <c r="C614" s="1" t="str">
        <f>"66298803303011"</f>
        <v>66298803303011</v>
      </c>
      <c r="D614" s="1" t="str">
        <f>"80781"</f>
        <v>80781</v>
      </c>
      <c r="E614" s="1" t="s">
        <v>17</v>
      </c>
      <c r="F614" s="1">
        <v>7</v>
      </c>
      <c r="G614" s="1">
        <v>2582</v>
      </c>
      <c r="H614" s="1">
        <v>18074</v>
      </c>
      <c r="I614" s="1">
        <v>0</v>
      </c>
      <c r="J614" s="1">
        <v>7</v>
      </c>
      <c r="K614" s="1">
        <v>0</v>
      </c>
    </row>
    <row r="615" spans="1:11" x14ac:dyDescent="0.2">
      <c r="A615" s="1" t="s">
        <v>574</v>
      </c>
      <c r="B615" s="1" t="s">
        <v>587</v>
      </c>
      <c r="C615" s="1" t="str">
        <f>"VA002"</f>
        <v>VA002</v>
      </c>
      <c r="D615" s="1" t="str">
        <f>"VA002"</f>
        <v>VA002</v>
      </c>
      <c r="E615" s="1" t="s">
        <v>17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</row>
    <row r="616" spans="1:11" x14ac:dyDescent="0.2">
      <c r="A616" s="1" t="s">
        <v>574</v>
      </c>
      <c r="B616" s="1" t="s">
        <v>588</v>
      </c>
      <c r="C616" s="1" t="str">
        <f>"66298803344101"</f>
        <v>66298803344101</v>
      </c>
      <c r="D616" s="1" t="str">
        <f>"VA018"</f>
        <v>VA018</v>
      </c>
      <c r="E616" s="1" t="s">
        <v>17</v>
      </c>
      <c r="F616" s="1">
        <v>4</v>
      </c>
      <c r="G616" s="1">
        <v>8277</v>
      </c>
      <c r="H616" s="1">
        <v>33108</v>
      </c>
      <c r="I616" s="1">
        <v>0</v>
      </c>
      <c r="J616" s="1">
        <v>4</v>
      </c>
      <c r="K616" s="1">
        <v>0</v>
      </c>
    </row>
    <row r="617" spans="1:11" x14ac:dyDescent="0.2">
      <c r="A617" s="1" t="s">
        <v>574</v>
      </c>
      <c r="B617" s="1" t="s">
        <v>589</v>
      </c>
      <c r="C617" s="1" t="str">
        <f>"66298803394235"</f>
        <v>66298803394235</v>
      </c>
      <c r="D617" s="1" t="str">
        <f>"21C-H5540-00HB"</f>
        <v>21C-H5540-00HB</v>
      </c>
      <c r="E617" s="1" t="s">
        <v>17</v>
      </c>
      <c r="F617" s="1">
        <v>1</v>
      </c>
      <c r="G617" s="1">
        <v>22748</v>
      </c>
      <c r="H617" s="1">
        <v>22748</v>
      </c>
      <c r="I617" s="1">
        <v>0</v>
      </c>
      <c r="J617" s="1">
        <v>1</v>
      </c>
      <c r="K617" s="1">
        <v>0</v>
      </c>
    </row>
    <row r="618" spans="1:11" x14ac:dyDescent="0.2">
      <c r="A618" s="1" t="s">
        <v>574</v>
      </c>
      <c r="B618" s="1" t="s">
        <v>589</v>
      </c>
      <c r="C618" s="1" t="str">
        <f>"VA014"</f>
        <v>VA014</v>
      </c>
      <c r="D618" s="1" t="str">
        <f>"VA014"</f>
        <v>VA014</v>
      </c>
      <c r="E618" s="1" t="s">
        <v>17</v>
      </c>
      <c r="F618" s="1">
        <v>3</v>
      </c>
      <c r="G618" s="1">
        <v>7002</v>
      </c>
      <c r="H618" s="1">
        <v>21006</v>
      </c>
      <c r="I618" s="1">
        <v>0</v>
      </c>
      <c r="J618" s="1">
        <v>3</v>
      </c>
      <c r="K618" s="1">
        <v>0</v>
      </c>
    </row>
    <row r="619" spans="1:11" x14ac:dyDescent="0.2">
      <c r="A619" s="1" t="s">
        <v>574</v>
      </c>
      <c r="B619" s="1" t="s">
        <v>589</v>
      </c>
      <c r="C619" s="1" t="str">
        <f>"CDI-FZ16"</f>
        <v>CDI-FZ16</v>
      </c>
      <c r="D619" s="1" t="str">
        <f>"CDI-FZ16"</f>
        <v>CDI-FZ16</v>
      </c>
      <c r="E619" s="1" t="s">
        <v>17</v>
      </c>
      <c r="F619" s="1">
        <v>2</v>
      </c>
      <c r="G619" s="1">
        <v>5988.33</v>
      </c>
      <c r="H619" s="1">
        <v>11977</v>
      </c>
      <c r="I619" s="1">
        <v>0</v>
      </c>
      <c r="J619" s="1">
        <v>2</v>
      </c>
      <c r="K619" s="1">
        <v>0</v>
      </c>
    </row>
    <row r="620" spans="1:11" x14ac:dyDescent="0.2">
      <c r="A620" s="1" t="s">
        <v>574</v>
      </c>
      <c r="B620" s="1" t="s">
        <v>590</v>
      </c>
      <c r="C620" s="1" t="str">
        <f>"66298803437005"</f>
        <v>66298803437005</v>
      </c>
      <c r="D620" s="1" t="str">
        <f>"B77-H591A-00"</f>
        <v>B77-H591A-00</v>
      </c>
      <c r="E620" s="1" t="s">
        <v>17</v>
      </c>
      <c r="F620" s="1">
        <v>1</v>
      </c>
      <c r="G620" s="1">
        <v>104945</v>
      </c>
      <c r="H620" s="1">
        <v>104945</v>
      </c>
      <c r="I620" s="1">
        <v>0</v>
      </c>
      <c r="J620" s="1">
        <v>1</v>
      </c>
      <c r="K620" s="1">
        <v>0</v>
      </c>
    </row>
    <row r="621" spans="1:11" x14ac:dyDescent="0.2">
      <c r="A621" s="1" t="s">
        <v>574</v>
      </c>
      <c r="B621" s="1" t="s">
        <v>591</v>
      </c>
      <c r="C621" s="1" t="str">
        <f>"66298803478068"</f>
        <v>66298803478068</v>
      </c>
      <c r="D621" s="1" t="str">
        <f>"VA017"</f>
        <v>VA017</v>
      </c>
      <c r="E621" s="1" t="s">
        <v>17</v>
      </c>
      <c r="F621" s="1">
        <v>1</v>
      </c>
      <c r="G621" s="1">
        <v>4464</v>
      </c>
      <c r="H621" s="1">
        <v>4464</v>
      </c>
      <c r="I621" s="1">
        <v>0</v>
      </c>
      <c r="J621" s="1">
        <v>1</v>
      </c>
      <c r="K621" s="1">
        <v>0</v>
      </c>
    </row>
    <row r="622" spans="1:11" x14ac:dyDescent="0.2">
      <c r="A622" s="1" t="s">
        <v>574</v>
      </c>
      <c r="B622" s="1" t="s">
        <v>592</v>
      </c>
      <c r="C622" s="1" t="str">
        <f>"66298803518064"</f>
        <v>66298803518064</v>
      </c>
      <c r="D622" s="1" t="str">
        <f>"VA023"</f>
        <v>VA023</v>
      </c>
      <c r="E622" s="1" t="s">
        <v>17</v>
      </c>
      <c r="F622" s="1">
        <v>3</v>
      </c>
      <c r="G622" s="1">
        <v>7018</v>
      </c>
      <c r="H622" s="1">
        <v>21054</v>
      </c>
      <c r="I622" s="1">
        <v>0</v>
      </c>
      <c r="J622" s="1">
        <v>3</v>
      </c>
      <c r="K622" s="1">
        <v>0</v>
      </c>
    </row>
    <row r="623" spans="1:11" x14ac:dyDescent="0.2">
      <c r="A623" s="1" t="s">
        <v>574</v>
      </c>
      <c r="B623" s="1" t="s">
        <v>593</v>
      </c>
      <c r="C623" s="1" t="str">
        <f>"66298803559321"</f>
        <v>66298803559321</v>
      </c>
      <c r="D623" s="1" t="str">
        <f>"VA020"</f>
        <v>VA020</v>
      </c>
      <c r="E623" s="1" t="s">
        <v>17</v>
      </c>
      <c r="F623" s="1">
        <v>1</v>
      </c>
      <c r="G623" s="1">
        <v>6696</v>
      </c>
      <c r="H623" s="1">
        <v>6696</v>
      </c>
      <c r="I623" s="1">
        <v>0</v>
      </c>
      <c r="J623" s="1">
        <v>1</v>
      </c>
      <c r="K623" s="1">
        <v>0</v>
      </c>
    </row>
    <row r="624" spans="1:11" x14ac:dyDescent="0.2">
      <c r="A624" s="1" t="s">
        <v>574</v>
      </c>
      <c r="B624" s="1" t="s">
        <v>594</v>
      </c>
      <c r="C624" s="1" t="str">
        <f>"66298803599467"</f>
        <v>66298803599467</v>
      </c>
      <c r="D624" s="1" t="str">
        <f>"32900H2C000H000"</f>
        <v>32900H2C000H000</v>
      </c>
      <c r="E624" s="1" t="s">
        <v>17</v>
      </c>
      <c r="F624" s="1">
        <v>1</v>
      </c>
      <c r="G624" s="1">
        <v>14709</v>
      </c>
      <c r="H624" s="1">
        <v>14709</v>
      </c>
      <c r="I624" s="1">
        <v>0</v>
      </c>
      <c r="J624" s="1">
        <v>1</v>
      </c>
      <c r="K624" s="1">
        <v>0</v>
      </c>
    </row>
    <row r="625" spans="1:11" x14ac:dyDescent="0.2">
      <c r="A625" s="1" t="s">
        <v>574</v>
      </c>
      <c r="B625" s="1" t="s">
        <v>595</v>
      </c>
      <c r="C625" s="1" t="str">
        <f>"66298803640520"</f>
        <v>66298803640520</v>
      </c>
      <c r="D625" s="1" t="str">
        <f>"32900H40000H000"</f>
        <v>32900H40000H000</v>
      </c>
      <c r="E625" s="1" t="s">
        <v>17</v>
      </c>
      <c r="F625" s="1">
        <v>2</v>
      </c>
      <c r="G625" s="1">
        <v>22580</v>
      </c>
      <c r="H625" s="1">
        <v>45160</v>
      </c>
      <c r="I625" s="1">
        <v>0</v>
      </c>
      <c r="J625" s="1">
        <v>2</v>
      </c>
      <c r="K625" s="1">
        <v>0</v>
      </c>
    </row>
    <row r="626" spans="1:11" x14ac:dyDescent="0.2">
      <c r="A626" s="1" t="s">
        <v>574</v>
      </c>
      <c r="B626" s="1" t="s">
        <v>596</v>
      </c>
      <c r="C626" s="1" t="str">
        <f>"66298803683575"</f>
        <v>66298803683575</v>
      </c>
      <c r="D626" s="1" t="str">
        <f>"83179"</f>
        <v>83179</v>
      </c>
      <c r="E626" s="1" t="s">
        <v>17</v>
      </c>
      <c r="F626" s="1">
        <v>1</v>
      </c>
      <c r="G626" s="1">
        <v>8969</v>
      </c>
      <c r="H626" s="1">
        <v>8969</v>
      </c>
      <c r="I626" s="1">
        <v>0</v>
      </c>
      <c r="J626" s="1">
        <v>1</v>
      </c>
      <c r="K626" s="1">
        <v>0</v>
      </c>
    </row>
    <row r="627" spans="1:11" x14ac:dyDescent="0.2">
      <c r="A627" s="1" t="s">
        <v>574</v>
      </c>
      <c r="B627" s="1" t="s">
        <v>596</v>
      </c>
      <c r="C627" s="1" t="str">
        <f>"66298803691138"</f>
        <v>66298803691138</v>
      </c>
      <c r="D627" s="1" t="str">
        <f>"JL-3512-00HB"</f>
        <v>JL-3512-00HB</v>
      </c>
      <c r="E627" s="1" t="s">
        <v>17</v>
      </c>
      <c r="F627" s="1">
        <v>2</v>
      </c>
      <c r="G627" s="1">
        <v>8260</v>
      </c>
      <c r="H627" s="1">
        <v>16520</v>
      </c>
      <c r="I627" s="1">
        <v>0</v>
      </c>
      <c r="J627" s="1">
        <v>2</v>
      </c>
      <c r="K627" s="1">
        <v>0</v>
      </c>
    </row>
    <row r="628" spans="1:11" x14ac:dyDescent="0.2">
      <c r="A628" s="1" t="s">
        <v>574</v>
      </c>
      <c r="B628" s="1" t="s">
        <v>597</v>
      </c>
      <c r="C628" s="1" t="str">
        <f>"66298803748282"</f>
        <v>66298803748282</v>
      </c>
      <c r="D628" s="1" t="str">
        <f>"401053"</f>
        <v>401053</v>
      </c>
      <c r="E628" s="1" t="s">
        <v>17</v>
      </c>
      <c r="F628" s="1">
        <v>1</v>
      </c>
      <c r="G628" s="1">
        <v>1179</v>
      </c>
      <c r="H628" s="1">
        <v>1179</v>
      </c>
      <c r="I628" s="1">
        <v>0</v>
      </c>
      <c r="J628" s="1">
        <v>1</v>
      </c>
      <c r="K628" s="1">
        <v>0</v>
      </c>
    </row>
    <row r="629" spans="1:11" x14ac:dyDescent="0.2">
      <c r="A629" s="1" t="s">
        <v>574</v>
      </c>
      <c r="B629" s="1" t="s">
        <v>598</v>
      </c>
      <c r="C629" s="1" t="str">
        <f>"66298803787525"</f>
        <v>66298803787525</v>
      </c>
      <c r="D629" s="1" t="str">
        <f>"82795"</f>
        <v>82795</v>
      </c>
      <c r="E629" s="1" t="s">
        <v>17</v>
      </c>
      <c r="F629" s="1">
        <v>5</v>
      </c>
      <c r="G629" s="1">
        <v>1537</v>
      </c>
      <c r="H629" s="1">
        <v>7685</v>
      </c>
      <c r="I629" s="1">
        <v>0</v>
      </c>
      <c r="J629" s="1">
        <v>5</v>
      </c>
      <c r="K629" s="1">
        <v>0</v>
      </c>
    </row>
    <row r="630" spans="1:11" x14ac:dyDescent="0.2">
      <c r="A630" s="1" t="s">
        <v>574</v>
      </c>
      <c r="B630" s="1" t="s">
        <v>599</v>
      </c>
      <c r="C630" s="1" t="str">
        <f>"66298803834424"</f>
        <v>66298803834424</v>
      </c>
      <c r="D630" s="1" t="str">
        <f>"VA021"</f>
        <v>VA021</v>
      </c>
      <c r="E630" s="1" t="s">
        <v>17</v>
      </c>
      <c r="F630" s="1">
        <v>3</v>
      </c>
      <c r="G630" s="1">
        <v>5706</v>
      </c>
      <c r="H630" s="1">
        <v>17118</v>
      </c>
      <c r="I630" s="1">
        <v>0</v>
      </c>
      <c r="J630" s="1">
        <v>3</v>
      </c>
      <c r="K630" s="1">
        <v>0</v>
      </c>
    </row>
    <row r="631" spans="1:11" x14ac:dyDescent="0.2">
      <c r="A631" s="1" t="s">
        <v>574</v>
      </c>
      <c r="B631" s="1" t="s">
        <v>600</v>
      </c>
      <c r="C631" s="1" t="str">
        <f>"CK110S7-F2-28"</f>
        <v>CK110S7-F2-28</v>
      </c>
      <c r="D631" s="1" t="str">
        <f>"CK110S7-F2-28"</f>
        <v>CK110S7-F2-28</v>
      </c>
      <c r="E631" s="1" t="s">
        <v>17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</row>
    <row r="632" spans="1:11" x14ac:dyDescent="0.2">
      <c r="A632" s="1" t="s">
        <v>574</v>
      </c>
      <c r="B632" s="1" t="s">
        <v>601</v>
      </c>
      <c r="C632" s="1" t="str">
        <f>"LXGS2-F10-3"</f>
        <v>LXGS2-F10-3</v>
      </c>
      <c r="D632" s="1" t="str">
        <f>"LXGS2-F10-3"</f>
        <v>LXGS2-F10-3</v>
      </c>
      <c r="E632" s="1" t="s">
        <v>17</v>
      </c>
      <c r="F632" s="1">
        <v>2</v>
      </c>
      <c r="G632" s="1">
        <v>6229.41</v>
      </c>
      <c r="H632" s="1">
        <v>12459</v>
      </c>
      <c r="I632" s="1">
        <v>0</v>
      </c>
      <c r="J632" s="1">
        <v>2</v>
      </c>
      <c r="K632" s="1">
        <v>0</v>
      </c>
    </row>
    <row r="633" spans="1:11" x14ac:dyDescent="0.2">
      <c r="A633" s="1" t="s">
        <v>574</v>
      </c>
      <c r="B633" s="1" t="s">
        <v>602</v>
      </c>
      <c r="C633" s="1" t="str">
        <f>"66298803876078"</f>
        <v>66298803876078</v>
      </c>
      <c r="D633" s="1" t="str">
        <f>"82421"</f>
        <v>82421</v>
      </c>
      <c r="E633" s="1" t="s">
        <v>17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</row>
    <row r="634" spans="1:11" x14ac:dyDescent="0.2">
      <c r="A634" s="1" t="s">
        <v>574</v>
      </c>
      <c r="B634" s="1" t="s">
        <v>603</v>
      </c>
      <c r="C634" s="1" t="str">
        <f>"139"</f>
        <v>139</v>
      </c>
      <c r="D634" s="1" t="str">
        <f>"139"</f>
        <v>139</v>
      </c>
      <c r="E634" s="1" t="s">
        <v>17</v>
      </c>
      <c r="F634" s="1">
        <v>1</v>
      </c>
      <c r="G634" s="1">
        <v>2974.79</v>
      </c>
      <c r="H634" s="1">
        <v>2975</v>
      </c>
      <c r="I634" s="1">
        <v>0</v>
      </c>
      <c r="J634" s="1">
        <v>1</v>
      </c>
      <c r="K634" s="1">
        <v>0</v>
      </c>
    </row>
    <row r="635" spans="1:11" x14ac:dyDescent="0.2">
      <c r="A635" s="1" t="s">
        <v>574</v>
      </c>
      <c r="B635" s="1" t="s">
        <v>604</v>
      </c>
      <c r="C635" s="1" t="str">
        <f>"66298803918266"</f>
        <v>66298803918266</v>
      </c>
      <c r="D635" s="1" t="str">
        <f>"VA015"</f>
        <v>VA015</v>
      </c>
      <c r="E635" s="1" t="s">
        <v>17</v>
      </c>
      <c r="F635" s="1">
        <v>2</v>
      </c>
      <c r="G635" s="1">
        <v>20321</v>
      </c>
      <c r="H635" s="1">
        <v>40642</v>
      </c>
      <c r="I635" s="1">
        <v>0</v>
      </c>
      <c r="J635" s="1">
        <v>2</v>
      </c>
      <c r="K635" s="1">
        <v>0</v>
      </c>
    </row>
    <row r="636" spans="1:11" ht="30" x14ac:dyDescent="0.2">
      <c r="A636" s="1" t="s">
        <v>574</v>
      </c>
      <c r="B636" s="1" t="s">
        <v>605</v>
      </c>
      <c r="C636" s="1" t="str">
        <f>"66298803960807"</f>
        <v>66298803960807</v>
      </c>
      <c r="D636" s="1" t="str">
        <f>"400026"</f>
        <v>400026</v>
      </c>
      <c r="E636" s="1" t="s">
        <v>17</v>
      </c>
      <c r="F636" s="1">
        <v>41</v>
      </c>
      <c r="G636" s="1">
        <v>6432</v>
      </c>
      <c r="H636" s="1">
        <v>263712</v>
      </c>
      <c r="I636" s="1">
        <v>0</v>
      </c>
      <c r="J636" s="1">
        <v>41</v>
      </c>
      <c r="K636" s="1">
        <v>0</v>
      </c>
    </row>
    <row r="637" spans="1:11" x14ac:dyDescent="0.2">
      <c r="A637" s="1" t="s">
        <v>574</v>
      </c>
      <c r="B637" s="1" t="s">
        <v>606</v>
      </c>
      <c r="C637" s="1" t="str">
        <f>"66298804004536"</f>
        <v>66298804004536</v>
      </c>
      <c r="D637" s="1" t="str">
        <f>"401052"</f>
        <v>401052</v>
      </c>
      <c r="E637" s="1" t="s">
        <v>17</v>
      </c>
      <c r="F637" s="1">
        <v>10</v>
      </c>
      <c r="G637" s="1">
        <v>5002</v>
      </c>
      <c r="H637" s="1">
        <v>50020</v>
      </c>
      <c r="I637" s="1">
        <v>0</v>
      </c>
      <c r="J637" s="1">
        <v>10</v>
      </c>
      <c r="K637" s="1">
        <v>0</v>
      </c>
    </row>
    <row r="638" spans="1:11" x14ac:dyDescent="0.2">
      <c r="A638" s="1" t="s">
        <v>18</v>
      </c>
      <c r="B638" s="1" t="s">
        <v>607</v>
      </c>
      <c r="C638" s="1" t="str">
        <f>"66298804043366"</f>
        <v>66298804043366</v>
      </c>
      <c r="D638" s="1" t="str">
        <f>"H186"</f>
        <v>H186</v>
      </c>
      <c r="E638" s="1" t="s">
        <v>17</v>
      </c>
      <c r="F638" s="1">
        <v>1</v>
      </c>
      <c r="G638" s="1">
        <v>46295</v>
      </c>
      <c r="H638" s="1">
        <v>46295</v>
      </c>
      <c r="I638" s="1">
        <v>0</v>
      </c>
      <c r="J638" s="1">
        <v>1</v>
      </c>
      <c r="K638" s="1">
        <v>0</v>
      </c>
    </row>
    <row r="639" spans="1:11" x14ac:dyDescent="0.2">
      <c r="A639" s="1" t="s">
        <v>608</v>
      </c>
      <c r="B639" s="1" t="s">
        <v>609</v>
      </c>
      <c r="C639" s="1" t="str">
        <f>"66298804083958"</f>
        <v>66298804083958</v>
      </c>
      <c r="D639" s="1" t="str">
        <f>"88"</f>
        <v>88</v>
      </c>
      <c r="E639" s="1" t="s">
        <v>17</v>
      </c>
      <c r="F639" s="1">
        <v>29</v>
      </c>
      <c r="G639" s="1">
        <v>152</v>
      </c>
      <c r="H639" s="1">
        <v>4408</v>
      </c>
      <c r="I639" s="1">
        <v>0</v>
      </c>
      <c r="J639" s="1">
        <v>29</v>
      </c>
      <c r="K639" s="1">
        <v>0</v>
      </c>
    </row>
    <row r="640" spans="1:11" x14ac:dyDescent="0.2">
      <c r="A640" s="1" t="s">
        <v>608</v>
      </c>
      <c r="B640" s="1" t="s">
        <v>609</v>
      </c>
      <c r="C640" s="1" t="str">
        <f>"ACEL-UNIV"</f>
        <v>ACEL-UNIV</v>
      </c>
      <c r="D640" s="1" t="str">
        <f>"ACEL-UNIV"</f>
        <v>ACEL-UNIV</v>
      </c>
      <c r="E640" s="1" t="s">
        <v>17</v>
      </c>
      <c r="F640" s="1">
        <v>31</v>
      </c>
      <c r="G640" s="1">
        <v>518.73</v>
      </c>
      <c r="H640" s="1">
        <v>16081</v>
      </c>
      <c r="I640" s="1">
        <v>0</v>
      </c>
      <c r="J640" s="1">
        <v>31</v>
      </c>
      <c r="K640" s="1">
        <v>0</v>
      </c>
    </row>
    <row r="641" spans="1:11" x14ac:dyDescent="0.2">
      <c r="A641" s="1" t="s">
        <v>608</v>
      </c>
      <c r="B641" s="1" t="s">
        <v>610</v>
      </c>
      <c r="C641" s="1" t="str">
        <f>"66298804126657"</f>
        <v>66298804126657</v>
      </c>
      <c r="D641" s="1" t="str">
        <f>"XN-12901-000JP"</f>
        <v>XN-12901-000JP</v>
      </c>
      <c r="E641" s="1" t="s">
        <v>17</v>
      </c>
      <c r="F641" s="1">
        <v>2</v>
      </c>
      <c r="G641" s="1">
        <v>781</v>
      </c>
      <c r="H641" s="1">
        <v>1562</v>
      </c>
      <c r="I641" s="1">
        <v>0</v>
      </c>
      <c r="J641" s="1">
        <v>2</v>
      </c>
      <c r="K641" s="1">
        <v>0</v>
      </c>
    </row>
    <row r="642" spans="1:11" x14ac:dyDescent="0.2">
      <c r="A642" s="1" t="s">
        <v>608</v>
      </c>
      <c r="B642" s="1" t="s">
        <v>611</v>
      </c>
      <c r="C642" s="1" t="str">
        <f>"66298804166211"</f>
        <v>66298804166211</v>
      </c>
      <c r="D642" s="1" t="str">
        <f>"82066"</f>
        <v>82066</v>
      </c>
      <c r="E642" s="1" t="s">
        <v>17</v>
      </c>
      <c r="F642" s="1">
        <v>2</v>
      </c>
      <c r="G642" s="1">
        <v>984</v>
      </c>
      <c r="H642" s="1">
        <v>1968</v>
      </c>
      <c r="I642" s="1">
        <v>0</v>
      </c>
      <c r="J642" s="1">
        <v>2</v>
      </c>
      <c r="K642" s="1">
        <v>0</v>
      </c>
    </row>
    <row r="643" spans="1:11" x14ac:dyDescent="0.2">
      <c r="A643" s="1" t="s">
        <v>608</v>
      </c>
      <c r="B643" s="1" t="s">
        <v>611</v>
      </c>
      <c r="C643" s="1" t="str">
        <f>"66298804209961"</f>
        <v>66298804209961</v>
      </c>
      <c r="D643" s="1" t="str">
        <f>"BC008"</f>
        <v>BC008</v>
      </c>
      <c r="E643" s="1" t="s">
        <v>17</v>
      </c>
      <c r="F643" s="1">
        <v>2</v>
      </c>
      <c r="G643" s="1">
        <v>2000</v>
      </c>
      <c r="H643" s="1">
        <v>4000</v>
      </c>
      <c r="I643" s="1">
        <v>0</v>
      </c>
      <c r="J643" s="1">
        <v>2</v>
      </c>
      <c r="K643" s="1">
        <v>0</v>
      </c>
    </row>
    <row r="644" spans="1:11" x14ac:dyDescent="0.2">
      <c r="A644" s="1" t="s">
        <v>608</v>
      </c>
      <c r="B644" s="1" t="s">
        <v>612</v>
      </c>
      <c r="C644" s="1" t="str">
        <f>"66298804254152"</f>
        <v>66298804254152</v>
      </c>
      <c r="D644" s="1" t="str">
        <f>"400630"</f>
        <v>400630</v>
      </c>
      <c r="E644" s="1" t="s">
        <v>17</v>
      </c>
      <c r="F644" s="1">
        <v>17</v>
      </c>
      <c r="G644" s="1">
        <v>555</v>
      </c>
      <c r="H644" s="1">
        <v>9435</v>
      </c>
      <c r="I644" s="1">
        <v>0</v>
      </c>
      <c r="J644" s="1">
        <v>17</v>
      </c>
      <c r="K644" s="1">
        <v>0</v>
      </c>
    </row>
    <row r="645" spans="1:11" x14ac:dyDescent="0.2">
      <c r="A645" s="1" t="s">
        <v>608</v>
      </c>
      <c r="B645" s="1" t="s">
        <v>613</v>
      </c>
      <c r="C645" s="1" t="str">
        <f>"66298804392057"</f>
        <v>66298804392057</v>
      </c>
      <c r="D645" s="1" t="str">
        <f>"17910-K70-601GH"</f>
        <v>17910-K70-601GH</v>
      </c>
      <c r="E645" s="1" t="s">
        <v>17</v>
      </c>
      <c r="F645" s="1">
        <v>9</v>
      </c>
      <c r="G645" s="1">
        <v>3947</v>
      </c>
      <c r="H645" s="1">
        <v>35523</v>
      </c>
      <c r="I645" s="1">
        <v>0</v>
      </c>
      <c r="J645" s="1">
        <v>9</v>
      </c>
      <c r="K645" s="1">
        <v>0</v>
      </c>
    </row>
    <row r="646" spans="1:11" x14ac:dyDescent="0.2">
      <c r="A646" s="1" t="s">
        <v>608</v>
      </c>
      <c r="B646" s="1" t="s">
        <v>614</v>
      </c>
      <c r="C646" s="1" t="str">
        <f>"66298804346374"</f>
        <v>66298804346374</v>
      </c>
      <c r="D646" s="1" t="str">
        <f>"17910-K70-601HB"</f>
        <v>17910-K70-601HB</v>
      </c>
      <c r="E646" s="1" t="s">
        <v>17</v>
      </c>
      <c r="F646" s="1">
        <v>2</v>
      </c>
      <c r="G646" s="1">
        <v>1366</v>
      </c>
      <c r="H646" s="1">
        <v>2732</v>
      </c>
      <c r="I646" s="1">
        <v>0</v>
      </c>
      <c r="J646" s="1">
        <v>2</v>
      </c>
      <c r="K646" s="1">
        <v>0</v>
      </c>
    </row>
    <row r="647" spans="1:11" x14ac:dyDescent="0.2">
      <c r="A647" s="1" t="s">
        <v>608</v>
      </c>
      <c r="B647" s="1" t="s">
        <v>615</v>
      </c>
      <c r="C647" s="1" t="str">
        <f>"66298804431042"</f>
        <v>66298804431042</v>
      </c>
      <c r="D647" s="1" t="str">
        <f>"400645"</f>
        <v>400645</v>
      </c>
      <c r="E647" s="1" t="s">
        <v>17</v>
      </c>
      <c r="F647" s="1">
        <v>10</v>
      </c>
      <c r="G647" s="1">
        <v>480</v>
      </c>
      <c r="H647" s="1">
        <v>4800</v>
      </c>
      <c r="I647" s="1">
        <v>0</v>
      </c>
      <c r="J647" s="1">
        <v>10</v>
      </c>
      <c r="K647" s="1">
        <v>0</v>
      </c>
    </row>
    <row r="648" spans="1:11" x14ac:dyDescent="0.2">
      <c r="A648" s="1" t="s">
        <v>608</v>
      </c>
      <c r="B648" s="1" t="s">
        <v>616</v>
      </c>
      <c r="C648" s="1" t="str">
        <f>"66298804472212"</f>
        <v>66298804472212</v>
      </c>
      <c r="D648" s="1" t="str">
        <f>"400646"</f>
        <v>400646</v>
      </c>
      <c r="E648" s="1" t="s">
        <v>17</v>
      </c>
      <c r="F648" s="1">
        <v>35</v>
      </c>
      <c r="G648" s="1">
        <v>583</v>
      </c>
      <c r="H648" s="1">
        <v>20405</v>
      </c>
      <c r="I648" s="1">
        <v>0</v>
      </c>
      <c r="J648" s="1">
        <v>35</v>
      </c>
      <c r="K648" s="1">
        <v>0</v>
      </c>
    </row>
    <row r="649" spans="1:11" x14ac:dyDescent="0.2">
      <c r="A649" s="1" t="s">
        <v>608</v>
      </c>
      <c r="B649" s="1" t="s">
        <v>617</v>
      </c>
      <c r="C649" s="1" t="str">
        <f>"BC021"</f>
        <v>BC021</v>
      </c>
      <c r="D649" s="1" t="str">
        <f>"BC021"</f>
        <v>BC021</v>
      </c>
      <c r="E649" s="1" t="s">
        <v>17</v>
      </c>
      <c r="F649" s="1">
        <v>4</v>
      </c>
      <c r="G649" s="1">
        <v>3576</v>
      </c>
      <c r="H649" s="1">
        <v>14304</v>
      </c>
      <c r="I649" s="1">
        <v>0</v>
      </c>
      <c r="J649" s="1">
        <v>4</v>
      </c>
      <c r="K649" s="1">
        <v>0</v>
      </c>
    </row>
    <row r="650" spans="1:11" x14ac:dyDescent="0.2">
      <c r="A650" s="1" t="s">
        <v>608</v>
      </c>
      <c r="B650" s="1" t="s">
        <v>618</v>
      </c>
      <c r="C650" s="1" t="str">
        <f>"BC015"</f>
        <v>BC015</v>
      </c>
      <c r="D650" s="1" t="str">
        <f>"BC015"</f>
        <v>BC015</v>
      </c>
      <c r="E650" s="1" t="s">
        <v>17</v>
      </c>
      <c r="F650" s="1">
        <v>2</v>
      </c>
      <c r="G650" s="1">
        <v>2148</v>
      </c>
      <c r="H650" s="1">
        <v>4296</v>
      </c>
      <c r="I650" s="1">
        <v>0</v>
      </c>
      <c r="J650" s="1">
        <v>2</v>
      </c>
      <c r="K650" s="1">
        <v>0</v>
      </c>
    </row>
    <row r="651" spans="1:11" x14ac:dyDescent="0.2">
      <c r="A651" s="1" t="s">
        <v>608</v>
      </c>
      <c r="B651" s="1" t="s">
        <v>619</v>
      </c>
      <c r="C651" s="1" t="str">
        <f>"66298804512010"</f>
        <v>66298804512010</v>
      </c>
      <c r="D651" s="1" t="str">
        <f>"400631"</f>
        <v>400631</v>
      </c>
      <c r="E651" s="1" t="s">
        <v>17</v>
      </c>
      <c r="F651" s="1">
        <v>8</v>
      </c>
      <c r="G651" s="1">
        <v>515</v>
      </c>
      <c r="H651" s="1">
        <v>4120</v>
      </c>
      <c r="I651" s="1">
        <v>0</v>
      </c>
      <c r="J651" s="1">
        <v>8</v>
      </c>
      <c r="K651" s="1">
        <v>0</v>
      </c>
    </row>
    <row r="652" spans="1:11" x14ac:dyDescent="0.2">
      <c r="A652" s="1" t="s">
        <v>608</v>
      </c>
      <c r="B652" s="1" t="s">
        <v>620</v>
      </c>
      <c r="C652" s="1" t="str">
        <f>"66298804551896"</f>
        <v>66298804551896</v>
      </c>
      <c r="D652" s="1" t="str">
        <f>"17910-KSP-900HB"</f>
        <v>17910-KSP-900HB</v>
      </c>
      <c r="E652" s="1" t="s">
        <v>17</v>
      </c>
      <c r="F652" s="1">
        <v>3</v>
      </c>
      <c r="G652" s="1">
        <v>1223</v>
      </c>
      <c r="H652" s="1">
        <v>3669</v>
      </c>
      <c r="I652" s="1">
        <v>0</v>
      </c>
      <c r="J652" s="1">
        <v>3</v>
      </c>
      <c r="K652" s="1">
        <v>0</v>
      </c>
    </row>
    <row r="653" spans="1:11" x14ac:dyDescent="0.2">
      <c r="A653" s="1" t="s">
        <v>608</v>
      </c>
      <c r="B653" s="1" t="s">
        <v>621</v>
      </c>
      <c r="C653" s="1" t="str">
        <f>"66298804592175"</f>
        <v>66298804592175</v>
      </c>
      <c r="D653" s="1" t="str">
        <f>"80338"</f>
        <v>80338</v>
      </c>
      <c r="E653" s="1" t="s">
        <v>17</v>
      </c>
      <c r="F653" s="1">
        <v>4</v>
      </c>
      <c r="G653" s="1">
        <v>698</v>
      </c>
      <c r="H653" s="1">
        <v>2792</v>
      </c>
      <c r="I653" s="1">
        <v>0</v>
      </c>
      <c r="J653" s="1">
        <v>4</v>
      </c>
      <c r="K653" s="1">
        <v>0</v>
      </c>
    </row>
    <row r="654" spans="1:11" x14ac:dyDescent="0.2">
      <c r="A654" s="1" t="s">
        <v>608</v>
      </c>
      <c r="B654" s="1" t="s">
        <v>622</v>
      </c>
      <c r="C654" s="1" t="str">
        <f>"66298804639819"</f>
        <v>66298804639819</v>
      </c>
      <c r="D654" s="1" t="str">
        <f>"171210510-0001JP"</f>
        <v>171210510-0001JP</v>
      </c>
      <c r="E654" s="1" t="s">
        <v>17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</row>
    <row r="655" spans="1:11" x14ac:dyDescent="0.2">
      <c r="A655" s="1" t="s">
        <v>608</v>
      </c>
      <c r="B655" s="1" t="s">
        <v>622</v>
      </c>
      <c r="C655" s="1" t="str">
        <f>"66298804648191"</f>
        <v>66298804648191</v>
      </c>
      <c r="D655" s="1" t="str">
        <f>"7701023704380"</f>
        <v>7701023704380</v>
      </c>
      <c r="E655" s="1" t="s">
        <v>17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</row>
    <row r="656" spans="1:11" x14ac:dyDescent="0.2">
      <c r="A656" s="1" t="s">
        <v>608</v>
      </c>
      <c r="B656" s="1" t="s">
        <v>622</v>
      </c>
      <c r="C656" s="1" t="str">
        <f>"66298804654264"</f>
        <v>66298804654264</v>
      </c>
      <c r="D656" s="1" t="str">
        <f>"BC001"</f>
        <v>BC001</v>
      </c>
      <c r="E656" s="1" t="s">
        <v>17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</row>
    <row r="657" spans="1:11" x14ac:dyDescent="0.2">
      <c r="A657" s="1" t="s">
        <v>608</v>
      </c>
      <c r="B657" s="1" t="s">
        <v>623</v>
      </c>
      <c r="C657" s="1" t="str">
        <f>"66298804725437"</f>
        <v>66298804725437</v>
      </c>
      <c r="D657" s="1" t="str">
        <f>"80341"</f>
        <v>80341</v>
      </c>
      <c r="E657" s="1" t="s">
        <v>17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</row>
    <row r="658" spans="1:11" x14ac:dyDescent="0.2">
      <c r="A658" s="1" t="s">
        <v>608</v>
      </c>
      <c r="B658" s="1" t="s">
        <v>624</v>
      </c>
      <c r="C658" s="1" t="str">
        <f>"66298804774501"</f>
        <v>66298804774501</v>
      </c>
      <c r="D658" s="1" t="str">
        <f>"17910-KRF-B41HB"</f>
        <v>17910-KRF-B41HB</v>
      </c>
      <c r="E658" s="1" t="s">
        <v>17</v>
      </c>
      <c r="F658" s="1">
        <v>6</v>
      </c>
      <c r="G658" s="1">
        <v>865</v>
      </c>
      <c r="H658" s="1">
        <v>5190</v>
      </c>
      <c r="I658" s="1">
        <v>0</v>
      </c>
      <c r="J658" s="1">
        <v>6</v>
      </c>
      <c r="K658" s="1">
        <v>0</v>
      </c>
    </row>
    <row r="659" spans="1:11" x14ac:dyDescent="0.2">
      <c r="A659" s="1" t="s">
        <v>608</v>
      </c>
      <c r="B659" s="1" t="s">
        <v>624</v>
      </c>
      <c r="C659" s="1" t="str">
        <f>"66298804781728"</f>
        <v>66298804781728</v>
      </c>
      <c r="D659" s="1" t="str">
        <f>"82064"</f>
        <v>82064</v>
      </c>
      <c r="E659" s="1" t="s">
        <v>17</v>
      </c>
      <c r="F659" s="1">
        <v>1</v>
      </c>
      <c r="G659" s="1">
        <v>550</v>
      </c>
      <c r="H659" s="1">
        <v>550</v>
      </c>
      <c r="I659" s="1">
        <v>0</v>
      </c>
      <c r="J659" s="1">
        <v>1</v>
      </c>
      <c r="K659" s="1">
        <v>0</v>
      </c>
    </row>
    <row r="660" spans="1:11" x14ac:dyDescent="0.2">
      <c r="A660" s="1" t="s">
        <v>608</v>
      </c>
      <c r="B660" s="1" t="s">
        <v>625</v>
      </c>
      <c r="C660" s="1" t="str">
        <f>"66298804837282"</f>
        <v>66298804837282</v>
      </c>
      <c r="D660" s="1" t="str">
        <f>"400246"</f>
        <v>400246</v>
      </c>
      <c r="E660" s="1" t="s">
        <v>17</v>
      </c>
      <c r="F660" s="1">
        <v>2</v>
      </c>
      <c r="G660" s="1">
        <v>511</v>
      </c>
      <c r="H660" s="1">
        <v>1022</v>
      </c>
      <c r="I660" s="1">
        <v>0</v>
      </c>
      <c r="J660" s="1">
        <v>2</v>
      </c>
      <c r="K660" s="1">
        <v>0</v>
      </c>
    </row>
    <row r="661" spans="1:11" x14ac:dyDescent="0.2">
      <c r="A661" s="1" t="s">
        <v>608</v>
      </c>
      <c r="B661" s="1" t="s">
        <v>626</v>
      </c>
      <c r="C661" s="1" t="str">
        <f>"66298804874553"</f>
        <v>66298804874553</v>
      </c>
      <c r="D661" s="1" t="str">
        <f>"58300-44AA0"</f>
        <v>58300-44AA0</v>
      </c>
      <c r="E661" s="1" t="s">
        <v>17</v>
      </c>
      <c r="F661" s="1">
        <v>6</v>
      </c>
      <c r="G661" s="1">
        <v>743</v>
      </c>
      <c r="H661" s="1">
        <v>4458</v>
      </c>
      <c r="I661" s="1">
        <v>0</v>
      </c>
      <c r="J661" s="1">
        <v>6</v>
      </c>
      <c r="K661" s="1">
        <v>0</v>
      </c>
    </row>
    <row r="662" spans="1:11" x14ac:dyDescent="0.2">
      <c r="A662" s="1" t="s">
        <v>608</v>
      </c>
      <c r="B662" s="1" t="s">
        <v>627</v>
      </c>
      <c r="C662" s="1" t="str">
        <f>"66298804915148"</f>
        <v>66298804915148</v>
      </c>
      <c r="D662" s="1" t="str">
        <f>"BC016"</f>
        <v>BC016</v>
      </c>
      <c r="E662" s="1" t="s">
        <v>17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</row>
    <row r="663" spans="1:11" x14ac:dyDescent="0.2">
      <c r="A663" s="1" t="s">
        <v>608</v>
      </c>
      <c r="B663" s="1" t="s">
        <v>628</v>
      </c>
      <c r="C663" s="1" t="str">
        <f>"66298805200494"</f>
        <v>66298805200494</v>
      </c>
      <c r="D663" s="1" t="str">
        <f>"3JO-23260-00HB"</f>
        <v>3JO-23260-00HB</v>
      </c>
      <c r="E663" s="1" t="s">
        <v>17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</row>
    <row r="664" spans="1:11" x14ac:dyDescent="0.2">
      <c r="A664" s="1" t="s">
        <v>608</v>
      </c>
      <c r="B664" s="1" t="s">
        <v>629</v>
      </c>
      <c r="C664" s="1" t="str">
        <f>"66298805240704"</f>
        <v>66298805240704</v>
      </c>
      <c r="D664" s="1" t="str">
        <f>"90102091000"</f>
        <v>90102091000</v>
      </c>
      <c r="E664" s="1" t="s">
        <v>17</v>
      </c>
      <c r="F664" s="1">
        <v>20</v>
      </c>
      <c r="G664" s="1">
        <v>1865</v>
      </c>
      <c r="H664" s="1">
        <v>37300</v>
      </c>
      <c r="I664" s="1">
        <v>0</v>
      </c>
      <c r="J664" s="1">
        <v>20</v>
      </c>
      <c r="K664" s="1">
        <v>0</v>
      </c>
    </row>
    <row r="665" spans="1:11" x14ac:dyDescent="0.2">
      <c r="A665" s="1" t="s">
        <v>608</v>
      </c>
      <c r="B665" s="1" t="s">
        <v>630</v>
      </c>
      <c r="C665" s="1" t="str">
        <f>"66298805279694"</f>
        <v>66298805279694</v>
      </c>
      <c r="D665" s="1" t="str">
        <f>"82607"</f>
        <v>82607</v>
      </c>
      <c r="E665" s="1" t="s">
        <v>17</v>
      </c>
      <c r="F665" s="1">
        <v>1</v>
      </c>
      <c r="G665" s="1">
        <v>921</v>
      </c>
      <c r="H665" s="1">
        <v>921</v>
      </c>
      <c r="I665" s="1">
        <v>0</v>
      </c>
      <c r="J665" s="1">
        <v>1</v>
      </c>
      <c r="K665" s="1">
        <v>0</v>
      </c>
    </row>
    <row r="666" spans="1:11" x14ac:dyDescent="0.2">
      <c r="A666" s="1" t="s">
        <v>608</v>
      </c>
      <c r="B666" s="1" t="s">
        <v>631</v>
      </c>
      <c r="C666" s="1" t="str">
        <f>"66298805319195"</f>
        <v>66298805319195</v>
      </c>
      <c r="D666" s="1" t="str">
        <f>"82067"</f>
        <v>82067</v>
      </c>
      <c r="E666" s="1" t="s">
        <v>17</v>
      </c>
      <c r="F666" s="1">
        <v>4</v>
      </c>
      <c r="G666" s="1">
        <v>596</v>
      </c>
      <c r="H666" s="1">
        <v>2384</v>
      </c>
      <c r="I666" s="1">
        <v>0</v>
      </c>
      <c r="J666" s="1">
        <v>4</v>
      </c>
      <c r="K666" s="1">
        <v>0</v>
      </c>
    </row>
    <row r="667" spans="1:11" x14ac:dyDescent="0.2">
      <c r="A667" s="1" t="s">
        <v>608</v>
      </c>
      <c r="B667" s="1" t="s">
        <v>632</v>
      </c>
      <c r="C667" s="1" t="str">
        <f>"BC019"</f>
        <v>BC019</v>
      </c>
      <c r="D667" s="1" t="str">
        <f>"BC019"</f>
        <v>BC019</v>
      </c>
      <c r="E667" s="1" t="s">
        <v>17</v>
      </c>
      <c r="F667" s="1">
        <v>2</v>
      </c>
      <c r="G667" s="1">
        <v>2120</v>
      </c>
      <c r="H667" s="1">
        <v>4240</v>
      </c>
      <c r="I667" s="1">
        <v>0</v>
      </c>
      <c r="J667" s="1">
        <v>2</v>
      </c>
      <c r="K667" s="1">
        <v>0</v>
      </c>
    </row>
    <row r="668" spans="1:11" x14ac:dyDescent="0.2">
      <c r="A668" s="1" t="s">
        <v>608</v>
      </c>
      <c r="B668" s="1" t="s">
        <v>633</v>
      </c>
      <c r="C668" s="1" t="str">
        <f>"66298805359607"</f>
        <v>66298805359607</v>
      </c>
      <c r="D668" s="1" t="str">
        <f>"400632"</f>
        <v>400632</v>
      </c>
      <c r="E668" s="1" t="s">
        <v>17</v>
      </c>
      <c r="F668" s="1">
        <v>12</v>
      </c>
      <c r="G668" s="1">
        <v>587</v>
      </c>
      <c r="H668" s="1">
        <v>7044</v>
      </c>
      <c r="I668" s="1">
        <v>0</v>
      </c>
      <c r="J668" s="1">
        <v>12</v>
      </c>
      <c r="K668" s="1">
        <v>0</v>
      </c>
    </row>
    <row r="669" spans="1:11" x14ac:dyDescent="0.2">
      <c r="A669" s="1" t="s">
        <v>608</v>
      </c>
      <c r="B669" s="1" t="s">
        <v>634</v>
      </c>
      <c r="C669" s="1" t="str">
        <f>"66298805400042"</f>
        <v>66298805400042</v>
      </c>
      <c r="D669" s="1" t="str">
        <f>"400633"</f>
        <v>400633</v>
      </c>
      <c r="E669" s="1" t="s">
        <v>17</v>
      </c>
      <c r="F669" s="1">
        <v>7</v>
      </c>
      <c r="G669" s="1">
        <v>505</v>
      </c>
      <c r="H669" s="1">
        <v>3535</v>
      </c>
      <c r="I669" s="1">
        <v>0</v>
      </c>
      <c r="J669" s="1">
        <v>7</v>
      </c>
      <c r="K669" s="1">
        <v>0</v>
      </c>
    </row>
    <row r="670" spans="1:11" x14ac:dyDescent="0.2">
      <c r="A670" s="1" t="s">
        <v>608</v>
      </c>
      <c r="B670" s="1" t="s">
        <v>635</v>
      </c>
      <c r="C670" s="1" t="str">
        <f>"BC003"</f>
        <v>BC003</v>
      </c>
      <c r="D670" s="1" t="str">
        <f>"BC003"</f>
        <v>BC003</v>
      </c>
      <c r="E670" s="1" t="s">
        <v>17</v>
      </c>
      <c r="F670" s="1">
        <v>4</v>
      </c>
      <c r="G670" s="1">
        <v>2988</v>
      </c>
      <c r="H670" s="1">
        <v>11952</v>
      </c>
      <c r="I670" s="1">
        <v>0</v>
      </c>
      <c r="J670" s="1">
        <v>4</v>
      </c>
      <c r="K670" s="1">
        <v>0</v>
      </c>
    </row>
    <row r="671" spans="1:11" x14ac:dyDescent="0.2">
      <c r="A671" s="1" t="s">
        <v>608</v>
      </c>
      <c r="B671" s="1" t="s">
        <v>636</v>
      </c>
      <c r="C671" s="1" t="str">
        <f>"66298805438150"</f>
        <v>66298805438150</v>
      </c>
      <c r="D671" s="1" t="str">
        <f>"21C-F6311-00HB"</f>
        <v>21C-F6311-00HB</v>
      </c>
      <c r="E671" s="1" t="s">
        <v>17</v>
      </c>
      <c r="F671" s="1">
        <v>17</v>
      </c>
      <c r="G671" s="1">
        <v>1187.3499999999999</v>
      </c>
      <c r="H671" s="1">
        <v>20185</v>
      </c>
      <c r="I671" s="1">
        <v>0</v>
      </c>
      <c r="J671" s="1">
        <v>17</v>
      </c>
      <c r="K671" s="1">
        <v>0</v>
      </c>
    </row>
    <row r="672" spans="1:11" x14ac:dyDescent="0.2">
      <c r="A672" s="1" t="s">
        <v>608</v>
      </c>
      <c r="B672" s="1" t="s">
        <v>636</v>
      </c>
      <c r="C672" s="1" t="str">
        <f>"66298805477505"</f>
        <v>66298805477505</v>
      </c>
      <c r="D672" s="1" t="str">
        <f>"21C-F6311-00"</f>
        <v>21C-F6311-00</v>
      </c>
      <c r="E672" s="1" t="s">
        <v>17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</row>
    <row r="673" spans="1:11" x14ac:dyDescent="0.2">
      <c r="A673" s="1" t="s">
        <v>608</v>
      </c>
      <c r="B673" s="1" t="s">
        <v>637</v>
      </c>
      <c r="C673" s="1" t="str">
        <f>"66298805519587"</f>
        <v>66298805519587</v>
      </c>
      <c r="D673" s="1" t="str">
        <f>"400634"</f>
        <v>400634</v>
      </c>
      <c r="E673" s="1" t="s">
        <v>17</v>
      </c>
      <c r="F673" s="1">
        <v>12</v>
      </c>
      <c r="G673" s="1">
        <v>680</v>
      </c>
      <c r="H673" s="1">
        <v>8160</v>
      </c>
      <c r="I673" s="1">
        <v>0</v>
      </c>
      <c r="J673" s="1">
        <v>12</v>
      </c>
      <c r="K673" s="1">
        <v>0</v>
      </c>
    </row>
    <row r="674" spans="1:11" x14ac:dyDescent="0.2">
      <c r="A674" s="1" t="s">
        <v>608</v>
      </c>
      <c r="B674" s="1" t="s">
        <v>638</v>
      </c>
      <c r="C674" s="1" t="str">
        <f>"BC020"</f>
        <v>BC020</v>
      </c>
      <c r="D674" s="1" t="str">
        <f>"BC020"</f>
        <v>BC020</v>
      </c>
      <c r="E674" s="1" t="s">
        <v>17</v>
      </c>
      <c r="F674" s="1">
        <v>4</v>
      </c>
      <c r="G674" s="1">
        <v>2490</v>
      </c>
      <c r="H674" s="1">
        <v>9960</v>
      </c>
      <c r="I674" s="1">
        <v>0</v>
      </c>
      <c r="J674" s="1">
        <v>4</v>
      </c>
      <c r="K674" s="1">
        <v>0</v>
      </c>
    </row>
    <row r="675" spans="1:11" x14ac:dyDescent="0.2">
      <c r="A675" s="1" t="s">
        <v>608</v>
      </c>
      <c r="B675" s="1" t="s">
        <v>639</v>
      </c>
      <c r="C675" s="1" t="str">
        <f>"66298805630405"</f>
        <v>66298805630405</v>
      </c>
      <c r="D675" s="1" t="str">
        <f>"400636"</f>
        <v>400636</v>
      </c>
      <c r="E675" s="1" t="s">
        <v>17</v>
      </c>
      <c r="F675" s="1">
        <v>21</v>
      </c>
      <c r="G675" s="1">
        <v>473</v>
      </c>
      <c r="H675" s="1">
        <v>9933</v>
      </c>
      <c r="I675" s="1">
        <v>0</v>
      </c>
      <c r="J675" s="1">
        <v>21</v>
      </c>
      <c r="K675" s="1">
        <v>0</v>
      </c>
    </row>
    <row r="676" spans="1:11" x14ac:dyDescent="0.2">
      <c r="A676" s="1" t="s">
        <v>608</v>
      </c>
      <c r="B676" s="1" t="s">
        <v>640</v>
      </c>
      <c r="C676" s="1" t="str">
        <f>"66298805676320"</f>
        <v>66298805676320</v>
      </c>
      <c r="D676" s="1" t="str">
        <f>"400635"</f>
        <v>400635</v>
      </c>
      <c r="E676" s="1" t="s">
        <v>17</v>
      </c>
      <c r="F676" s="1">
        <v>24</v>
      </c>
      <c r="G676" s="1">
        <v>464</v>
      </c>
      <c r="H676" s="1">
        <v>11136</v>
      </c>
      <c r="I676" s="1">
        <v>0</v>
      </c>
      <c r="J676" s="1">
        <v>24</v>
      </c>
      <c r="K676" s="1">
        <v>0</v>
      </c>
    </row>
    <row r="677" spans="1:11" x14ac:dyDescent="0.2">
      <c r="A677" s="1" t="s">
        <v>608</v>
      </c>
      <c r="B677" s="1" t="s">
        <v>641</v>
      </c>
      <c r="C677" s="1" t="str">
        <f>"66298805571772"</f>
        <v>66298805571772</v>
      </c>
      <c r="D677" s="1" t="str">
        <f>"58300-053G0HB"</f>
        <v>58300-053G0HB</v>
      </c>
      <c r="E677" s="1" t="s">
        <v>17</v>
      </c>
      <c r="F677" s="1">
        <v>3</v>
      </c>
      <c r="G677" s="1">
        <v>884</v>
      </c>
      <c r="H677" s="1">
        <v>2652</v>
      </c>
      <c r="I677" s="1">
        <v>0</v>
      </c>
      <c r="J677" s="1">
        <v>3</v>
      </c>
      <c r="K677" s="1">
        <v>0</v>
      </c>
    </row>
    <row r="678" spans="1:11" x14ac:dyDescent="0.2">
      <c r="A678" s="1" t="s">
        <v>608</v>
      </c>
      <c r="B678" s="1" t="s">
        <v>642</v>
      </c>
      <c r="C678" s="1" t="str">
        <f>"66298805563428"</f>
        <v>66298805563428</v>
      </c>
      <c r="D678" s="1" t="str">
        <f>"82065"</f>
        <v>82065</v>
      </c>
      <c r="E678" s="1" t="s">
        <v>17</v>
      </c>
      <c r="F678" s="1">
        <v>4</v>
      </c>
      <c r="G678" s="1">
        <v>620</v>
      </c>
      <c r="H678" s="1">
        <v>2480</v>
      </c>
      <c r="I678" s="1">
        <v>0</v>
      </c>
      <c r="J678" s="1">
        <v>4</v>
      </c>
      <c r="K678" s="1">
        <v>0</v>
      </c>
    </row>
    <row r="679" spans="1:11" x14ac:dyDescent="0.2">
      <c r="A679" s="1" t="s">
        <v>608</v>
      </c>
      <c r="B679" s="1" t="s">
        <v>643</v>
      </c>
      <c r="C679" s="1" t="str">
        <f>"66298805717325"</f>
        <v>66298805717325</v>
      </c>
      <c r="D679" s="1" t="str">
        <f>"58300-45F40JP"</f>
        <v>58300-45F40JP</v>
      </c>
      <c r="E679" s="1" t="s">
        <v>17</v>
      </c>
      <c r="F679" s="1">
        <v>18</v>
      </c>
      <c r="G679" s="1">
        <v>679</v>
      </c>
      <c r="H679" s="1">
        <v>12222</v>
      </c>
      <c r="I679" s="1">
        <v>0</v>
      </c>
      <c r="J679" s="1">
        <v>18</v>
      </c>
      <c r="K679" s="1">
        <v>0</v>
      </c>
    </row>
    <row r="680" spans="1:11" x14ac:dyDescent="0.2">
      <c r="A680" s="1" t="s">
        <v>608</v>
      </c>
      <c r="B680" s="1" t="s">
        <v>644</v>
      </c>
      <c r="C680" s="1" t="str">
        <f>"66298805723326"</f>
        <v>66298805723326</v>
      </c>
      <c r="D680" s="1" t="str">
        <f>"BC005-A"</f>
        <v>BC005-A</v>
      </c>
      <c r="E680" s="1" t="s">
        <v>17</v>
      </c>
      <c r="F680" s="1">
        <v>7</v>
      </c>
      <c r="G680" s="1">
        <v>1467.43</v>
      </c>
      <c r="H680" s="1">
        <v>10272</v>
      </c>
      <c r="I680" s="1">
        <v>0</v>
      </c>
      <c r="J680" s="1">
        <v>7</v>
      </c>
      <c r="K680" s="1">
        <v>0</v>
      </c>
    </row>
    <row r="681" spans="1:11" x14ac:dyDescent="0.2">
      <c r="A681" s="1" t="s">
        <v>608</v>
      </c>
      <c r="B681" s="1" t="s">
        <v>645</v>
      </c>
      <c r="C681" s="1" t="str">
        <f>"66298805792568"</f>
        <v>66298805792568</v>
      </c>
      <c r="D681" s="1" t="str">
        <f>"58300-30H00JP"</f>
        <v>58300-30H00JP</v>
      </c>
      <c r="E681" s="1" t="s">
        <v>17</v>
      </c>
      <c r="F681" s="1">
        <v>7</v>
      </c>
      <c r="G681" s="1">
        <v>1991</v>
      </c>
      <c r="H681" s="1">
        <v>13937</v>
      </c>
      <c r="I681" s="1">
        <v>0</v>
      </c>
      <c r="J681" s="1">
        <v>7</v>
      </c>
      <c r="K681" s="1">
        <v>0</v>
      </c>
    </row>
    <row r="682" spans="1:11" x14ac:dyDescent="0.2">
      <c r="A682" s="1" t="s">
        <v>608</v>
      </c>
      <c r="B682" s="1" t="s">
        <v>646</v>
      </c>
      <c r="C682" s="1" t="str">
        <f>"66298805784225"</f>
        <v>66298805784225</v>
      </c>
      <c r="D682" s="1" t="str">
        <f>"58300-30H10JP"</f>
        <v>58300-30H10JP</v>
      </c>
      <c r="E682" s="1" t="s">
        <v>17</v>
      </c>
      <c r="F682" s="1">
        <v>2</v>
      </c>
      <c r="G682" s="1">
        <v>2092</v>
      </c>
      <c r="H682" s="1">
        <v>4184</v>
      </c>
      <c r="I682" s="1">
        <v>0</v>
      </c>
      <c r="J682" s="1">
        <v>2</v>
      </c>
      <c r="K682" s="1">
        <v>0</v>
      </c>
    </row>
    <row r="683" spans="1:11" x14ac:dyDescent="0.2">
      <c r="A683" s="1" t="s">
        <v>608</v>
      </c>
      <c r="B683" s="1" t="s">
        <v>647</v>
      </c>
      <c r="C683" s="1" t="str">
        <f>"66298805846115"</f>
        <v>66298805846115</v>
      </c>
      <c r="D683" s="1" t="str">
        <f>"1852"</f>
        <v>1852</v>
      </c>
      <c r="E683" s="1" t="s">
        <v>17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</row>
    <row r="684" spans="1:11" x14ac:dyDescent="0.2">
      <c r="A684" s="1" t="s">
        <v>608</v>
      </c>
      <c r="B684" s="1" t="s">
        <v>648</v>
      </c>
      <c r="C684" s="1" t="str">
        <f>"BC004"</f>
        <v>BC004</v>
      </c>
      <c r="D684" s="1" t="str">
        <f>"BC004"</f>
        <v>BC004</v>
      </c>
      <c r="E684" s="1" t="s">
        <v>17</v>
      </c>
      <c r="F684" s="1">
        <v>2</v>
      </c>
      <c r="G684" s="1">
        <v>2988</v>
      </c>
      <c r="H684" s="1">
        <v>5976</v>
      </c>
      <c r="I684" s="1">
        <v>0</v>
      </c>
      <c r="J684" s="1">
        <v>2</v>
      </c>
      <c r="K684" s="1">
        <v>0</v>
      </c>
    </row>
    <row r="685" spans="1:11" x14ac:dyDescent="0.2">
      <c r="A685" s="1" t="s">
        <v>608</v>
      </c>
      <c r="B685" s="1" t="s">
        <v>649</v>
      </c>
      <c r="C685" s="1" t="str">
        <f>"66298805885591"</f>
        <v>66298805885591</v>
      </c>
      <c r="D685" s="1" t="str">
        <f>"BC011"</f>
        <v>BC011</v>
      </c>
      <c r="E685" s="1" t="s">
        <v>17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</row>
    <row r="686" spans="1:11" x14ac:dyDescent="0.2">
      <c r="A686" s="1" t="s">
        <v>608</v>
      </c>
      <c r="B686" s="1" t="s">
        <v>650</v>
      </c>
      <c r="C686" s="1" t="str">
        <f>"66298805925196"</f>
        <v>66298805925196</v>
      </c>
      <c r="D686" s="1" t="str">
        <f>"58300-25H11-000H"</f>
        <v>58300-25H11-000H</v>
      </c>
      <c r="E686" s="1" t="s">
        <v>17</v>
      </c>
      <c r="F686" s="1">
        <v>2</v>
      </c>
      <c r="G686" s="1">
        <v>1320</v>
      </c>
      <c r="H686" s="1">
        <v>2640</v>
      </c>
      <c r="I686" s="1">
        <v>0</v>
      </c>
      <c r="J686" s="1">
        <v>2</v>
      </c>
      <c r="K686" s="1">
        <v>0</v>
      </c>
    </row>
    <row r="687" spans="1:11" x14ac:dyDescent="0.2">
      <c r="A687" s="1" t="s">
        <v>608</v>
      </c>
      <c r="B687" s="1" t="s">
        <v>651</v>
      </c>
      <c r="C687" s="1" t="str">
        <f>"66298805969539"</f>
        <v>66298805969539</v>
      </c>
      <c r="D687" s="1" t="str">
        <f>"58300-25H21-000H"</f>
        <v>58300-25H21-000H</v>
      </c>
      <c r="E687" s="1" t="s">
        <v>17</v>
      </c>
      <c r="F687" s="1">
        <v>3</v>
      </c>
      <c r="G687" s="1">
        <v>1320</v>
      </c>
      <c r="H687" s="1">
        <v>3960</v>
      </c>
      <c r="I687" s="1">
        <v>0</v>
      </c>
      <c r="J687" s="1">
        <v>3</v>
      </c>
      <c r="K687" s="1">
        <v>0</v>
      </c>
    </row>
    <row r="688" spans="1:11" x14ac:dyDescent="0.2">
      <c r="A688" s="1" t="s">
        <v>608</v>
      </c>
      <c r="B688" s="1" t="s">
        <v>652</v>
      </c>
      <c r="C688" s="1" t="str">
        <f>"58300H2C000H000"</f>
        <v>58300H2C000H000</v>
      </c>
      <c r="D688" s="1" t="str">
        <f>"58300H2C000H000"</f>
        <v>58300H2C000H000</v>
      </c>
      <c r="E688" s="1" t="s">
        <v>17</v>
      </c>
      <c r="F688" s="1">
        <v>2</v>
      </c>
      <c r="G688" s="1">
        <v>6075.01</v>
      </c>
      <c r="H688" s="1">
        <v>12150</v>
      </c>
      <c r="I688" s="1">
        <v>0</v>
      </c>
      <c r="J688" s="1">
        <v>2</v>
      </c>
      <c r="K688" s="1">
        <v>0</v>
      </c>
    </row>
    <row r="689" spans="1:11" x14ac:dyDescent="0.2">
      <c r="A689" s="1" t="s">
        <v>608</v>
      </c>
      <c r="B689" s="1" t="s">
        <v>653</v>
      </c>
      <c r="C689" s="1" t="str">
        <f>"66298806014110"</f>
        <v>66298806014110</v>
      </c>
      <c r="D689" s="1" t="str">
        <f>"54012-0266HB"</f>
        <v>54012-0266HB</v>
      </c>
      <c r="E689" s="1" t="s">
        <v>17</v>
      </c>
      <c r="F689" s="1">
        <v>10</v>
      </c>
      <c r="G689" s="1">
        <v>950</v>
      </c>
      <c r="H689" s="1">
        <v>9500</v>
      </c>
      <c r="I689" s="1">
        <v>0</v>
      </c>
      <c r="J689" s="1">
        <v>10</v>
      </c>
      <c r="K689" s="1">
        <v>0</v>
      </c>
    </row>
    <row r="690" spans="1:11" x14ac:dyDescent="0.2">
      <c r="A690" s="1" t="s">
        <v>608</v>
      </c>
      <c r="B690" s="1" t="s">
        <v>654</v>
      </c>
      <c r="C690" s="1" t="str">
        <f>"66298806051589"</f>
        <v>66298806051589</v>
      </c>
      <c r="D690" s="1" t="str">
        <f>"400247"</f>
        <v>400247</v>
      </c>
      <c r="E690" s="1" t="s">
        <v>17</v>
      </c>
      <c r="F690" s="1">
        <v>17</v>
      </c>
      <c r="G690" s="1">
        <v>568</v>
      </c>
      <c r="H690" s="1">
        <v>9656</v>
      </c>
      <c r="I690" s="1">
        <v>0</v>
      </c>
      <c r="J690" s="1">
        <v>17</v>
      </c>
      <c r="K690" s="1">
        <v>0</v>
      </c>
    </row>
    <row r="691" spans="1:11" x14ac:dyDescent="0.2">
      <c r="A691" s="1" t="s">
        <v>608</v>
      </c>
      <c r="B691" s="1" t="s">
        <v>655</v>
      </c>
      <c r="C691" s="1" t="str">
        <f>"66298806093927"</f>
        <v>66298806093927</v>
      </c>
      <c r="D691" s="1" t="str">
        <f>"B04-F6301-00HB"</f>
        <v>B04-F6301-00HB</v>
      </c>
      <c r="E691" s="1" t="s">
        <v>17</v>
      </c>
      <c r="F691" s="1">
        <v>7</v>
      </c>
      <c r="G691" s="1">
        <v>6463</v>
      </c>
      <c r="H691" s="1">
        <v>45241</v>
      </c>
      <c r="I691" s="1">
        <v>0</v>
      </c>
      <c r="J691" s="1">
        <v>7</v>
      </c>
      <c r="K691" s="1">
        <v>0</v>
      </c>
    </row>
    <row r="692" spans="1:11" x14ac:dyDescent="0.2">
      <c r="A692" s="1" t="s">
        <v>608</v>
      </c>
      <c r="B692" s="1" t="s">
        <v>656</v>
      </c>
      <c r="C692" s="1" t="str">
        <f>"66298806132676"</f>
        <v>66298806132676</v>
      </c>
      <c r="D692" s="1" t="str">
        <f>"54012-0577HB"</f>
        <v>54012-0577HB</v>
      </c>
      <c r="E692" s="1" t="s">
        <v>17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</row>
    <row r="693" spans="1:11" x14ac:dyDescent="0.2">
      <c r="A693" s="1" t="s">
        <v>608</v>
      </c>
      <c r="B693" s="1" t="s">
        <v>657</v>
      </c>
      <c r="C693" s="1" t="str">
        <f>"66298806169986"</f>
        <v>66298806169986</v>
      </c>
      <c r="D693" s="1" t="str">
        <f>"17920-MCG-000BR"</f>
        <v>17920-MCG-000BR</v>
      </c>
      <c r="E693" s="1" t="s">
        <v>17</v>
      </c>
      <c r="F693" s="1">
        <v>3</v>
      </c>
      <c r="G693" s="1">
        <v>3229</v>
      </c>
      <c r="H693" s="1">
        <v>9687</v>
      </c>
      <c r="I693" s="1">
        <v>0</v>
      </c>
      <c r="J693" s="1">
        <v>3</v>
      </c>
      <c r="K693" s="1">
        <v>0</v>
      </c>
    </row>
    <row r="694" spans="1:11" x14ac:dyDescent="0.2">
      <c r="A694" s="1" t="s">
        <v>608</v>
      </c>
      <c r="B694" s="1" t="s">
        <v>658</v>
      </c>
      <c r="C694" s="1" t="str">
        <f>"66298806212650"</f>
        <v>66298806212650</v>
      </c>
      <c r="D694" s="1" t="str">
        <f>"17910-KSM-900HB"</f>
        <v>17910-KSM-900HB</v>
      </c>
      <c r="E694" s="1" t="s">
        <v>17</v>
      </c>
      <c r="F694" s="1">
        <v>21</v>
      </c>
      <c r="G694" s="1">
        <v>781</v>
      </c>
      <c r="H694" s="1">
        <v>16401</v>
      </c>
      <c r="I694" s="1">
        <v>0</v>
      </c>
      <c r="J694" s="1">
        <v>21</v>
      </c>
      <c r="K694" s="1">
        <v>0</v>
      </c>
    </row>
    <row r="695" spans="1:11" x14ac:dyDescent="0.2">
      <c r="A695" s="1" t="s">
        <v>608</v>
      </c>
      <c r="B695" s="1" t="s">
        <v>659</v>
      </c>
      <c r="C695" s="1" t="str">
        <f>"BC012"</f>
        <v>BC012</v>
      </c>
      <c r="D695" s="1" t="str">
        <f>"BC012"</f>
        <v>BC012</v>
      </c>
      <c r="E695" s="1" t="s">
        <v>17</v>
      </c>
      <c r="F695" s="1">
        <v>4</v>
      </c>
      <c r="G695" s="1">
        <v>1610</v>
      </c>
      <c r="H695" s="1">
        <v>6440</v>
      </c>
      <c r="I695" s="1">
        <v>0</v>
      </c>
      <c r="J695" s="1">
        <v>4</v>
      </c>
      <c r="K695" s="1">
        <v>0</v>
      </c>
    </row>
    <row r="696" spans="1:11" x14ac:dyDescent="0.2">
      <c r="A696" s="1" t="s">
        <v>608</v>
      </c>
      <c r="B696" s="1" t="s">
        <v>660</v>
      </c>
      <c r="C696" s="1" t="str">
        <f>"BC022"</f>
        <v>BC022</v>
      </c>
      <c r="D696" s="1" t="str">
        <f>"BC022"</f>
        <v>BC022</v>
      </c>
      <c r="E696" s="1" t="s">
        <v>17</v>
      </c>
      <c r="F696" s="1">
        <v>2</v>
      </c>
      <c r="G696" s="1">
        <v>3744</v>
      </c>
      <c r="H696" s="1">
        <v>7488</v>
      </c>
      <c r="I696" s="1">
        <v>0</v>
      </c>
      <c r="J696" s="1">
        <v>2</v>
      </c>
      <c r="K696" s="1">
        <v>0</v>
      </c>
    </row>
    <row r="697" spans="1:11" x14ac:dyDescent="0.2">
      <c r="A697" s="1" t="s">
        <v>608</v>
      </c>
      <c r="B697" s="1" t="s">
        <v>661</v>
      </c>
      <c r="C697" s="1" t="str">
        <f>"66298806258314"</f>
        <v>66298806258314</v>
      </c>
      <c r="D697" s="1" t="str">
        <f>"JD-1612-00HB"</f>
        <v>JD-1612-00HB</v>
      </c>
      <c r="E697" s="1" t="s">
        <v>17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</row>
    <row r="698" spans="1:11" x14ac:dyDescent="0.2">
      <c r="A698" s="1" t="s">
        <v>608</v>
      </c>
      <c r="B698" s="1" t="s">
        <v>662</v>
      </c>
      <c r="C698" s="1" t="str">
        <f>"BC023"</f>
        <v>BC023</v>
      </c>
      <c r="D698" s="1" t="str">
        <f>"BC023"</f>
        <v>BC023</v>
      </c>
      <c r="E698" s="1" t="s">
        <v>17</v>
      </c>
      <c r="F698" s="1">
        <v>2</v>
      </c>
      <c r="G698" s="1">
        <v>1788</v>
      </c>
      <c r="H698" s="1">
        <v>3576</v>
      </c>
      <c r="I698" s="1">
        <v>0</v>
      </c>
      <c r="J698" s="1">
        <v>2</v>
      </c>
      <c r="K698" s="1">
        <v>0</v>
      </c>
    </row>
    <row r="699" spans="1:11" x14ac:dyDescent="0.2">
      <c r="A699" s="1" t="s">
        <v>608</v>
      </c>
      <c r="B699" s="1" t="s">
        <v>663</v>
      </c>
      <c r="C699" s="1" t="str">
        <f>"66298806598148"</f>
        <v>66298806598148</v>
      </c>
      <c r="D699" s="1" t="str">
        <f>"400637"</f>
        <v>400637</v>
      </c>
      <c r="E699" s="1" t="s">
        <v>17</v>
      </c>
      <c r="F699" s="1">
        <v>7</v>
      </c>
      <c r="G699" s="1">
        <v>613</v>
      </c>
      <c r="H699" s="1">
        <v>4291</v>
      </c>
      <c r="I699" s="1">
        <v>0</v>
      </c>
      <c r="J699" s="1">
        <v>7</v>
      </c>
      <c r="K699" s="1">
        <v>0</v>
      </c>
    </row>
    <row r="700" spans="1:11" x14ac:dyDescent="0.2">
      <c r="A700" s="1" t="s">
        <v>608</v>
      </c>
      <c r="B700" s="1" t="s">
        <v>664</v>
      </c>
      <c r="C700" s="1" t="str">
        <f>"66298806300653"</f>
        <v>66298806300653</v>
      </c>
      <c r="D700" s="1" t="str">
        <f>"JF-1612-02"</f>
        <v>JF-1612-02</v>
      </c>
      <c r="E700" s="1" t="s">
        <v>17</v>
      </c>
      <c r="F700" s="1">
        <v>2</v>
      </c>
      <c r="G700" s="1">
        <v>1210</v>
      </c>
      <c r="H700" s="1">
        <v>2420</v>
      </c>
      <c r="I700" s="1">
        <v>0</v>
      </c>
      <c r="J700" s="1">
        <v>2</v>
      </c>
      <c r="K700" s="1">
        <v>0</v>
      </c>
    </row>
    <row r="701" spans="1:11" x14ac:dyDescent="0.2">
      <c r="A701" s="1" t="s">
        <v>608</v>
      </c>
      <c r="B701" s="1" t="s">
        <v>665</v>
      </c>
      <c r="C701" s="1" t="str">
        <f>"66298806651594"</f>
        <v>66298806651594</v>
      </c>
      <c r="D701" s="1" t="str">
        <f>"DJ-1910-14HB"</f>
        <v>DJ-1910-14HB</v>
      </c>
      <c r="E701" s="1" t="s">
        <v>17</v>
      </c>
      <c r="F701" s="1">
        <v>5</v>
      </c>
      <c r="G701" s="1">
        <v>991</v>
      </c>
      <c r="H701" s="1">
        <v>4955</v>
      </c>
      <c r="I701" s="1">
        <v>0</v>
      </c>
      <c r="J701" s="1">
        <v>5</v>
      </c>
      <c r="K701" s="1">
        <v>0</v>
      </c>
    </row>
    <row r="702" spans="1:11" x14ac:dyDescent="0.2">
      <c r="A702" s="1" t="s">
        <v>608</v>
      </c>
      <c r="B702" s="1" t="s">
        <v>665</v>
      </c>
      <c r="C702" s="1" t="str">
        <f>"66298806659074"</f>
        <v>66298806659074</v>
      </c>
      <c r="D702" s="1" t="str">
        <f>"DJ-1910-08HB"</f>
        <v>DJ-1910-08HB</v>
      </c>
      <c r="E702" s="1" t="s">
        <v>17</v>
      </c>
      <c r="F702" s="1">
        <v>6</v>
      </c>
      <c r="G702" s="1">
        <v>873</v>
      </c>
      <c r="H702" s="1">
        <v>5238</v>
      </c>
      <c r="I702" s="1">
        <v>0</v>
      </c>
      <c r="J702" s="1">
        <v>6</v>
      </c>
      <c r="K702" s="1">
        <v>0</v>
      </c>
    </row>
    <row r="703" spans="1:11" x14ac:dyDescent="0.2">
      <c r="A703" s="1" t="s">
        <v>608</v>
      </c>
      <c r="B703" s="1" t="s">
        <v>666</v>
      </c>
      <c r="C703" s="1" t="str">
        <f>"66298806750793"</f>
        <v>66298806750793</v>
      </c>
      <c r="D703" s="1" t="str">
        <f>"400638"</f>
        <v>400638</v>
      </c>
      <c r="E703" s="1" t="s">
        <v>17</v>
      </c>
      <c r="F703" s="1">
        <v>18</v>
      </c>
      <c r="G703" s="1">
        <v>1089</v>
      </c>
      <c r="H703" s="1">
        <v>19602</v>
      </c>
      <c r="I703" s="1">
        <v>0</v>
      </c>
      <c r="J703" s="1">
        <v>18</v>
      </c>
      <c r="K703" s="1">
        <v>0</v>
      </c>
    </row>
    <row r="704" spans="1:11" ht="30" x14ac:dyDescent="0.2">
      <c r="A704" s="1" t="s">
        <v>608</v>
      </c>
      <c r="B704" s="1" t="s">
        <v>667</v>
      </c>
      <c r="C704" s="1" t="str">
        <f>"12992"</f>
        <v>12992</v>
      </c>
      <c r="D704" s="1" t="str">
        <f>"12992"</f>
        <v>12992</v>
      </c>
      <c r="E704" s="1" t="s">
        <v>17</v>
      </c>
      <c r="F704" s="1">
        <v>1</v>
      </c>
      <c r="G704" s="1">
        <v>2974.79</v>
      </c>
      <c r="H704" s="1">
        <v>2975</v>
      </c>
      <c r="I704" s="1">
        <v>0</v>
      </c>
      <c r="J704" s="1">
        <v>1</v>
      </c>
      <c r="K704" s="1">
        <v>0</v>
      </c>
    </row>
    <row r="705" spans="1:11" x14ac:dyDescent="0.2">
      <c r="A705" s="1" t="s">
        <v>608</v>
      </c>
      <c r="B705" s="1" t="s">
        <v>668</v>
      </c>
      <c r="C705" s="1" t="str">
        <f>"66298806712867"</f>
        <v>66298806712867</v>
      </c>
      <c r="D705" s="1" t="str">
        <f>"JL-1612-01HB"</f>
        <v>JL-1612-01HB</v>
      </c>
      <c r="E705" s="1" t="s">
        <v>17</v>
      </c>
      <c r="F705" s="1">
        <v>7</v>
      </c>
      <c r="G705" s="1">
        <v>2284</v>
      </c>
      <c r="H705" s="1">
        <v>15988</v>
      </c>
      <c r="I705" s="1">
        <v>0</v>
      </c>
      <c r="J705" s="1">
        <v>7</v>
      </c>
      <c r="K705" s="1">
        <v>0</v>
      </c>
    </row>
    <row r="706" spans="1:11" x14ac:dyDescent="0.2">
      <c r="A706" s="1" t="s">
        <v>608</v>
      </c>
      <c r="B706" s="1" t="s">
        <v>669</v>
      </c>
      <c r="C706" s="1" t="str">
        <f>"66298806791618"</f>
        <v>66298806791618</v>
      </c>
      <c r="D706" s="1" t="str">
        <f>"DJ-1910-61"</f>
        <v>DJ-1910-61</v>
      </c>
      <c r="E706" s="1" t="s">
        <v>17</v>
      </c>
      <c r="F706" s="1">
        <v>3</v>
      </c>
      <c r="G706" s="1">
        <v>906</v>
      </c>
      <c r="H706" s="1">
        <v>2718</v>
      </c>
      <c r="I706" s="1">
        <v>0</v>
      </c>
      <c r="J706" s="1">
        <v>3</v>
      </c>
      <c r="K706" s="1">
        <v>0</v>
      </c>
    </row>
    <row r="707" spans="1:11" x14ac:dyDescent="0.2">
      <c r="A707" s="1" t="s">
        <v>608</v>
      </c>
      <c r="B707" s="1" t="s">
        <v>670</v>
      </c>
      <c r="C707" s="1" t="str">
        <f>"66298806874168"</f>
        <v>66298806874168</v>
      </c>
      <c r="D707" s="1" t="str">
        <f>"400245"</f>
        <v>400245</v>
      </c>
      <c r="E707" s="1" t="s">
        <v>17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</row>
    <row r="708" spans="1:11" x14ac:dyDescent="0.2">
      <c r="A708" s="1" t="s">
        <v>608</v>
      </c>
      <c r="B708" s="1" t="s">
        <v>671</v>
      </c>
      <c r="C708" s="1" t="str">
        <f>"66298806836421"</f>
        <v>66298806836421</v>
      </c>
      <c r="D708" s="1" t="str">
        <f>"BC006"</f>
        <v>BC006</v>
      </c>
      <c r="E708" s="1" t="s">
        <v>17</v>
      </c>
      <c r="F708" s="1">
        <v>1</v>
      </c>
      <c r="G708" s="1">
        <v>2131</v>
      </c>
      <c r="H708" s="1">
        <v>2131</v>
      </c>
      <c r="I708" s="1">
        <v>0</v>
      </c>
      <c r="J708" s="1">
        <v>1</v>
      </c>
      <c r="K708" s="1">
        <v>0</v>
      </c>
    </row>
    <row r="709" spans="1:11" x14ac:dyDescent="0.2">
      <c r="A709" s="1" t="s">
        <v>608</v>
      </c>
      <c r="B709" s="1" t="s">
        <v>672</v>
      </c>
      <c r="C709" s="1" t="str">
        <f>"66298806912688"</f>
        <v>66298806912688</v>
      </c>
      <c r="D709" s="1" t="str">
        <f>"80390"</f>
        <v>80390</v>
      </c>
      <c r="E709" s="1" t="s">
        <v>17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</row>
    <row r="710" spans="1:11" x14ac:dyDescent="0.2">
      <c r="A710" s="1" t="s">
        <v>608</v>
      </c>
      <c r="B710" s="1" t="s">
        <v>673</v>
      </c>
      <c r="C710" s="1" t="str">
        <f>"66298806953549"</f>
        <v>66298806953549</v>
      </c>
      <c r="D710" s="1" t="str">
        <f>"17910-LDF7-EL0HB"</f>
        <v>17910-LDF7-EL0HB</v>
      </c>
      <c r="E710" s="1" t="s">
        <v>17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</row>
    <row r="711" spans="1:11" x14ac:dyDescent="0.2">
      <c r="A711" s="1" t="s">
        <v>608</v>
      </c>
      <c r="B711" s="1" t="s">
        <v>673</v>
      </c>
      <c r="C711" s="1" t="str">
        <f>"BC002"</f>
        <v>BC002</v>
      </c>
      <c r="D711" s="1" t="str">
        <f>"BC002"</f>
        <v>BC002</v>
      </c>
      <c r="E711" s="1" t="s">
        <v>17</v>
      </c>
      <c r="F711" s="1">
        <v>4</v>
      </c>
      <c r="G711" s="1">
        <v>2136</v>
      </c>
      <c r="H711" s="1">
        <v>8544</v>
      </c>
      <c r="I711" s="1">
        <v>0</v>
      </c>
      <c r="J711" s="1">
        <v>4</v>
      </c>
      <c r="K711" s="1">
        <v>0</v>
      </c>
    </row>
    <row r="712" spans="1:11" x14ac:dyDescent="0.2">
      <c r="A712" s="1" t="s">
        <v>608</v>
      </c>
      <c r="B712" s="1" t="s">
        <v>674</v>
      </c>
      <c r="C712" s="1" t="str">
        <f>"66298806998428"</f>
        <v>66298806998428</v>
      </c>
      <c r="D712" s="1" t="str">
        <f>"17910-KVC-900HB"</f>
        <v>17910-KVC-900HB</v>
      </c>
      <c r="E712" s="1" t="s">
        <v>17</v>
      </c>
      <c r="F712" s="1">
        <v>11</v>
      </c>
      <c r="G712" s="1">
        <v>865</v>
      </c>
      <c r="H712" s="1">
        <v>9515</v>
      </c>
      <c r="I712" s="1">
        <v>0</v>
      </c>
      <c r="J712" s="1">
        <v>11</v>
      </c>
      <c r="K712" s="1">
        <v>0</v>
      </c>
    </row>
    <row r="713" spans="1:11" x14ac:dyDescent="0.2">
      <c r="A713" s="1" t="s">
        <v>608</v>
      </c>
      <c r="B713" s="1" t="s">
        <v>674</v>
      </c>
      <c r="C713" s="1" t="str">
        <f>"66298807004878"</f>
        <v>66298807004878</v>
      </c>
      <c r="D713" s="1" t="str">
        <f>"82068"</f>
        <v>82068</v>
      </c>
      <c r="E713" s="1" t="s">
        <v>17</v>
      </c>
      <c r="F713" s="1">
        <v>1</v>
      </c>
      <c r="G713" s="1">
        <v>653</v>
      </c>
      <c r="H713" s="1">
        <v>653</v>
      </c>
      <c r="I713" s="1">
        <v>0</v>
      </c>
      <c r="J713" s="1">
        <v>1</v>
      </c>
      <c r="K713" s="1">
        <v>0</v>
      </c>
    </row>
    <row r="714" spans="1:11" x14ac:dyDescent="0.2">
      <c r="A714" s="1" t="s">
        <v>608</v>
      </c>
      <c r="B714" s="1" t="s">
        <v>675</v>
      </c>
      <c r="C714" s="1" t="str">
        <f>"66298807059383"</f>
        <v>66298807059383</v>
      </c>
      <c r="D714" s="1" t="str">
        <f>"BC017"</f>
        <v>BC017</v>
      </c>
      <c r="E714" s="1" t="s">
        <v>17</v>
      </c>
      <c r="F714" s="1">
        <v>3</v>
      </c>
      <c r="G714" s="1">
        <v>1583.67</v>
      </c>
      <c r="H714" s="1">
        <v>4751</v>
      </c>
      <c r="I714" s="1">
        <v>0</v>
      </c>
      <c r="J714" s="1">
        <v>3</v>
      </c>
      <c r="K714" s="1">
        <v>0</v>
      </c>
    </row>
    <row r="715" spans="1:11" x14ac:dyDescent="0.2">
      <c r="A715" s="1" t="s">
        <v>608</v>
      </c>
      <c r="B715" s="1" t="s">
        <v>676</v>
      </c>
      <c r="C715" s="1" t="str">
        <f>"66298807098845"</f>
        <v>66298807098845</v>
      </c>
      <c r="D715" s="1" t="str">
        <f>"BC013"</f>
        <v>BC013</v>
      </c>
      <c r="E715" s="1" t="s">
        <v>17</v>
      </c>
      <c r="F715" s="1">
        <v>2</v>
      </c>
      <c r="G715" s="1">
        <v>1560</v>
      </c>
      <c r="H715" s="1">
        <v>3120</v>
      </c>
      <c r="I715" s="1">
        <v>0</v>
      </c>
      <c r="J715" s="1">
        <v>2</v>
      </c>
      <c r="K715" s="1">
        <v>0</v>
      </c>
    </row>
    <row r="716" spans="1:11" x14ac:dyDescent="0.2">
      <c r="A716" s="1" t="s">
        <v>608</v>
      </c>
      <c r="B716" s="1" t="s">
        <v>677</v>
      </c>
      <c r="C716" s="1" t="str">
        <f>"66298807141309"</f>
        <v>66298807141309</v>
      </c>
      <c r="D716" s="1" t="str">
        <f>"C004-ACE-UNIV"</f>
        <v>C004-ACE-UNIV</v>
      </c>
      <c r="E716" s="1" t="s">
        <v>17</v>
      </c>
      <c r="F716" s="1">
        <v>13</v>
      </c>
      <c r="G716" s="1">
        <v>546</v>
      </c>
      <c r="H716" s="1">
        <v>7098</v>
      </c>
      <c r="I716" s="1">
        <v>0</v>
      </c>
      <c r="J716" s="1">
        <v>13</v>
      </c>
      <c r="K716" s="1">
        <v>0</v>
      </c>
    </row>
    <row r="717" spans="1:11" x14ac:dyDescent="0.2">
      <c r="A717" s="1" t="s">
        <v>608</v>
      </c>
      <c r="B717" s="1" t="s">
        <v>678</v>
      </c>
      <c r="C717" s="1" t="str">
        <f>"66298807180718"</f>
        <v>66298807180718</v>
      </c>
      <c r="D717" s="1" t="str">
        <f>"58300-33GH1-000"</f>
        <v>58300-33GH1-000</v>
      </c>
      <c r="E717" s="1" t="s">
        <v>17</v>
      </c>
      <c r="F717" s="1">
        <v>6</v>
      </c>
      <c r="G717" s="1">
        <v>5147.5</v>
      </c>
      <c r="H717" s="1">
        <v>30885</v>
      </c>
      <c r="I717" s="1">
        <v>0</v>
      </c>
      <c r="J717" s="1">
        <v>6</v>
      </c>
      <c r="K717" s="1">
        <v>0</v>
      </c>
    </row>
    <row r="718" spans="1:11" ht="30" x14ac:dyDescent="0.2">
      <c r="A718" s="1" t="s">
        <v>608</v>
      </c>
      <c r="B718" s="1" t="s">
        <v>679</v>
      </c>
      <c r="C718" s="1" t="str">
        <f>"17910-K43-901HB"</f>
        <v>17910-K43-901HB</v>
      </c>
      <c r="D718" s="1" t="str">
        <f>"17910-K43-901HB"</f>
        <v>17910-K43-901HB</v>
      </c>
      <c r="E718" s="1" t="s">
        <v>17</v>
      </c>
      <c r="F718" s="1">
        <v>7</v>
      </c>
      <c r="G718" s="1">
        <v>1403</v>
      </c>
      <c r="H718" s="1">
        <v>9821</v>
      </c>
      <c r="I718" s="1">
        <v>0</v>
      </c>
      <c r="J718" s="1">
        <v>7</v>
      </c>
      <c r="K718" s="1">
        <v>0</v>
      </c>
    </row>
    <row r="719" spans="1:11" x14ac:dyDescent="0.2">
      <c r="A719" s="1" t="s">
        <v>608</v>
      </c>
      <c r="B719" s="1" t="s">
        <v>680</v>
      </c>
      <c r="C719" s="1" t="str">
        <f>"66298807225504"</f>
        <v>66298807225504</v>
      </c>
      <c r="D719" s="1" t="str">
        <f>"400640"</f>
        <v>400640</v>
      </c>
      <c r="E719" s="1" t="s">
        <v>17</v>
      </c>
      <c r="F719" s="1">
        <v>22</v>
      </c>
      <c r="G719" s="1">
        <v>434</v>
      </c>
      <c r="H719" s="1">
        <v>9548</v>
      </c>
      <c r="I719" s="1">
        <v>0</v>
      </c>
      <c r="J719" s="1">
        <v>22</v>
      </c>
      <c r="K719" s="1">
        <v>0</v>
      </c>
    </row>
    <row r="720" spans="1:11" x14ac:dyDescent="0.2">
      <c r="A720" s="1" t="s">
        <v>608</v>
      </c>
      <c r="B720" s="1" t="s">
        <v>681</v>
      </c>
      <c r="C720" s="1" t="str">
        <f>"66298807310700"</f>
        <v>66298807310700</v>
      </c>
      <c r="D720" s="1" t="str">
        <f>"400641"</f>
        <v>400641</v>
      </c>
      <c r="E720" s="1" t="s">
        <v>17</v>
      </c>
      <c r="F720" s="1">
        <v>9</v>
      </c>
      <c r="G720" s="1">
        <v>404</v>
      </c>
      <c r="H720" s="1">
        <v>3636</v>
      </c>
      <c r="I720" s="1">
        <v>0</v>
      </c>
      <c r="J720" s="1">
        <v>9</v>
      </c>
      <c r="K720" s="1">
        <v>0</v>
      </c>
    </row>
    <row r="721" spans="1:11" x14ac:dyDescent="0.2">
      <c r="A721" s="1" t="s">
        <v>608</v>
      </c>
      <c r="B721" s="1" t="s">
        <v>682</v>
      </c>
      <c r="C721" s="1" t="str">
        <f>"66298807267611"</f>
        <v>66298807267611</v>
      </c>
      <c r="D721" s="1" t="str">
        <f>"17910-KRH-A00HB"</f>
        <v>17910-KRH-A00HB</v>
      </c>
      <c r="E721" s="1" t="s">
        <v>17</v>
      </c>
      <c r="F721" s="1">
        <v>5</v>
      </c>
      <c r="G721" s="1">
        <v>1198</v>
      </c>
      <c r="H721" s="1">
        <v>5990</v>
      </c>
      <c r="I721" s="1">
        <v>0</v>
      </c>
      <c r="J721" s="1">
        <v>5</v>
      </c>
      <c r="K721" s="1">
        <v>0</v>
      </c>
    </row>
    <row r="722" spans="1:11" x14ac:dyDescent="0.2">
      <c r="A722" s="1" t="s">
        <v>608</v>
      </c>
      <c r="B722" s="1" t="s">
        <v>682</v>
      </c>
      <c r="C722" s="1" t="str">
        <f>"BC026"</f>
        <v>BC026</v>
      </c>
      <c r="D722" s="1" t="str">
        <f>"BC026"</f>
        <v>BC026</v>
      </c>
      <c r="E722" s="1" t="s">
        <v>17</v>
      </c>
      <c r="F722" s="1">
        <v>1</v>
      </c>
      <c r="G722" s="1">
        <v>1750</v>
      </c>
      <c r="H722" s="1">
        <v>1750</v>
      </c>
      <c r="I722" s="1">
        <v>0</v>
      </c>
      <c r="J722" s="1">
        <v>1</v>
      </c>
      <c r="K722" s="1">
        <v>0</v>
      </c>
    </row>
    <row r="723" spans="1:11" x14ac:dyDescent="0.2">
      <c r="A723" s="1" t="s">
        <v>608</v>
      </c>
      <c r="B723" s="1" t="s">
        <v>683</v>
      </c>
      <c r="C723" s="1" t="str">
        <f>"66298807352477"</f>
        <v>66298807352477</v>
      </c>
      <c r="D723" s="1" t="str">
        <f>"400644"</f>
        <v>400644</v>
      </c>
      <c r="E723" s="1" t="s">
        <v>17</v>
      </c>
      <c r="F723" s="1">
        <v>20</v>
      </c>
      <c r="G723" s="1">
        <v>603</v>
      </c>
      <c r="H723" s="1">
        <v>12060</v>
      </c>
      <c r="I723" s="1">
        <v>0</v>
      </c>
      <c r="J723" s="1">
        <v>20</v>
      </c>
      <c r="K723" s="1">
        <v>0</v>
      </c>
    </row>
    <row r="724" spans="1:11" x14ac:dyDescent="0.2">
      <c r="A724" s="1" t="s">
        <v>608</v>
      </c>
      <c r="B724" s="1" t="s">
        <v>684</v>
      </c>
      <c r="C724" s="1" t="str">
        <f>"66298807435652"</f>
        <v>66298807435652</v>
      </c>
      <c r="D724" s="1" t="str">
        <f>"400642"</f>
        <v>400642</v>
      </c>
      <c r="E724" s="1" t="s">
        <v>17</v>
      </c>
      <c r="F724" s="1">
        <v>13</v>
      </c>
      <c r="G724" s="1">
        <v>555</v>
      </c>
      <c r="H724" s="1">
        <v>7215</v>
      </c>
      <c r="I724" s="1">
        <v>0</v>
      </c>
      <c r="J724" s="1">
        <v>13</v>
      </c>
      <c r="K724" s="1">
        <v>0</v>
      </c>
    </row>
    <row r="725" spans="1:11" x14ac:dyDescent="0.2">
      <c r="A725" s="1" t="s">
        <v>608</v>
      </c>
      <c r="B725" s="1" t="s">
        <v>685</v>
      </c>
      <c r="C725" s="1" t="str">
        <f>"66298807393953"</f>
        <v>66298807393953</v>
      </c>
      <c r="D725" s="1" t="str">
        <f>"17910-KPE-900HB"</f>
        <v>17910-KPE-900HB</v>
      </c>
      <c r="E725" s="1" t="s">
        <v>17</v>
      </c>
      <c r="F725" s="1">
        <v>13</v>
      </c>
      <c r="G725" s="1">
        <v>1919</v>
      </c>
      <c r="H725" s="1">
        <v>24947</v>
      </c>
      <c r="I725" s="1">
        <v>0</v>
      </c>
      <c r="J725" s="1">
        <v>13</v>
      </c>
      <c r="K725" s="1">
        <v>0</v>
      </c>
    </row>
    <row r="726" spans="1:11" x14ac:dyDescent="0.2">
      <c r="A726" s="1" t="s">
        <v>608</v>
      </c>
      <c r="B726" s="1" t="s">
        <v>686</v>
      </c>
      <c r="C726" s="1" t="str">
        <f>"66298807553427"</f>
        <v>66298807553427</v>
      </c>
      <c r="D726" s="1" t="str">
        <f>"400643"</f>
        <v>400643</v>
      </c>
      <c r="E726" s="1" t="s">
        <v>17</v>
      </c>
      <c r="F726" s="1">
        <v>8</v>
      </c>
      <c r="G726" s="1">
        <v>526</v>
      </c>
      <c r="H726" s="1">
        <v>4208</v>
      </c>
      <c r="I726" s="1">
        <v>0</v>
      </c>
      <c r="J726" s="1">
        <v>8</v>
      </c>
      <c r="K726" s="1">
        <v>0</v>
      </c>
    </row>
    <row r="727" spans="1:11" x14ac:dyDescent="0.2">
      <c r="A727" s="1" t="s">
        <v>608</v>
      </c>
      <c r="B727" s="1" t="s">
        <v>687</v>
      </c>
      <c r="C727" s="1" t="str">
        <f>"66298807473034"</f>
        <v>66298807473034</v>
      </c>
      <c r="D727" s="1" t="str">
        <f>"000153"</f>
        <v>000153</v>
      </c>
      <c r="E727" s="1" t="s">
        <v>17</v>
      </c>
      <c r="F727" s="1">
        <v>1</v>
      </c>
      <c r="G727" s="1">
        <v>1824</v>
      </c>
      <c r="H727" s="1">
        <v>1824</v>
      </c>
      <c r="I727" s="1">
        <v>0</v>
      </c>
      <c r="J727" s="1">
        <v>1</v>
      </c>
      <c r="K727" s="1">
        <v>0</v>
      </c>
    </row>
    <row r="728" spans="1:11" x14ac:dyDescent="0.2">
      <c r="A728" s="1" t="s">
        <v>608</v>
      </c>
      <c r="B728" s="1" t="s">
        <v>687</v>
      </c>
      <c r="C728" s="1" t="str">
        <f>"66298807514345"</f>
        <v>66298807514345</v>
      </c>
      <c r="D728" s="1" t="str">
        <f>"17920-KPE-900HB"</f>
        <v>17920-KPE-900HB</v>
      </c>
      <c r="E728" s="1" t="s">
        <v>17</v>
      </c>
      <c r="F728" s="1">
        <v>8</v>
      </c>
      <c r="G728" s="1">
        <v>1915</v>
      </c>
      <c r="H728" s="1">
        <v>15320</v>
      </c>
      <c r="I728" s="1">
        <v>0</v>
      </c>
      <c r="J728" s="1">
        <v>8</v>
      </c>
      <c r="K728" s="1">
        <v>0</v>
      </c>
    </row>
    <row r="729" spans="1:11" x14ac:dyDescent="0.2">
      <c r="A729" s="1" t="s">
        <v>608</v>
      </c>
      <c r="B729" s="1" t="s">
        <v>688</v>
      </c>
      <c r="C729" s="1" t="str">
        <f>"66298807590262"</f>
        <v>66298807590262</v>
      </c>
      <c r="D729" s="1" t="str">
        <f>"8958-A"</f>
        <v>8958-A</v>
      </c>
      <c r="E729" s="1" t="s">
        <v>17</v>
      </c>
      <c r="F729" s="1">
        <v>5</v>
      </c>
      <c r="G729" s="1">
        <v>1441</v>
      </c>
      <c r="H729" s="1">
        <v>7205</v>
      </c>
      <c r="I729" s="1">
        <v>0</v>
      </c>
      <c r="J729" s="1">
        <v>5</v>
      </c>
      <c r="K729" s="1">
        <v>0</v>
      </c>
    </row>
    <row r="730" spans="1:11" x14ac:dyDescent="0.2">
      <c r="A730" s="1" t="s">
        <v>608</v>
      </c>
      <c r="B730" s="1" t="s">
        <v>689</v>
      </c>
      <c r="C730" s="1" t="str">
        <f>"66298807627062"</f>
        <v>66298807627062</v>
      </c>
      <c r="D730" s="1" t="str">
        <f>"8958-B"</f>
        <v>8958-B</v>
      </c>
      <c r="E730" s="1" t="s">
        <v>17</v>
      </c>
      <c r="F730" s="1">
        <v>3</v>
      </c>
      <c r="G730" s="1">
        <v>1441</v>
      </c>
      <c r="H730" s="1">
        <v>4323</v>
      </c>
      <c r="I730" s="1">
        <v>0</v>
      </c>
      <c r="J730" s="1">
        <v>3</v>
      </c>
      <c r="K730" s="1">
        <v>0</v>
      </c>
    </row>
    <row r="731" spans="1:11" x14ac:dyDescent="0.2">
      <c r="A731" s="1" t="s">
        <v>608</v>
      </c>
      <c r="B731" s="1" t="s">
        <v>690</v>
      </c>
      <c r="C731" s="1" t="str">
        <f>"17910-KWT-700HB"</f>
        <v>17910-KWT-700HB</v>
      </c>
      <c r="D731" s="1" t="str">
        <f>"17910-KWT-700HB"</f>
        <v>17910-KWT-700HB</v>
      </c>
      <c r="E731" s="1" t="s">
        <v>17</v>
      </c>
      <c r="F731" s="1">
        <v>10</v>
      </c>
      <c r="G731" s="1">
        <v>1714</v>
      </c>
      <c r="H731" s="1">
        <v>17140</v>
      </c>
      <c r="I731" s="1">
        <v>0</v>
      </c>
      <c r="J731" s="1">
        <v>10</v>
      </c>
      <c r="K731" s="1">
        <v>0</v>
      </c>
    </row>
    <row r="732" spans="1:11" x14ac:dyDescent="0.2">
      <c r="A732" s="1" t="s">
        <v>608</v>
      </c>
      <c r="B732" s="1" t="s">
        <v>691</v>
      </c>
      <c r="C732" s="1" t="str">
        <f>"66298807670572"</f>
        <v>66298807670572</v>
      </c>
      <c r="D732" s="1" t="str">
        <f>"80342"</f>
        <v>80342</v>
      </c>
      <c r="E732" s="1" t="s">
        <v>17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</row>
    <row r="733" spans="1:11" x14ac:dyDescent="0.2">
      <c r="A733" s="1" t="s">
        <v>608</v>
      </c>
      <c r="B733" s="1" t="s">
        <v>692</v>
      </c>
      <c r="C733" s="1" t="str">
        <f>"66298807717522"</f>
        <v>66298807717522</v>
      </c>
      <c r="D733" s="1" t="str">
        <f>"80343"</f>
        <v>80343</v>
      </c>
      <c r="E733" s="1" t="s">
        <v>17</v>
      </c>
      <c r="F733" s="1">
        <v>10</v>
      </c>
      <c r="G733" s="1">
        <v>607</v>
      </c>
      <c r="H733" s="1">
        <v>6070</v>
      </c>
      <c r="I733" s="1">
        <v>0</v>
      </c>
      <c r="J733" s="1">
        <v>10</v>
      </c>
      <c r="K733" s="1">
        <v>0</v>
      </c>
    </row>
    <row r="734" spans="1:11" x14ac:dyDescent="0.2">
      <c r="A734" s="1" t="s">
        <v>608</v>
      </c>
      <c r="B734" s="1" t="s">
        <v>692</v>
      </c>
      <c r="C734" s="1" t="str">
        <f>"66298807723005"</f>
        <v>66298807723005</v>
      </c>
      <c r="D734" s="1" t="str">
        <f>"5HH-F6311-01HB"</f>
        <v>5HH-F6311-01HB</v>
      </c>
      <c r="E734" s="1" t="s">
        <v>17</v>
      </c>
      <c r="F734" s="1">
        <v>1</v>
      </c>
      <c r="G734" s="1">
        <v>909</v>
      </c>
      <c r="H734" s="1">
        <v>909</v>
      </c>
      <c r="I734" s="1">
        <v>0</v>
      </c>
      <c r="J734" s="1">
        <v>1</v>
      </c>
      <c r="K734" s="1">
        <v>0</v>
      </c>
    </row>
    <row r="735" spans="1:11" x14ac:dyDescent="0.2">
      <c r="A735" s="1" t="s">
        <v>608</v>
      </c>
      <c r="B735" s="1" t="s">
        <v>692</v>
      </c>
      <c r="C735" s="1" t="str">
        <f>"66298807728745"</f>
        <v>66298807728745</v>
      </c>
      <c r="D735" s="1" t="str">
        <f>"4P2-F6311-01HB"</f>
        <v>4P2-F6311-01HB</v>
      </c>
      <c r="E735" s="1" t="s">
        <v>17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</row>
    <row r="736" spans="1:11" x14ac:dyDescent="0.2">
      <c r="A736" s="1" t="s">
        <v>608</v>
      </c>
      <c r="B736" s="1" t="s">
        <v>693</v>
      </c>
      <c r="C736" s="1" t="str">
        <f>"BC009"</f>
        <v>BC009</v>
      </c>
      <c r="D736" s="1" t="str">
        <f>"BC009"</f>
        <v>BC009</v>
      </c>
      <c r="E736" s="1" t="s">
        <v>17</v>
      </c>
      <c r="F736" s="1">
        <v>1</v>
      </c>
      <c r="G736" s="1">
        <v>1872</v>
      </c>
      <c r="H736" s="1">
        <v>1872</v>
      </c>
      <c r="I736" s="1">
        <v>0</v>
      </c>
      <c r="J736" s="1">
        <v>1</v>
      </c>
      <c r="K736" s="1">
        <v>0</v>
      </c>
    </row>
    <row r="737" spans="1:11" x14ac:dyDescent="0.2">
      <c r="A737" s="1" t="s">
        <v>608</v>
      </c>
      <c r="B737" s="1" t="s">
        <v>694</v>
      </c>
      <c r="C737" s="1" t="str">
        <f>"66298807796275"</f>
        <v>66298807796275</v>
      </c>
      <c r="D737" s="1" t="str">
        <f>"5KA-F6311-00"</f>
        <v>5KA-F6311-00</v>
      </c>
      <c r="E737" s="1" t="s">
        <v>17</v>
      </c>
      <c r="F737" s="1">
        <v>1</v>
      </c>
      <c r="G737" s="1">
        <v>2082</v>
      </c>
      <c r="H737" s="1">
        <v>2082</v>
      </c>
      <c r="I737" s="1">
        <v>0</v>
      </c>
      <c r="J737" s="1">
        <v>1</v>
      </c>
      <c r="K737" s="1">
        <v>0</v>
      </c>
    </row>
    <row r="738" spans="1:11" x14ac:dyDescent="0.2">
      <c r="A738" s="1" t="s">
        <v>608</v>
      </c>
      <c r="B738" s="1" t="s">
        <v>695</v>
      </c>
      <c r="C738" s="1" t="str">
        <f>"66298807838780"</f>
        <v>66298807838780</v>
      </c>
      <c r="D738" s="1" t="str">
        <f>"24P-F6311-00HB"</f>
        <v>24P-F6311-00HB</v>
      </c>
      <c r="E738" s="1" t="s">
        <v>17</v>
      </c>
      <c r="F738" s="1">
        <v>6</v>
      </c>
      <c r="G738" s="1">
        <v>1740</v>
      </c>
      <c r="H738" s="1">
        <v>10440</v>
      </c>
      <c r="I738" s="1">
        <v>0</v>
      </c>
      <c r="J738" s="1">
        <v>6</v>
      </c>
      <c r="K738" s="1">
        <v>0</v>
      </c>
    </row>
    <row r="739" spans="1:11" x14ac:dyDescent="0.2">
      <c r="A739" s="1" t="s">
        <v>608</v>
      </c>
      <c r="B739" s="1" t="s">
        <v>696</v>
      </c>
      <c r="C739" s="1" t="str">
        <f>"66298807881362"</f>
        <v>66298807881362</v>
      </c>
      <c r="D739" s="1" t="str">
        <f>"24P-F6312-01HB"</f>
        <v>24P-F6312-01HB</v>
      </c>
      <c r="E739" s="1" t="s">
        <v>17</v>
      </c>
      <c r="F739" s="1">
        <v>1</v>
      </c>
      <c r="G739" s="1">
        <v>1521</v>
      </c>
      <c r="H739" s="1">
        <v>1521</v>
      </c>
      <c r="I739" s="1">
        <v>0</v>
      </c>
      <c r="J739" s="1">
        <v>1</v>
      </c>
      <c r="K739" s="1">
        <v>0</v>
      </c>
    </row>
    <row r="740" spans="1:11" x14ac:dyDescent="0.2">
      <c r="A740" s="1" t="s">
        <v>608</v>
      </c>
      <c r="B740" s="1" t="s">
        <v>697</v>
      </c>
      <c r="C740" s="1" t="str">
        <f>"66298807922692"</f>
        <v>66298807922692</v>
      </c>
      <c r="D740" s="1" t="str">
        <f>"1CK-F6311-00"</f>
        <v>1CK-F6311-00</v>
      </c>
      <c r="E740" s="1" t="s">
        <v>17</v>
      </c>
      <c r="F740" s="1">
        <v>1</v>
      </c>
      <c r="G740" s="1">
        <v>4913</v>
      </c>
      <c r="H740" s="1">
        <v>4913</v>
      </c>
      <c r="I740" s="1">
        <v>0</v>
      </c>
      <c r="J740" s="1">
        <v>1</v>
      </c>
      <c r="K740" s="1">
        <v>0</v>
      </c>
    </row>
    <row r="741" spans="1:11" x14ac:dyDescent="0.2">
      <c r="A741" s="1" t="s">
        <v>608</v>
      </c>
      <c r="B741" s="1" t="s">
        <v>698</v>
      </c>
      <c r="C741" s="1" t="str">
        <f>"66298807960846"</f>
        <v>66298807960846</v>
      </c>
      <c r="D741" s="1" t="str">
        <f>"1CK-F6312-00"</f>
        <v>1CK-F6312-00</v>
      </c>
      <c r="E741" s="1" t="s">
        <v>17</v>
      </c>
      <c r="F741" s="1">
        <v>3</v>
      </c>
      <c r="G741" s="1">
        <v>6043</v>
      </c>
      <c r="H741" s="1">
        <v>18129</v>
      </c>
      <c r="I741" s="1">
        <v>0</v>
      </c>
      <c r="J741" s="1">
        <v>3</v>
      </c>
      <c r="K741" s="1">
        <v>0</v>
      </c>
    </row>
    <row r="742" spans="1:11" x14ac:dyDescent="0.2">
      <c r="A742" s="1" t="s">
        <v>608</v>
      </c>
      <c r="B742" s="1" t="s">
        <v>699</v>
      </c>
      <c r="C742" s="1" t="str">
        <f>"66298808005641"</f>
        <v>66298808005641</v>
      </c>
      <c r="D742" s="1" t="str">
        <f>"17950-KSP-900HB"</f>
        <v>17950-KSP-900HB</v>
      </c>
      <c r="E742" s="1" t="s">
        <v>17</v>
      </c>
      <c r="F742" s="1">
        <v>1</v>
      </c>
      <c r="G742" s="1">
        <v>1008</v>
      </c>
      <c r="H742" s="1">
        <v>1008</v>
      </c>
      <c r="I742" s="1">
        <v>0</v>
      </c>
      <c r="J742" s="1">
        <v>1</v>
      </c>
      <c r="K742" s="1">
        <v>0</v>
      </c>
    </row>
    <row r="743" spans="1:11" x14ac:dyDescent="0.2">
      <c r="A743" s="1" t="s">
        <v>608</v>
      </c>
      <c r="B743" s="1" t="s">
        <v>700</v>
      </c>
      <c r="C743" s="1" t="str">
        <f>"58410-45F00"</f>
        <v>58410-45F00</v>
      </c>
      <c r="D743" s="1" t="str">
        <f>"58410-45F00"</f>
        <v>58410-45F00</v>
      </c>
      <c r="E743" s="1" t="s">
        <v>17</v>
      </c>
      <c r="F743" s="1">
        <v>3</v>
      </c>
      <c r="G743" s="1">
        <v>873.33</v>
      </c>
      <c r="H743" s="1">
        <v>2620</v>
      </c>
      <c r="I743" s="1">
        <v>0</v>
      </c>
      <c r="J743" s="1">
        <v>3</v>
      </c>
      <c r="K743" s="1">
        <v>0</v>
      </c>
    </row>
    <row r="744" spans="1:11" x14ac:dyDescent="0.2">
      <c r="A744" s="1" t="s">
        <v>608</v>
      </c>
      <c r="B744" s="1" t="s">
        <v>701</v>
      </c>
      <c r="C744" s="1" t="str">
        <f>"21C-F6331-01HB"</f>
        <v>21C-F6331-01HB</v>
      </c>
      <c r="D744" s="1" t="str">
        <f>"21C-F6331-01HB"</f>
        <v>21C-F6331-01HB</v>
      </c>
      <c r="E744" s="1" t="s">
        <v>17</v>
      </c>
      <c r="F744" s="1">
        <v>2</v>
      </c>
      <c r="G744" s="1">
        <v>836</v>
      </c>
      <c r="H744" s="1">
        <v>1672</v>
      </c>
      <c r="I744" s="1">
        <v>0</v>
      </c>
      <c r="J744" s="1">
        <v>2</v>
      </c>
      <c r="K744" s="1">
        <v>0</v>
      </c>
    </row>
    <row r="745" spans="1:11" x14ac:dyDescent="0.2">
      <c r="A745" s="1" t="s">
        <v>608</v>
      </c>
      <c r="B745" s="1" t="s">
        <v>702</v>
      </c>
      <c r="C745" s="1" t="str">
        <f>"66298808091843"</f>
        <v>66298808091843</v>
      </c>
      <c r="D745" s="1" t="str">
        <f>"400590"</f>
        <v>400590</v>
      </c>
      <c r="E745" s="1" t="s">
        <v>17</v>
      </c>
      <c r="F745" s="1">
        <v>21</v>
      </c>
      <c r="G745" s="1">
        <v>469</v>
      </c>
      <c r="H745" s="1">
        <v>9849</v>
      </c>
      <c r="I745" s="1">
        <v>0</v>
      </c>
      <c r="J745" s="1">
        <v>21</v>
      </c>
      <c r="K745" s="1">
        <v>0</v>
      </c>
    </row>
    <row r="746" spans="1:11" x14ac:dyDescent="0.2">
      <c r="A746" s="1" t="s">
        <v>608</v>
      </c>
      <c r="B746" s="1" t="s">
        <v>703</v>
      </c>
      <c r="C746" s="1" t="str">
        <f>"66298808134864"</f>
        <v>66298808134864</v>
      </c>
      <c r="D746" s="1" t="str">
        <f>"B10030103"</f>
        <v>B10030103</v>
      </c>
      <c r="E746" s="1" t="s">
        <v>17</v>
      </c>
      <c r="F746" s="1">
        <v>1</v>
      </c>
      <c r="G746" s="1">
        <v>1517</v>
      </c>
      <c r="H746" s="1">
        <v>1517</v>
      </c>
      <c r="I746" s="1">
        <v>0</v>
      </c>
      <c r="J746" s="1">
        <v>1</v>
      </c>
      <c r="K746" s="1">
        <v>0</v>
      </c>
    </row>
    <row r="747" spans="1:11" x14ac:dyDescent="0.2">
      <c r="A747" s="1" t="s">
        <v>608</v>
      </c>
      <c r="B747" s="1" t="s">
        <v>704</v>
      </c>
      <c r="C747" s="1" t="str">
        <f>"5YY-F6331-00HB"</f>
        <v>5YY-F6331-00HB</v>
      </c>
      <c r="D747" s="1" t="str">
        <f>"5YY-F6331-00HB"</f>
        <v>5YY-F6331-00HB</v>
      </c>
      <c r="E747" s="1" t="s">
        <v>17</v>
      </c>
      <c r="F747" s="1">
        <v>3</v>
      </c>
      <c r="G747" s="1">
        <v>753.67</v>
      </c>
      <c r="H747" s="1">
        <v>2261</v>
      </c>
      <c r="I747" s="1">
        <v>0</v>
      </c>
      <c r="J747" s="1">
        <v>3</v>
      </c>
      <c r="K747" s="1">
        <v>0</v>
      </c>
    </row>
    <row r="748" spans="1:11" x14ac:dyDescent="0.2">
      <c r="A748" s="1" t="s">
        <v>608</v>
      </c>
      <c r="B748" s="1" t="s">
        <v>705</v>
      </c>
      <c r="C748" s="1" t="str">
        <f>"49CC19"</f>
        <v>49CC19</v>
      </c>
      <c r="D748" s="1" t="str">
        <f>"49CC19"</f>
        <v>49CC19</v>
      </c>
      <c r="E748" s="1" t="s">
        <v>17</v>
      </c>
      <c r="F748" s="1">
        <v>2</v>
      </c>
      <c r="G748" s="1">
        <v>1320</v>
      </c>
      <c r="H748" s="1">
        <v>2640</v>
      </c>
      <c r="I748" s="1">
        <v>0</v>
      </c>
      <c r="J748" s="1">
        <v>2</v>
      </c>
      <c r="K748" s="1">
        <v>0</v>
      </c>
    </row>
    <row r="749" spans="1:11" x14ac:dyDescent="0.2">
      <c r="A749" s="1" t="s">
        <v>608</v>
      </c>
      <c r="B749" s="1" t="s">
        <v>706</v>
      </c>
      <c r="C749" s="1" t="str">
        <f>"BL001"</f>
        <v>BL001</v>
      </c>
      <c r="D749" s="1" t="str">
        <f>"BL001"</f>
        <v>BL001</v>
      </c>
      <c r="E749" s="1" t="s">
        <v>17</v>
      </c>
      <c r="F749" s="1">
        <v>2</v>
      </c>
      <c r="G749" s="1">
        <v>1990</v>
      </c>
      <c r="H749" s="1">
        <v>3980</v>
      </c>
      <c r="I749" s="1">
        <v>0</v>
      </c>
      <c r="J749" s="1">
        <v>2</v>
      </c>
      <c r="K749" s="1">
        <v>0</v>
      </c>
    </row>
    <row r="750" spans="1:11" x14ac:dyDescent="0.2">
      <c r="A750" s="1" t="s">
        <v>608</v>
      </c>
      <c r="B750" s="1" t="s">
        <v>707</v>
      </c>
      <c r="C750" s="1" t="str">
        <f>"80994"</f>
        <v>80994</v>
      </c>
      <c r="D750" s="1" t="str">
        <f>"80994"</f>
        <v>80994</v>
      </c>
      <c r="E750" s="1" t="s">
        <v>17</v>
      </c>
      <c r="F750" s="1">
        <v>5</v>
      </c>
      <c r="G750" s="1">
        <v>730</v>
      </c>
      <c r="H750" s="1">
        <v>3650</v>
      </c>
      <c r="I750" s="1">
        <v>0</v>
      </c>
      <c r="J750" s="1">
        <v>5</v>
      </c>
      <c r="K750" s="1">
        <v>0</v>
      </c>
    </row>
    <row r="751" spans="1:11" x14ac:dyDescent="0.2">
      <c r="A751" s="1" t="s">
        <v>608</v>
      </c>
      <c r="B751" s="1" t="s">
        <v>708</v>
      </c>
      <c r="C751" s="1" t="str">
        <f>"136"</f>
        <v>136</v>
      </c>
      <c r="D751" s="1" t="str">
        <f>"136"</f>
        <v>136</v>
      </c>
      <c r="E751" s="1" t="s">
        <v>17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</row>
    <row r="752" spans="1:11" ht="30" x14ac:dyDescent="0.2">
      <c r="A752" s="1" t="s">
        <v>608</v>
      </c>
      <c r="B752" s="1" t="s">
        <v>709</v>
      </c>
      <c r="C752" s="1" t="str">
        <f>"BD008"</f>
        <v>BD008</v>
      </c>
      <c r="D752" s="1" t="str">
        <f>"BD008"</f>
        <v>BD008</v>
      </c>
      <c r="E752" s="1" t="s">
        <v>17</v>
      </c>
      <c r="F752" s="1">
        <v>4</v>
      </c>
      <c r="G752" s="1">
        <v>1908</v>
      </c>
      <c r="H752" s="1">
        <v>7632</v>
      </c>
      <c r="I752" s="1">
        <v>0</v>
      </c>
      <c r="J752" s="1">
        <v>4</v>
      </c>
      <c r="K752" s="1">
        <v>0</v>
      </c>
    </row>
    <row r="753" spans="1:11" x14ac:dyDescent="0.2">
      <c r="A753" s="1" t="s">
        <v>608</v>
      </c>
      <c r="B753" s="1" t="s">
        <v>710</v>
      </c>
      <c r="C753" s="1" t="str">
        <f>"44830-KSP-900HB"</f>
        <v>44830-KSP-900HB</v>
      </c>
      <c r="D753" s="1" t="str">
        <f>"44830-KSP-900HB"</f>
        <v>44830-KSP-900HB</v>
      </c>
      <c r="E753" s="1" t="s">
        <v>17</v>
      </c>
      <c r="F753" s="1">
        <v>12</v>
      </c>
      <c r="G753" s="1">
        <v>1160.83</v>
      </c>
      <c r="H753" s="1">
        <v>13930</v>
      </c>
      <c r="I753" s="1">
        <v>0</v>
      </c>
      <c r="J753" s="1">
        <v>12</v>
      </c>
      <c r="K753" s="1">
        <v>0</v>
      </c>
    </row>
    <row r="754" spans="1:11" x14ac:dyDescent="0.2">
      <c r="A754" s="1" t="s">
        <v>608</v>
      </c>
      <c r="B754" s="1" t="s">
        <v>711</v>
      </c>
      <c r="C754" s="1" t="str">
        <f>"66298808279880"</f>
        <v>66298808279880</v>
      </c>
      <c r="D754" s="1" t="str">
        <f>"000157"</f>
        <v>000157</v>
      </c>
      <c r="E754" s="1" t="s">
        <v>17</v>
      </c>
      <c r="F754" s="1">
        <v>1</v>
      </c>
      <c r="G754" s="1">
        <v>820</v>
      </c>
      <c r="H754" s="1">
        <v>820</v>
      </c>
      <c r="I754" s="1">
        <v>0</v>
      </c>
      <c r="J754" s="1">
        <v>1</v>
      </c>
      <c r="K754" s="1">
        <v>0</v>
      </c>
    </row>
    <row r="755" spans="1:11" x14ac:dyDescent="0.2">
      <c r="A755" s="1" t="s">
        <v>608</v>
      </c>
      <c r="B755" s="1" t="s">
        <v>712</v>
      </c>
      <c r="C755" s="1" t="str">
        <f>"66298808324135"</f>
        <v>66298808324135</v>
      </c>
      <c r="D755" s="1" t="str">
        <f>"80354"</f>
        <v>80354</v>
      </c>
      <c r="E755" s="1" t="s">
        <v>17</v>
      </c>
      <c r="F755" s="1">
        <v>7</v>
      </c>
      <c r="G755" s="1">
        <v>454</v>
      </c>
      <c r="H755" s="1">
        <v>3178</v>
      </c>
      <c r="I755" s="1">
        <v>0</v>
      </c>
      <c r="J755" s="1">
        <v>7</v>
      </c>
      <c r="K755" s="1">
        <v>0</v>
      </c>
    </row>
    <row r="756" spans="1:11" x14ac:dyDescent="0.2">
      <c r="A756" s="1" t="s">
        <v>608</v>
      </c>
      <c r="B756" s="1" t="s">
        <v>713</v>
      </c>
      <c r="C756" s="1" t="str">
        <f>"BD006"</f>
        <v>BD006</v>
      </c>
      <c r="D756" s="1" t="str">
        <f>"BD006"</f>
        <v>BD006</v>
      </c>
      <c r="E756" s="1" t="s">
        <v>17</v>
      </c>
      <c r="F756" s="1">
        <v>2</v>
      </c>
      <c r="G756" s="1">
        <v>588</v>
      </c>
      <c r="H756" s="1">
        <v>1176</v>
      </c>
      <c r="I756" s="1">
        <v>0</v>
      </c>
      <c r="J756" s="1">
        <v>2</v>
      </c>
      <c r="K756" s="1">
        <v>0</v>
      </c>
    </row>
    <row r="757" spans="1:11" x14ac:dyDescent="0.2">
      <c r="A757" s="1" t="s">
        <v>608</v>
      </c>
      <c r="B757" s="1" t="s">
        <v>714</v>
      </c>
      <c r="C757" s="1" t="str">
        <f>"BD003"</f>
        <v>BD003</v>
      </c>
      <c r="D757" s="1" t="str">
        <f>"BD003"</f>
        <v>BD003</v>
      </c>
      <c r="E757" s="1" t="s">
        <v>17</v>
      </c>
      <c r="F757" s="1">
        <v>4</v>
      </c>
      <c r="G757" s="1">
        <v>1261</v>
      </c>
      <c r="H757" s="1">
        <v>5044</v>
      </c>
      <c r="I757" s="1">
        <v>0</v>
      </c>
      <c r="J757" s="1">
        <v>4</v>
      </c>
      <c r="K757" s="1">
        <v>0</v>
      </c>
    </row>
    <row r="758" spans="1:11" x14ac:dyDescent="0.2">
      <c r="A758" s="1" t="s">
        <v>608</v>
      </c>
      <c r="B758" s="1" t="s">
        <v>715</v>
      </c>
      <c r="C758" s="1" t="str">
        <f>"66298808412254"</f>
        <v>66298808412254</v>
      </c>
      <c r="D758" s="1" t="str">
        <f>"000159"</f>
        <v>000159</v>
      </c>
      <c r="E758" s="1" t="s">
        <v>17</v>
      </c>
      <c r="F758" s="1">
        <v>1</v>
      </c>
      <c r="G758" s="1">
        <v>820</v>
      </c>
      <c r="H758" s="1">
        <v>820</v>
      </c>
      <c r="I758" s="1">
        <v>0</v>
      </c>
      <c r="J758" s="1">
        <v>1</v>
      </c>
      <c r="K758" s="1">
        <v>0</v>
      </c>
    </row>
    <row r="759" spans="1:11" x14ac:dyDescent="0.2">
      <c r="A759" s="1" t="s">
        <v>608</v>
      </c>
      <c r="B759" s="1" t="s">
        <v>716</v>
      </c>
      <c r="C759" s="1" t="str">
        <f>"66298808454307"</f>
        <v>66298808454307</v>
      </c>
      <c r="D759" s="1" t="str">
        <f>"82077"</f>
        <v>82077</v>
      </c>
      <c r="E759" s="1" t="s">
        <v>17</v>
      </c>
      <c r="F759" s="1">
        <v>4</v>
      </c>
      <c r="G759" s="1">
        <v>427</v>
      </c>
      <c r="H759" s="1">
        <v>1708</v>
      </c>
      <c r="I759" s="1">
        <v>0</v>
      </c>
      <c r="J759" s="1">
        <v>4</v>
      </c>
      <c r="K759" s="1">
        <v>0</v>
      </c>
    </row>
    <row r="760" spans="1:11" x14ac:dyDescent="0.2">
      <c r="A760" s="1" t="s">
        <v>608</v>
      </c>
      <c r="B760" s="1" t="s">
        <v>717</v>
      </c>
      <c r="C760" s="1" t="str">
        <f>"66298808495160"</f>
        <v>66298808495160</v>
      </c>
      <c r="D760" s="1" t="str">
        <f>"44830-KRF-B40HB"</f>
        <v>44830-KRF-B40HB</v>
      </c>
      <c r="E760" s="1" t="s">
        <v>17</v>
      </c>
      <c r="F760" s="1">
        <v>10</v>
      </c>
      <c r="G760" s="1">
        <v>1029</v>
      </c>
      <c r="H760" s="1">
        <v>10290</v>
      </c>
      <c r="I760" s="1">
        <v>0</v>
      </c>
      <c r="J760" s="1">
        <v>10</v>
      </c>
      <c r="K760" s="1">
        <v>0</v>
      </c>
    </row>
    <row r="761" spans="1:11" x14ac:dyDescent="0.2">
      <c r="A761" s="1" t="s">
        <v>608</v>
      </c>
      <c r="B761" s="1" t="s">
        <v>718</v>
      </c>
      <c r="C761" s="1" t="str">
        <f>"66298808538798"</f>
        <v>66298808538798</v>
      </c>
      <c r="D761" s="1" t="str">
        <f>"82075"</f>
        <v>82075</v>
      </c>
      <c r="E761" s="1" t="s">
        <v>17</v>
      </c>
      <c r="F761" s="1">
        <v>5</v>
      </c>
      <c r="G761" s="1">
        <v>661</v>
      </c>
      <c r="H761" s="1">
        <v>3305</v>
      </c>
      <c r="I761" s="1">
        <v>0</v>
      </c>
      <c r="J761" s="1">
        <v>5</v>
      </c>
      <c r="K761" s="1">
        <v>0</v>
      </c>
    </row>
    <row r="762" spans="1:11" x14ac:dyDescent="0.2">
      <c r="A762" s="1" t="s">
        <v>608</v>
      </c>
      <c r="B762" s="1" t="s">
        <v>719</v>
      </c>
      <c r="C762" s="1" t="str">
        <f>"66298808580288"</f>
        <v>66298808580288</v>
      </c>
      <c r="D762" s="1" t="str">
        <f>"34910-44A20HB"</f>
        <v>34910-44A20HB</v>
      </c>
      <c r="E762" s="1" t="s">
        <v>17</v>
      </c>
      <c r="F762" s="1">
        <v>10</v>
      </c>
      <c r="G762" s="1">
        <v>986.8</v>
      </c>
      <c r="H762" s="1">
        <v>9868</v>
      </c>
      <c r="I762" s="1">
        <v>0</v>
      </c>
      <c r="J762" s="1">
        <v>10</v>
      </c>
      <c r="K762" s="1">
        <v>0</v>
      </c>
    </row>
    <row r="763" spans="1:11" x14ac:dyDescent="0.2">
      <c r="A763" s="1" t="s">
        <v>608</v>
      </c>
      <c r="B763" s="1" t="s">
        <v>720</v>
      </c>
      <c r="C763" s="1" t="str">
        <f>"BD009"</f>
        <v>BD009</v>
      </c>
      <c r="D763" s="1" t="str">
        <f>"BD009"</f>
        <v>BD009</v>
      </c>
      <c r="E763" s="1" t="s">
        <v>17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</row>
    <row r="764" spans="1:11" x14ac:dyDescent="0.2">
      <c r="A764" s="1" t="s">
        <v>608</v>
      </c>
      <c r="B764" s="1" t="s">
        <v>721</v>
      </c>
      <c r="C764" s="1" t="str">
        <f>"66298808620968"</f>
        <v>66298808620968</v>
      </c>
      <c r="D764" s="1" t="str">
        <f>"82081"</f>
        <v>82081</v>
      </c>
      <c r="E764" s="1" t="s">
        <v>17</v>
      </c>
      <c r="F764" s="1">
        <v>5</v>
      </c>
      <c r="G764" s="1">
        <v>826</v>
      </c>
      <c r="H764" s="1">
        <v>4130</v>
      </c>
      <c r="I764" s="1">
        <v>0</v>
      </c>
      <c r="J764" s="1">
        <v>5</v>
      </c>
      <c r="K764" s="1">
        <v>0</v>
      </c>
    </row>
    <row r="765" spans="1:11" x14ac:dyDescent="0.2">
      <c r="A765" s="1" t="s">
        <v>608</v>
      </c>
      <c r="B765" s="1" t="s">
        <v>722</v>
      </c>
      <c r="C765" s="1" t="str">
        <f>"66298808665086"</f>
        <v>66298808665086</v>
      </c>
      <c r="D765" s="1" t="str">
        <f>"400623"</f>
        <v>400623</v>
      </c>
      <c r="E765" s="1" t="s">
        <v>17</v>
      </c>
      <c r="F765" s="1">
        <v>23</v>
      </c>
      <c r="G765" s="1">
        <v>515</v>
      </c>
      <c r="H765" s="1">
        <v>11845</v>
      </c>
      <c r="I765" s="1">
        <v>0</v>
      </c>
      <c r="J765" s="1">
        <v>23</v>
      </c>
      <c r="K765" s="1">
        <v>0</v>
      </c>
    </row>
    <row r="766" spans="1:11" ht="30" x14ac:dyDescent="0.2">
      <c r="A766" s="1" t="s">
        <v>608</v>
      </c>
      <c r="B766" s="1" t="s">
        <v>723</v>
      </c>
      <c r="C766" s="1" t="str">
        <f>"BD001"</f>
        <v>BD001</v>
      </c>
      <c r="D766" s="1" t="str">
        <f>"BD001"</f>
        <v>BD001</v>
      </c>
      <c r="E766" s="1" t="s">
        <v>17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</row>
    <row r="767" spans="1:11" x14ac:dyDescent="0.2">
      <c r="A767" s="1" t="s">
        <v>608</v>
      </c>
      <c r="B767" s="1" t="s">
        <v>724</v>
      </c>
      <c r="C767" s="1" t="str">
        <f>"66298808752727"</f>
        <v>66298808752727</v>
      </c>
      <c r="D767" s="1" t="str">
        <f>"54001-1118"</f>
        <v>54001-1118</v>
      </c>
      <c r="E767" s="1" t="s">
        <v>17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</row>
    <row r="768" spans="1:11" x14ac:dyDescent="0.2">
      <c r="A768" s="1" t="s">
        <v>608</v>
      </c>
      <c r="B768" s="1" t="s">
        <v>725</v>
      </c>
      <c r="C768" s="1" t="str">
        <f>"66298808793545"</f>
        <v>66298808793545</v>
      </c>
      <c r="D768" s="1" t="str">
        <f>"34910-45F01"</f>
        <v>34910-45F01</v>
      </c>
      <c r="E768" s="1" t="s">
        <v>17</v>
      </c>
      <c r="F768" s="1">
        <v>6</v>
      </c>
      <c r="G768" s="1">
        <v>983</v>
      </c>
      <c r="H768" s="1">
        <v>5898</v>
      </c>
      <c r="I768" s="1">
        <v>0</v>
      </c>
      <c r="J768" s="1">
        <v>6</v>
      </c>
      <c r="K768" s="1">
        <v>0</v>
      </c>
    </row>
    <row r="769" spans="1:11" x14ac:dyDescent="0.2">
      <c r="A769" s="1" t="s">
        <v>608</v>
      </c>
      <c r="B769" s="1" t="s">
        <v>726</v>
      </c>
      <c r="C769" s="1" t="str">
        <f>"34910-C26441W-00"</f>
        <v>34910-C26441W-00</v>
      </c>
      <c r="D769" s="1" t="str">
        <f>"34910-C26441W-00"</f>
        <v>34910-C26441W-00</v>
      </c>
      <c r="E769" s="1" t="s">
        <v>17</v>
      </c>
      <c r="F769" s="1">
        <v>2</v>
      </c>
      <c r="G769" s="1">
        <v>1332</v>
      </c>
      <c r="H769" s="1">
        <v>2664</v>
      </c>
      <c r="I769" s="1">
        <v>0</v>
      </c>
      <c r="J769" s="1">
        <v>2</v>
      </c>
      <c r="K769" s="1">
        <v>0</v>
      </c>
    </row>
    <row r="770" spans="1:11" x14ac:dyDescent="0.2">
      <c r="A770" s="1" t="s">
        <v>608</v>
      </c>
      <c r="B770" s="1" t="s">
        <v>727</v>
      </c>
      <c r="C770" s="1" t="str">
        <f>"BD004"</f>
        <v>BD004</v>
      </c>
      <c r="D770" s="1" t="str">
        <f>"BD004"</f>
        <v>BD004</v>
      </c>
      <c r="E770" s="1" t="s">
        <v>17</v>
      </c>
      <c r="F770" s="1">
        <v>2</v>
      </c>
      <c r="G770" s="1">
        <v>1788</v>
      </c>
      <c r="H770" s="1">
        <v>3576</v>
      </c>
      <c r="I770" s="1">
        <v>0</v>
      </c>
      <c r="J770" s="1">
        <v>2</v>
      </c>
      <c r="K770" s="1">
        <v>0</v>
      </c>
    </row>
    <row r="771" spans="1:11" x14ac:dyDescent="0.2">
      <c r="A771" s="1" t="s">
        <v>608</v>
      </c>
      <c r="B771" s="1" t="s">
        <v>728</v>
      </c>
      <c r="C771" s="1" t="str">
        <f>"34910-25H00-000H"</f>
        <v>34910-25H00-000H</v>
      </c>
      <c r="D771" s="1" t="str">
        <f>"34910-25H00-000H"</f>
        <v>34910-25H00-000H</v>
      </c>
      <c r="E771" s="1" t="s">
        <v>17</v>
      </c>
      <c r="F771" s="1">
        <v>2</v>
      </c>
      <c r="G771" s="1">
        <v>1931</v>
      </c>
      <c r="H771" s="1">
        <v>3862</v>
      </c>
      <c r="I771" s="1">
        <v>0</v>
      </c>
      <c r="J771" s="1">
        <v>2</v>
      </c>
      <c r="K771" s="1">
        <v>0</v>
      </c>
    </row>
    <row r="772" spans="1:11" x14ac:dyDescent="0.2">
      <c r="A772" s="1" t="s">
        <v>608</v>
      </c>
      <c r="B772" s="1" t="s">
        <v>729</v>
      </c>
      <c r="C772" s="1" t="str">
        <f>"66298808842711"</f>
        <v>66298808842711</v>
      </c>
      <c r="D772" s="1" t="str">
        <f>"7701023704090"</f>
        <v>7701023704090</v>
      </c>
      <c r="E772" s="1" t="s">
        <v>17</v>
      </c>
      <c r="F772" s="1">
        <v>12</v>
      </c>
      <c r="G772" s="1">
        <v>925</v>
      </c>
      <c r="H772" s="1">
        <v>11100</v>
      </c>
      <c r="I772" s="1">
        <v>0</v>
      </c>
      <c r="J772" s="1">
        <v>12</v>
      </c>
      <c r="K772" s="1">
        <v>0</v>
      </c>
    </row>
    <row r="773" spans="1:11" x14ac:dyDescent="0.2">
      <c r="A773" s="1" t="s">
        <v>608</v>
      </c>
      <c r="B773" s="1" t="s">
        <v>730</v>
      </c>
      <c r="C773" s="1" t="str">
        <f>"66298808888295"</f>
        <v>66298808888295</v>
      </c>
      <c r="D773" s="1" t="str">
        <f>"400624"</f>
        <v>400624</v>
      </c>
      <c r="E773" s="1" t="s">
        <v>17</v>
      </c>
      <c r="F773" s="1">
        <v>22</v>
      </c>
      <c r="G773" s="1">
        <v>527</v>
      </c>
      <c r="H773" s="1">
        <v>11594</v>
      </c>
      <c r="I773" s="1">
        <v>0</v>
      </c>
      <c r="J773" s="1">
        <v>22</v>
      </c>
      <c r="K773" s="1">
        <v>0</v>
      </c>
    </row>
    <row r="774" spans="1:11" x14ac:dyDescent="0.2">
      <c r="A774" s="1" t="s">
        <v>608</v>
      </c>
      <c r="B774" s="1" t="s">
        <v>731</v>
      </c>
      <c r="C774" s="1" t="str">
        <f>"66298808926394"</f>
        <v>66298808926394</v>
      </c>
      <c r="D774" s="1" t="str">
        <f>"80350"</f>
        <v>80350</v>
      </c>
      <c r="E774" s="1" t="s">
        <v>17</v>
      </c>
      <c r="F774" s="1">
        <v>1</v>
      </c>
      <c r="G774" s="1">
        <v>811</v>
      </c>
      <c r="H774" s="1">
        <v>811</v>
      </c>
      <c r="I774" s="1">
        <v>0</v>
      </c>
      <c r="J774" s="1">
        <v>1</v>
      </c>
      <c r="K774" s="1">
        <v>0</v>
      </c>
    </row>
    <row r="775" spans="1:11" x14ac:dyDescent="0.2">
      <c r="A775" s="1" t="s">
        <v>608</v>
      </c>
      <c r="B775" s="1" t="s">
        <v>732</v>
      </c>
      <c r="C775" s="1" t="str">
        <f>"44830-KSM-900HB"</f>
        <v>44830-KSM-900HB</v>
      </c>
      <c r="D775" s="1" t="str">
        <f>"44830-KSM-900HB"</f>
        <v>44830-KSM-900HB</v>
      </c>
      <c r="E775" s="1" t="s">
        <v>17</v>
      </c>
      <c r="F775" s="1">
        <v>7</v>
      </c>
      <c r="G775" s="1">
        <v>1186.8599999999999</v>
      </c>
      <c r="H775" s="1">
        <v>8308</v>
      </c>
      <c r="I775" s="1">
        <v>0</v>
      </c>
      <c r="J775" s="1">
        <v>7</v>
      </c>
      <c r="K775" s="1">
        <v>0</v>
      </c>
    </row>
    <row r="776" spans="1:11" ht="30" x14ac:dyDescent="0.2">
      <c r="A776" s="1" t="s">
        <v>608</v>
      </c>
      <c r="B776" s="1" t="s">
        <v>733</v>
      </c>
      <c r="C776" s="1" t="str">
        <f>"66298809007972"</f>
        <v>66298809007972</v>
      </c>
      <c r="D776" s="1" t="str">
        <f>"82317"</f>
        <v>82317</v>
      </c>
      <c r="E776" s="1" t="s">
        <v>17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</row>
    <row r="777" spans="1:11" x14ac:dyDescent="0.2">
      <c r="A777" s="1" t="s">
        <v>608</v>
      </c>
      <c r="B777" s="1" t="s">
        <v>734</v>
      </c>
      <c r="C777" s="1" t="str">
        <f>"66298809051411"</f>
        <v>66298809051411</v>
      </c>
      <c r="D777" s="1" t="str">
        <f>"44830-KVC-900HB"</f>
        <v>44830-KVC-900HB</v>
      </c>
      <c r="E777" s="1" t="s">
        <v>17</v>
      </c>
      <c r="F777" s="1">
        <v>10</v>
      </c>
      <c r="G777" s="1">
        <v>598</v>
      </c>
      <c r="H777" s="1">
        <v>5980</v>
      </c>
      <c r="I777" s="1">
        <v>0</v>
      </c>
      <c r="J777" s="1">
        <v>10</v>
      </c>
      <c r="K777" s="1">
        <v>0</v>
      </c>
    </row>
    <row r="778" spans="1:11" x14ac:dyDescent="0.2">
      <c r="A778" s="1" t="s">
        <v>608</v>
      </c>
      <c r="B778" s="1" t="s">
        <v>735</v>
      </c>
      <c r="C778" s="1" t="str">
        <f>"2273"</f>
        <v>2273</v>
      </c>
      <c r="D778" s="1" t="str">
        <f>"2273"</f>
        <v>2273</v>
      </c>
      <c r="E778" s="1" t="s">
        <v>17</v>
      </c>
      <c r="F778" s="1">
        <v>1</v>
      </c>
      <c r="G778" s="1">
        <v>1608.4</v>
      </c>
      <c r="H778" s="1">
        <v>1608</v>
      </c>
      <c r="I778" s="1">
        <v>0</v>
      </c>
      <c r="J778" s="1">
        <v>1</v>
      </c>
      <c r="K778" s="1">
        <v>0</v>
      </c>
    </row>
    <row r="779" spans="1:11" x14ac:dyDescent="0.2">
      <c r="A779" s="1" t="s">
        <v>608</v>
      </c>
      <c r="B779" s="1" t="s">
        <v>736</v>
      </c>
      <c r="C779" s="1" t="str">
        <f>"66298809094816"</f>
        <v>66298809094816</v>
      </c>
      <c r="D779" s="1" t="str">
        <f>"400625"</f>
        <v>400625</v>
      </c>
      <c r="E779" s="1" t="s">
        <v>17</v>
      </c>
      <c r="F779" s="1">
        <v>25</v>
      </c>
      <c r="G779" s="1">
        <v>526</v>
      </c>
      <c r="H779" s="1">
        <v>13150</v>
      </c>
      <c r="I779" s="1">
        <v>0</v>
      </c>
      <c r="J779" s="1">
        <v>25</v>
      </c>
      <c r="K779" s="1">
        <v>0</v>
      </c>
    </row>
    <row r="780" spans="1:11" x14ac:dyDescent="0.2">
      <c r="A780" s="1" t="s">
        <v>608</v>
      </c>
      <c r="B780" s="1" t="s">
        <v>737</v>
      </c>
      <c r="C780" s="1" t="str">
        <f>"66298809132255"</f>
        <v>66298809132255</v>
      </c>
      <c r="D780" s="1" t="str">
        <f>"5RM-H3550-00HB"</f>
        <v>5RM-H3550-00HB</v>
      </c>
      <c r="E780" s="1" t="s">
        <v>17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</row>
    <row r="781" spans="1:11" x14ac:dyDescent="0.2">
      <c r="A781" s="1" t="s">
        <v>608</v>
      </c>
      <c r="B781" s="1" t="s">
        <v>737</v>
      </c>
      <c r="C781" s="1" t="str">
        <f>"5RM-M3550-00HB"</f>
        <v>5RM-M3550-00HB</v>
      </c>
      <c r="D781" s="1" t="str">
        <f>"5RM-M3550-00HB"</f>
        <v>5RM-M3550-00HB</v>
      </c>
      <c r="E781" s="1" t="s">
        <v>17</v>
      </c>
      <c r="F781" s="1">
        <v>2</v>
      </c>
      <c r="G781" s="1">
        <v>1408</v>
      </c>
      <c r="H781" s="1">
        <v>2816</v>
      </c>
      <c r="I781" s="1">
        <v>0</v>
      </c>
      <c r="J781" s="1">
        <v>2</v>
      </c>
      <c r="K781" s="1">
        <v>0</v>
      </c>
    </row>
    <row r="782" spans="1:11" x14ac:dyDescent="0.2">
      <c r="A782" s="1" t="s">
        <v>608</v>
      </c>
      <c r="B782" s="1" t="s">
        <v>737</v>
      </c>
      <c r="C782" s="1" t="str">
        <f>"BD010"</f>
        <v>BD010</v>
      </c>
      <c r="D782" s="1" t="str">
        <f>"BD010"</f>
        <v>BD010</v>
      </c>
      <c r="E782" s="1" t="s">
        <v>17</v>
      </c>
      <c r="F782" s="1">
        <v>2</v>
      </c>
      <c r="G782" s="1">
        <v>1944</v>
      </c>
      <c r="H782" s="1">
        <v>3888</v>
      </c>
      <c r="I782" s="1">
        <v>0</v>
      </c>
      <c r="J782" s="1">
        <v>2</v>
      </c>
      <c r="K782" s="1">
        <v>0</v>
      </c>
    </row>
    <row r="783" spans="1:11" x14ac:dyDescent="0.2">
      <c r="A783" s="1" t="s">
        <v>608</v>
      </c>
      <c r="B783" s="1" t="s">
        <v>738</v>
      </c>
      <c r="C783" s="1" t="str">
        <f>"66298809213045"</f>
        <v>66298809213045</v>
      </c>
      <c r="D783" s="1" t="str">
        <f>"5YY-H3550-00HB"</f>
        <v>5YY-H3550-00HB</v>
      </c>
      <c r="E783" s="1" t="s">
        <v>17</v>
      </c>
      <c r="F783" s="1">
        <v>3</v>
      </c>
      <c r="G783" s="1">
        <v>711</v>
      </c>
      <c r="H783" s="1">
        <v>2133</v>
      </c>
      <c r="I783" s="1">
        <v>0</v>
      </c>
      <c r="J783" s="1">
        <v>3</v>
      </c>
      <c r="K783" s="1">
        <v>0</v>
      </c>
    </row>
    <row r="784" spans="1:11" x14ac:dyDescent="0.2">
      <c r="A784" s="1" t="s">
        <v>608</v>
      </c>
      <c r="B784" s="1" t="s">
        <v>738</v>
      </c>
      <c r="C784" s="1" t="str">
        <f>"66298809219510"</f>
        <v>66298809219510</v>
      </c>
      <c r="D784" s="1" t="str">
        <f>"5VL-H3550-12HB"</f>
        <v>5VL-H3550-12HB</v>
      </c>
      <c r="E784" s="1" t="s">
        <v>17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</row>
    <row r="785" spans="1:11" x14ac:dyDescent="0.2">
      <c r="A785" s="1" t="s">
        <v>608</v>
      </c>
      <c r="B785" s="1" t="s">
        <v>739</v>
      </c>
      <c r="C785" s="1" t="str">
        <f>"66298809171408"</f>
        <v>66298809171408</v>
      </c>
      <c r="D785" s="1" t="str">
        <f>"80355"</f>
        <v>80355</v>
      </c>
      <c r="E785" s="1" t="s">
        <v>17</v>
      </c>
      <c r="F785" s="1">
        <v>10</v>
      </c>
      <c r="G785" s="1">
        <v>744</v>
      </c>
      <c r="H785" s="1">
        <v>7440</v>
      </c>
      <c r="I785" s="1">
        <v>0</v>
      </c>
      <c r="J785" s="1">
        <v>10</v>
      </c>
      <c r="K785" s="1">
        <v>0</v>
      </c>
    </row>
    <row r="786" spans="1:11" x14ac:dyDescent="0.2">
      <c r="A786" s="1" t="s">
        <v>608</v>
      </c>
      <c r="B786" s="1" t="s">
        <v>740</v>
      </c>
      <c r="C786" s="1" t="str">
        <f>"66298809280711"</f>
        <v>66298809280711</v>
      </c>
      <c r="D786" s="1" t="str">
        <f>"400626"</f>
        <v>400626</v>
      </c>
      <c r="E786" s="1" t="s">
        <v>17</v>
      </c>
      <c r="F786" s="1">
        <v>17</v>
      </c>
      <c r="G786" s="1">
        <v>536</v>
      </c>
      <c r="H786" s="1">
        <v>9112</v>
      </c>
      <c r="I786" s="1">
        <v>0</v>
      </c>
      <c r="J786" s="1">
        <v>17</v>
      </c>
      <c r="K786" s="1">
        <v>0</v>
      </c>
    </row>
    <row r="787" spans="1:11" x14ac:dyDescent="0.2">
      <c r="A787" s="1" t="s">
        <v>608</v>
      </c>
      <c r="B787" s="1" t="s">
        <v>741</v>
      </c>
      <c r="C787" s="1" t="str">
        <f>"66298809327437"</f>
        <v>66298809327437</v>
      </c>
      <c r="D787" s="1" t="str">
        <f>"28291-KR6-000JP"</f>
        <v>28291-KR6-000JP</v>
      </c>
      <c r="E787" s="1" t="s">
        <v>17</v>
      </c>
      <c r="F787" s="1">
        <v>2</v>
      </c>
      <c r="G787" s="1">
        <v>5782</v>
      </c>
      <c r="H787" s="1">
        <v>11564</v>
      </c>
      <c r="I787" s="1">
        <v>0</v>
      </c>
      <c r="J787" s="1">
        <v>2</v>
      </c>
      <c r="K787" s="1">
        <v>0</v>
      </c>
    </row>
    <row r="788" spans="1:11" x14ac:dyDescent="0.2">
      <c r="A788" s="1" t="s">
        <v>608</v>
      </c>
      <c r="B788" s="1" t="s">
        <v>742</v>
      </c>
      <c r="C788" s="1" t="str">
        <f>"EMB-UNIV"</f>
        <v>EMB-UNIV</v>
      </c>
      <c r="D788" s="1" t="str">
        <f>"EMB-UNIV"</f>
        <v>EMB-UNIV</v>
      </c>
      <c r="E788" s="1" t="s">
        <v>17</v>
      </c>
      <c r="F788" s="1">
        <v>1</v>
      </c>
      <c r="G788" s="1">
        <v>518.73</v>
      </c>
      <c r="H788" s="1">
        <v>519</v>
      </c>
      <c r="I788" s="1">
        <v>0</v>
      </c>
      <c r="J788" s="1">
        <v>1</v>
      </c>
      <c r="K788" s="1">
        <v>0</v>
      </c>
    </row>
    <row r="789" spans="1:11" x14ac:dyDescent="0.2">
      <c r="A789" s="1" t="s">
        <v>608</v>
      </c>
      <c r="B789" s="1" t="s">
        <v>743</v>
      </c>
      <c r="C789" s="1" t="str">
        <f>"66298809372747"</f>
        <v>66298809372747</v>
      </c>
      <c r="D789" s="1" t="str">
        <f>"400595"</f>
        <v>400595</v>
      </c>
      <c r="E789" s="1" t="s">
        <v>17</v>
      </c>
      <c r="F789" s="1">
        <v>17</v>
      </c>
      <c r="G789" s="1">
        <v>454</v>
      </c>
      <c r="H789" s="1">
        <v>7718</v>
      </c>
      <c r="I789" s="1">
        <v>0</v>
      </c>
      <c r="J789" s="1">
        <v>17</v>
      </c>
      <c r="K789" s="1">
        <v>0</v>
      </c>
    </row>
    <row r="790" spans="1:11" x14ac:dyDescent="0.2">
      <c r="A790" s="1" t="s">
        <v>608</v>
      </c>
      <c r="B790" s="1" t="s">
        <v>744</v>
      </c>
      <c r="C790" s="1" t="str">
        <f>"66298809416233"</f>
        <v>66298809416233</v>
      </c>
      <c r="D790" s="1" t="str">
        <f>"400596"</f>
        <v>400596</v>
      </c>
      <c r="E790" s="1" t="s">
        <v>17</v>
      </c>
      <c r="F790" s="1">
        <v>7</v>
      </c>
      <c r="G790" s="1">
        <v>572</v>
      </c>
      <c r="H790" s="1">
        <v>4004</v>
      </c>
      <c r="I790" s="1">
        <v>0</v>
      </c>
      <c r="J790" s="1">
        <v>7</v>
      </c>
      <c r="K790" s="1">
        <v>0</v>
      </c>
    </row>
    <row r="791" spans="1:11" x14ac:dyDescent="0.2">
      <c r="A791" s="1" t="s">
        <v>608</v>
      </c>
      <c r="B791" s="1" t="s">
        <v>745</v>
      </c>
      <c r="C791" s="1" t="str">
        <f>"66298809457079"</f>
        <v>66298809457079</v>
      </c>
      <c r="D791" s="1" t="str">
        <f>"400597"</f>
        <v>400597</v>
      </c>
      <c r="E791" s="1" t="s">
        <v>17</v>
      </c>
      <c r="F791" s="1">
        <v>8</v>
      </c>
      <c r="G791" s="1">
        <v>572</v>
      </c>
      <c r="H791" s="1">
        <v>4576</v>
      </c>
      <c r="I791" s="1">
        <v>0</v>
      </c>
      <c r="J791" s="1">
        <v>8</v>
      </c>
      <c r="K791" s="1">
        <v>0</v>
      </c>
    </row>
    <row r="792" spans="1:11" x14ac:dyDescent="0.2">
      <c r="A792" s="1" t="s">
        <v>608</v>
      </c>
      <c r="B792" s="1" t="s">
        <v>746</v>
      </c>
      <c r="C792" s="1" t="str">
        <f>"3081"</f>
        <v>3081</v>
      </c>
      <c r="D792" s="1" t="str">
        <f>"3081"</f>
        <v>3081</v>
      </c>
      <c r="E792" s="1" t="s">
        <v>17</v>
      </c>
      <c r="F792" s="1">
        <v>2</v>
      </c>
      <c r="G792" s="1">
        <v>1608.4</v>
      </c>
      <c r="H792" s="1">
        <v>3217</v>
      </c>
      <c r="I792" s="1">
        <v>0</v>
      </c>
      <c r="J792" s="1">
        <v>2</v>
      </c>
      <c r="K792" s="1">
        <v>0</v>
      </c>
    </row>
    <row r="793" spans="1:11" x14ac:dyDescent="0.2">
      <c r="A793" s="1" t="s">
        <v>608</v>
      </c>
      <c r="B793" s="1" t="s">
        <v>746</v>
      </c>
      <c r="C793" s="1" t="str">
        <f>"BB009"</f>
        <v>BB009</v>
      </c>
      <c r="D793" s="1" t="str">
        <f>"BB009"</f>
        <v>BB009</v>
      </c>
      <c r="E793" s="1" t="s">
        <v>17</v>
      </c>
      <c r="F793" s="1">
        <v>1</v>
      </c>
      <c r="G793" s="1">
        <v>1908</v>
      </c>
      <c r="H793" s="1">
        <v>1908</v>
      </c>
      <c r="I793" s="1">
        <v>0</v>
      </c>
      <c r="J793" s="1">
        <v>1</v>
      </c>
      <c r="K793" s="1">
        <v>0</v>
      </c>
    </row>
    <row r="794" spans="1:11" x14ac:dyDescent="0.2">
      <c r="A794" s="1" t="s">
        <v>608</v>
      </c>
      <c r="B794" s="1" t="s">
        <v>747</v>
      </c>
      <c r="C794" s="1" t="str">
        <f>"22870-KSP-B00HB"</f>
        <v>22870-KSP-B00HB</v>
      </c>
      <c r="D794" s="1" t="str">
        <f>"22870-KSP-B00HB"</f>
        <v>22870-KSP-B00HB</v>
      </c>
      <c r="E794" s="1" t="s">
        <v>17</v>
      </c>
      <c r="F794" s="1">
        <v>8</v>
      </c>
      <c r="G794" s="1">
        <v>874.75</v>
      </c>
      <c r="H794" s="1">
        <v>6998</v>
      </c>
      <c r="I794" s="1">
        <v>0</v>
      </c>
      <c r="J794" s="1">
        <v>8</v>
      </c>
      <c r="K794" s="1">
        <v>0</v>
      </c>
    </row>
    <row r="795" spans="1:11" x14ac:dyDescent="0.2">
      <c r="A795" s="1" t="s">
        <v>608</v>
      </c>
      <c r="B795" s="1" t="s">
        <v>747</v>
      </c>
      <c r="C795" s="1" t="str">
        <f>"22870-KSP-900HB"</f>
        <v>22870-KSP-900HB</v>
      </c>
      <c r="D795" s="1" t="str">
        <f>"22870-KSP-900HB"</f>
        <v>22870-KSP-900HB</v>
      </c>
      <c r="E795" s="1" t="s">
        <v>17</v>
      </c>
      <c r="F795" s="1">
        <v>2</v>
      </c>
      <c r="G795" s="1">
        <v>1971</v>
      </c>
      <c r="H795" s="1">
        <v>3942</v>
      </c>
      <c r="I795" s="1">
        <v>0</v>
      </c>
      <c r="J795" s="1">
        <v>2</v>
      </c>
      <c r="K795" s="1">
        <v>0</v>
      </c>
    </row>
    <row r="796" spans="1:11" ht="30" x14ac:dyDescent="0.2">
      <c r="A796" s="1" t="s">
        <v>608</v>
      </c>
      <c r="B796" s="1" t="s">
        <v>748</v>
      </c>
      <c r="C796" s="1" t="str">
        <f>"66298809507929"</f>
        <v>66298809507929</v>
      </c>
      <c r="D796" s="1" t="str">
        <f>"400235"</f>
        <v>400235</v>
      </c>
      <c r="E796" s="1" t="s">
        <v>17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</row>
    <row r="797" spans="1:11" x14ac:dyDescent="0.2">
      <c r="A797" s="1" t="s">
        <v>608</v>
      </c>
      <c r="B797" s="1" t="s">
        <v>749</v>
      </c>
      <c r="C797" s="1" t="str">
        <f>"66298809547686"</f>
        <v>66298809547686</v>
      </c>
      <c r="D797" s="1" t="str">
        <f>"22870-KVE-900HB"</f>
        <v>22870-KVE-900HB</v>
      </c>
      <c r="E797" s="1" t="s">
        <v>17</v>
      </c>
      <c r="F797" s="1">
        <v>12</v>
      </c>
      <c r="G797" s="1">
        <v>1484.5</v>
      </c>
      <c r="H797" s="1">
        <v>17814</v>
      </c>
      <c r="I797" s="1">
        <v>0</v>
      </c>
      <c r="J797" s="1">
        <v>12</v>
      </c>
      <c r="K797" s="1">
        <v>0</v>
      </c>
    </row>
    <row r="798" spans="1:11" x14ac:dyDescent="0.2">
      <c r="A798" s="1" t="s">
        <v>608</v>
      </c>
      <c r="B798" s="1" t="s">
        <v>750</v>
      </c>
      <c r="C798" s="1" t="str">
        <f>"66298809587110"</f>
        <v>66298809587110</v>
      </c>
      <c r="D798" s="1" t="str">
        <f>"80345"</f>
        <v>80345</v>
      </c>
      <c r="E798" s="1" t="s">
        <v>17</v>
      </c>
      <c r="F798" s="1">
        <v>5</v>
      </c>
      <c r="G798" s="1">
        <v>893</v>
      </c>
      <c r="H798" s="1">
        <v>4465</v>
      </c>
      <c r="I798" s="1">
        <v>0</v>
      </c>
      <c r="J798" s="1">
        <v>5</v>
      </c>
      <c r="K798" s="1">
        <v>0</v>
      </c>
    </row>
    <row r="799" spans="1:11" x14ac:dyDescent="0.2">
      <c r="A799" s="1" t="s">
        <v>751</v>
      </c>
      <c r="B799" s="1" t="s">
        <v>752</v>
      </c>
      <c r="C799" s="1" t="str">
        <f>"58200H2J060H000"</f>
        <v>58200H2J060H000</v>
      </c>
      <c r="D799" s="1" t="str">
        <f>"58200H2J060H000"</f>
        <v>58200H2J060H000</v>
      </c>
      <c r="E799" s="1" t="s">
        <v>17</v>
      </c>
      <c r="F799" s="1">
        <v>2</v>
      </c>
      <c r="G799" s="1">
        <v>10011.49</v>
      </c>
      <c r="H799" s="1">
        <v>20023</v>
      </c>
      <c r="I799" s="1">
        <v>0</v>
      </c>
      <c r="J799" s="1">
        <v>2</v>
      </c>
      <c r="K799" s="1">
        <v>0</v>
      </c>
    </row>
    <row r="800" spans="1:11" x14ac:dyDescent="0.2">
      <c r="A800" s="1" t="s">
        <v>608</v>
      </c>
      <c r="B800" s="1" t="s">
        <v>753</v>
      </c>
      <c r="C800" s="1" t="str">
        <f>"BB012"</f>
        <v>BB012</v>
      </c>
      <c r="D800" s="1" t="str">
        <f>"BB012"</f>
        <v>BB012</v>
      </c>
      <c r="E800" s="1" t="s">
        <v>17</v>
      </c>
      <c r="F800" s="1">
        <v>2</v>
      </c>
      <c r="G800" s="1">
        <v>1820</v>
      </c>
      <c r="H800" s="1">
        <v>3640</v>
      </c>
      <c r="I800" s="1">
        <v>0</v>
      </c>
      <c r="J800" s="1">
        <v>2</v>
      </c>
      <c r="K800" s="1">
        <v>0</v>
      </c>
    </row>
    <row r="801" spans="1:11" x14ac:dyDescent="0.2">
      <c r="A801" s="1" t="s">
        <v>608</v>
      </c>
      <c r="B801" s="1" t="s">
        <v>754</v>
      </c>
      <c r="C801" s="1" t="str">
        <f>"66298809627798"</f>
        <v>66298809627798</v>
      </c>
      <c r="D801" s="1" t="str">
        <f>"400600"</f>
        <v>400600</v>
      </c>
      <c r="E801" s="1" t="s">
        <v>17</v>
      </c>
      <c r="F801" s="1">
        <v>4</v>
      </c>
      <c r="G801" s="1">
        <v>655</v>
      </c>
      <c r="H801" s="1">
        <v>2620</v>
      </c>
      <c r="I801" s="1">
        <v>0</v>
      </c>
      <c r="J801" s="1">
        <v>4</v>
      </c>
      <c r="K801" s="1">
        <v>0</v>
      </c>
    </row>
    <row r="802" spans="1:11" x14ac:dyDescent="0.2">
      <c r="A802" s="1" t="s">
        <v>608</v>
      </c>
      <c r="B802" s="1" t="s">
        <v>755</v>
      </c>
      <c r="C802" s="1" t="str">
        <f>"66298809734447"</f>
        <v>66298809734447</v>
      </c>
      <c r="D802" s="1" t="str">
        <f>"400594"</f>
        <v>400594</v>
      </c>
      <c r="E802" s="1" t="s">
        <v>17</v>
      </c>
      <c r="F802" s="1">
        <v>19</v>
      </c>
      <c r="G802" s="1">
        <v>836</v>
      </c>
      <c r="H802" s="1">
        <v>15884</v>
      </c>
      <c r="I802" s="1">
        <v>0</v>
      </c>
      <c r="J802" s="1">
        <v>19</v>
      </c>
      <c r="K802" s="1">
        <v>0</v>
      </c>
    </row>
    <row r="803" spans="1:11" x14ac:dyDescent="0.2">
      <c r="A803" s="1" t="s">
        <v>608</v>
      </c>
      <c r="B803" s="1" t="s">
        <v>756</v>
      </c>
      <c r="C803" s="1" t="str">
        <f>"66298809675367"</f>
        <v>66298809675367</v>
      </c>
      <c r="D803" s="1" t="str">
        <f>"21C-F6335-00HB"</f>
        <v>21C-F6335-00HB</v>
      </c>
      <c r="E803" s="1" t="s">
        <v>17</v>
      </c>
      <c r="F803" s="1">
        <v>2</v>
      </c>
      <c r="G803" s="1">
        <v>1156</v>
      </c>
      <c r="H803" s="1">
        <v>2312</v>
      </c>
      <c r="I803" s="1">
        <v>0</v>
      </c>
      <c r="J803" s="1">
        <v>2</v>
      </c>
      <c r="K803" s="1">
        <v>0</v>
      </c>
    </row>
    <row r="804" spans="1:11" x14ac:dyDescent="0.2">
      <c r="A804" s="1" t="s">
        <v>608</v>
      </c>
      <c r="B804" s="1" t="s">
        <v>756</v>
      </c>
      <c r="C804" s="1" t="str">
        <f>"66298809680747"</f>
        <v>66298809680747</v>
      </c>
      <c r="D804" s="1" t="str">
        <f>"82344"</f>
        <v>82344</v>
      </c>
      <c r="E804" s="1" t="s">
        <v>17</v>
      </c>
      <c r="F804" s="1">
        <v>9</v>
      </c>
      <c r="G804" s="1">
        <v>1246</v>
      </c>
      <c r="H804" s="1">
        <v>11214</v>
      </c>
      <c r="I804" s="1">
        <v>0</v>
      </c>
      <c r="J804" s="1">
        <v>9</v>
      </c>
      <c r="K804" s="1">
        <v>0</v>
      </c>
    </row>
    <row r="805" spans="1:11" x14ac:dyDescent="0.2">
      <c r="A805" s="1" t="s">
        <v>608</v>
      </c>
      <c r="B805" s="1" t="s">
        <v>756</v>
      </c>
      <c r="C805" s="1" t="str">
        <f>"BB002"</f>
        <v>BB002</v>
      </c>
      <c r="D805" s="1" t="str">
        <f>"BB002"</f>
        <v>BB002</v>
      </c>
      <c r="E805" s="1" t="s">
        <v>17</v>
      </c>
      <c r="F805" s="1">
        <v>2</v>
      </c>
      <c r="G805" s="1">
        <v>1908</v>
      </c>
      <c r="H805" s="1">
        <v>3816</v>
      </c>
      <c r="I805" s="1">
        <v>0</v>
      </c>
      <c r="J805" s="1">
        <v>2</v>
      </c>
      <c r="K805" s="1">
        <v>0</v>
      </c>
    </row>
    <row r="806" spans="1:11" x14ac:dyDescent="0.2">
      <c r="A806" s="1" t="s">
        <v>608</v>
      </c>
      <c r="B806" s="1" t="s">
        <v>757</v>
      </c>
      <c r="C806" s="1" t="str">
        <f>"66298809777736"</f>
        <v>66298809777736</v>
      </c>
      <c r="D806" s="1" t="str">
        <f>"400602"</f>
        <v>400602</v>
      </c>
      <c r="E806" s="1" t="s">
        <v>17</v>
      </c>
      <c r="F806" s="1">
        <v>4</v>
      </c>
      <c r="G806" s="1">
        <v>1181</v>
      </c>
      <c r="H806" s="1">
        <v>4724</v>
      </c>
      <c r="I806" s="1">
        <v>0</v>
      </c>
      <c r="J806" s="1">
        <v>4</v>
      </c>
      <c r="K806" s="1">
        <v>0</v>
      </c>
    </row>
    <row r="807" spans="1:11" x14ac:dyDescent="0.2">
      <c r="A807" s="1" t="s">
        <v>608</v>
      </c>
      <c r="B807" s="1" t="s">
        <v>758</v>
      </c>
      <c r="C807" s="1" t="str">
        <f>"BB013"</f>
        <v>BB013</v>
      </c>
      <c r="D807" s="1" t="str">
        <f>"BB013"</f>
        <v>BB013</v>
      </c>
      <c r="E807" s="1" t="s">
        <v>17</v>
      </c>
      <c r="F807" s="1">
        <v>2</v>
      </c>
      <c r="G807" s="1">
        <v>2850</v>
      </c>
      <c r="H807" s="1">
        <v>5700</v>
      </c>
      <c r="I807" s="1">
        <v>0</v>
      </c>
      <c r="J807" s="1">
        <v>2</v>
      </c>
      <c r="K807" s="1">
        <v>0</v>
      </c>
    </row>
    <row r="808" spans="1:11" x14ac:dyDescent="0.2">
      <c r="A808" s="1" t="s">
        <v>608</v>
      </c>
      <c r="B808" s="1" t="s">
        <v>759</v>
      </c>
      <c r="C808" s="1" t="str">
        <f>"66298809884183"</f>
        <v>66298809884183</v>
      </c>
      <c r="D808" s="1" t="str">
        <f>"400603"</f>
        <v>400603</v>
      </c>
      <c r="E808" s="1" t="s">
        <v>17</v>
      </c>
      <c r="F808" s="1">
        <v>20</v>
      </c>
      <c r="G808" s="1">
        <v>596</v>
      </c>
      <c r="H808" s="1">
        <v>11920</v>
      </c>
      <c r="I808" s="1">
        <v>0</v>
      </c>
      <c r="J808" s="1">
        <v>20</v>
      </c>
      <c r="K808" s="1">
        <v>0</v>
      </c>
    </row>
    <row r="809" spans="1:11" x14ac:dyDescent="0.2">
      <c r="A809" s="1" t="s">
        <v>608</v>
      </c>
      <c r="B809" s="1" t="s">
        <v>760</v>
      </c>
      <c r="C809" s="1" t="str">
        <f>"82069"</f>
        <v>82069</v>
      </c>
      <c r="D809" s="1" t="str">
        <f>"82069"</f>
        <v>82069</v>
      </c>
      <c r="E809" s="1" t="s">
        <v>17</v>
      </c>
      <c r="F809" s="1">
        <v>2</v>
      </c>
      <c r="G809" s="1">
        <v>893</v>
      </c>
      <c r="H809" s="1">
        <v>1786</v>
      </c>
      <c r="I809" s="1">
        <v>0</v>
      </c>
      <c r="J809" s="1">
        <v>2</v>
      </c>
      <c r="K809" s="1">
        <v>0</v>
      </c>
    </row>
    <row r="810" spans="1:11" x14ac:dyDescent="0.2">
      <c r="A810" s="1" t="s">
        <v>608</v>
      </c>
      <c r="B810" s="1" t="s">
        <v>760</v>
      </c>
      <c r="C810" s="1" t="str">
        <f>"BB004"</f>
        <v>BB004</v>
      </c>
      <c r="D810" s="1" t="str">
        <f>"BB004"</f>
        <v>BB004</v>
      </c>
      <c r="E810" s="1" t="s">
        <v>17</v>
      </c>
      <c r="F810" s="1">
        <v>4</v>
      </c>
      <c r="G810" s="1">
        <v>1415.5</v>
      </c>
      <c r="H810" s="1">
        <v>5662</v>
      </c>
      <c r="I810" s="1">
        <v>0</v>
      </c>
      <c r="J810" s="1">
        <v>4</v>
      </c>
      <c r="K810" s="1">
        <v>0</v>
      </c>
    </row>
    <row r="811" spans="1:11" x14ac:dyDescent="0.2">
      <c r="A811" s="1" t="s">
        <v>608</v>
      </c>
      <c r="B811" s="1" t="s">
        <v>761</v>
      </c>
      <c r="C811" s="1" t="str">
        <f>"58200-05392"</f>
        <v>58200-05392</v>
      </c>
      <c r="D811" s="1" t="str">
        <f>"58200-05392"</f>
        <v>58200-05392</v>
      </c>
      <c r="E811" s="1" t="s">
        <v>17</v>
      </c>
      <c r="F811" s="1">
        <v>2</v>
      </c>
      <c r="G811" s="1">
        <v>1822</v>
      </c>
      <c r="H811" s="1">
        <v>3644</v>
      </c>
      <c r="I811" s="1">
        <v>0</v>
      </c>
      <c r="J811" s="1">
        <v>2</v>
      </c>
      <c r="K811" s="1">
        <v>0</v>
      </c>
    </row>
    <row r="812" spans="1:11" x14ac:dyDescent="0.2">
      <c r="A812" s="1" t="s">
        <v>608</v>
      </c>
      <c r="B812" s="1" t="s">
        <v>762</v>
      </c>
      <c r="C812" s="1" t="str">
        <f>"66298809968674"</f>
        <v>66298809968674</v>
      </c>
      <c r="D812" s="1" t="str">
        <f>"58200-45F40"</f>
        <v>58200-45F40</v>
      </c>
      <c r="E812" s="1" t="s">
        <v>17</v>
      </c>
      <c r="F812" s="1">
        <v>3</v>
      </c>
      <c r="G812" s="1">
        <v>945</v>
      </c>
      <c r="H812" s="1">
        <v>2835</v>
      </c>
      <c r="I812" s="1">
        <v>0</v>
      </c>
      <c r="J812" s="1">
        <v>3</v>
      </c>
      <c r="K812" s="1">
        <v>0</v>
      </c>
    </row>
    <row r="813" spans="1:11" x14ac:dyDescent="0.2">
      <c r="A813" s="1" t="s">
        <v>608</v>
      </c>
      <c r="B813" s="1" t="s">
        <v>762</v>
      </c>
      <c r="C813" s="1" t="str">
        <f>"66298809974690"</f>
        <v>66298809974690</v>
      </c>
      <c r="D813" s="1" t="str">
        <f>"BC005"</f>
        <v>BC005</v>
      </c>
      <c r="E813" s="1" t="s">
        <v>17</v>
      </c>
      <c r="F813" s="1">
        <v>4</v>
      </c>
      <c r="G813" s="1">
        <v>1200</v>
      </c>
      <c r="H813" s="1">
        <v>4800</v>
      </c>
      <c r="I813" s="1">
        <v>0</v>
      </c>
      <c r="J813" s="1">
        <v>4</v>
      </c>
      <c r="K813" s="1">
        <v>0</v>
      </c>
    </row>
    <row r="814" spans="1:11" x14ac:dyDescent="0.2">
      <c r="A814" s="1" t="s">
        <v>608</v>
      </c>
      <c r="B814" s="1" t="s">
        <v>763</v>
      </c>
      <c r="C814" s="1" t="str">
        <f>"58200-30H10-000HB"</f>
        <v>58200-30H10-000HB</v>
      </c>
      <c r="D814" s="1" t="str">
        <f>"58200-30H10-000HB"</f>
        <v>58200-30H10-000HB</v>
      </c>
      <c r="E814" s="1" t="s">
        <v>17</v>
      </c>
      <c r="F814" s="1">
        <v>1</v>
      </c>
      <c r="G814" s="1">
        <v>2520</v>
      </c>
      <c r="H814" s="1">
        <v>2520</v>
      </c>
      <c r="I814" s="1">
        <v>0</v>
      </c>
      <c r="J814" s="1">
        <v>1</v>
      </c>
      <c r="K814" s="1">
        <v>0</v>
      </c>
    </row>
    <row r="815" spans="1:11" x14ac:dyDescent="0.2">
      <c r="A815" s="1" t="s">
        <v>608</v>
      </c>
      <c r="B815" s="1" t="s">
        <v>764</v>
      </c>
      <c r="C815" s="1" t="str">
        <f>"66298810031353"</f>
        <v>66298810031353</v>
      </c>
      <c r="D815" s="1" t="str">
        <f>"58200-30H10JP"</f>
        <v>58200-30H10JP</v>
      </c>
      <c r="E815" s="1" t="s">
        <v>17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</row>
    <row r="816" spans="1:11" x14ac:dyDescent="0.2">
      <c r="A816" s="1" t="s">
        <v>608</v>
      </c>
      <c r="B816" s="1" t="s">
        <v>765</v>
      </c>
      <c r="C816" s="1" t="str">
        <f>"BB003"</f>
        <v>BB003</v>
      </c>
      <c r="D816" s="1" t="str">
        <f>"BB003"</f>
        <v>BB003</v>
      </c>
      <c r="E816" s="1" t="s">
        <v>17</v>
      </c>
      <c r="F816" s="1">
        <v>2</v>
      </c>
      <c r="G816" s="1">
        <v>1908</v>
      </c>
      <c r="H816" s="1">
        <v>3816</v>
      </c>
      <c r="I816" s="1">
        <v>0</v>
      </c>
      <c r="J816" s="1">
        <v>2</v>
      </c>
      <c r="K816" s="1">
        <v>0</v>
      </c>
    </row>
    <row r="817" spans="1:11" x14ac:dyDescent="0.2">
      <c r="A817" s="1" t="s">
        <v>608</v>
      </c>
      <c r="B817" s="1" t="s">
        <v>766</v>
      </c>
      <c r="C817" s="1" t="str">
        <f>"66298810070750"</f>
        <v>66298810070750</v>
      </c>
      <c r="D817" s="1" t="str">
        <f>"C089"</f>
        <v>C089</v>
      </c>
      <c r="E817" s="1" t="s">
        <v>17</v>
      </c>
      <c r="F817" s="1">
        <v>7</v>
      </c>
      <c r="G817" s="1">
        <v>980</v>
      </c>
      <c r="H817" s="1">
        <v>6860</v>
      </c>
      <c r="I817" s="1">
        <v>0</v>
      </c>
      <c r="J817" s="1">
        <v>7</v>
      </c>
      <c r="K817" s="1">
        <v>0</v>
      </c>
    </row>
    <row r="818" spans="1:11" x14ac:dyDescent="0.2">
      <c r="A818" s="1" t="s">
        <v>608</v>
      </c>
      <c r="B818" s="1" t="s">
        <v>767</v>
      </c>
      <c r="C818" s="1" t="str">
        <f>"66298810113633"</f>
        <v>66298810113633</v>
      </c>
      <c r="D818" s="1" t="str">
        <f>"400606"</f>
        <v>400606</v>
      </c>
      <c r="E818" s="1" t="s">
        <v>17</v>
      </c>
      <c r="F818" s="1">
        <v>14</v>
      </c>
      <c r="G818" s="1">
        <v>526</v>
      </c>
      <c r="H818" s="1">
        <v>7364</v>
      </c>
      <c r="I818" s="1">
        <v>0</v>
      </c>
      <c r="J818" s="1">
        <v>14</v>
      </c>
      <c r="K818" s="1">
        <v>0</v>
      </c>
    </row>
    <row r="819" spans="1:11" x14ac:dyDescent="0.2">
      <c r="A819" s="1" t="s">
        <v>608</v>
      </c>
      <c r="B819" s="1" t="s">
        <v>768</v>
      </c>
      <c r="C819" s="1" t="str">
        <f>"66298810152167"</f>
        <v>66298810152167</v>
      </c>
      <c r="D819" s="1" t="str">
        <f>"320240397-0001JP"</f>
        <v>320240397-0001JP</v>
      </c>
      <c r="E819" s="1" t="s">
        <v>17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</row>
    <row r="820" spans="1:11" x14ac:dyDescent="0.2">
      <c r="A820" s="1" t="s">
        <v>608</v>
      </c>
      <c r="B820" s="1" t="s">
        <v>769</v>
      </c>
      <c r="C820" s="1" t="str">
        <f>"66298810191196"</f>
        <v>66298810191196</v>
      </c>
      <c r="D820" s="1" t="str">
        <f>"7701023704571"</f>
        <v>7701023704571</v>
      </c>
      <c r="E820" s="1" t="s">
        <v>17</v>
      </c>
      <c r="F820" s="1">
        <v>10</v>
      </c>
      <c r="G820" s="1">
        <v>1048</v>
      </c>
      <c r="H820" s="1">
        <v>10480</v>
      </c>
      <c r="I820" s="1">
        <v>0</v>
      </c>
      <c r="J820" s="1">
        <v>10</v>
      </c>
      <c r="K820" s="1">
        <v>0</v>
      </c>
    </row>
    <row r="821" spans="1:11" x14ac:dyDescent="0.2">
      <c r="A821" s="1" t="s">
        <v>608</v>
      </c>
      <c r="B821" s="1" t="s">
        <v>770</v>
      </c>
      <c r="C821" s="1" t="str">
        <f>"58200H2C000H000"</f>
        <v>58200H2C000H000</v>
      </c>
      <c r="D821" s="1" t="str">
        <f>"58200H2C000H000"</f>
        <v>58200H2C000H000</v>
      </c>
      <c r="E821" s="1" t="s">
        <v>17</v>
      </c>
      <c r="F821" s="1">
        <v>1</v>
      </c>
      <c r="G821" s="1">
        <v>6674.33</v>
      </c>
      <c r="H821" s="1">
        <v>6674</v>
      </c>
      <c r="I821" s="1">
        <v>1</v>
      </c>
      <c r="J821" s="1">
        <v>0</v>
      </c>
      <c r="K821" s="1">
        <v>0</v>
      </c>
    </row>
    <row r="822" spans="1:11" x14ac:dyDescent="0.2">
      <c r="A822" s="1" t="s">
        <v>608</v>
      </c>
      <c r="B822" s="1" t="s">
        <v>771</v>
      </c>
      <c r="C822" s="1" t="str">
        <f>"EMHJ52259"</f>
        <v>EMHJ52259</v>
      </c>
      <c r="D822" s="1" t="str">
        <f>"EMHJ52259"</f>
        <v>EMHJ52259</v>
      </c>
      <c r="E822" s="1" t="s">
        <v>17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</row>
    <row r="823" spans="1:11" x14ac:dyDescent="0.2">
      <c r="A823" s="1" t="s">
        <v>608</v>
      </c>
      <c r="B823" s="1" t="s">
        <v>772</v>
      </c>
      <c r="C823" s="1" t="str">
        <f>"66298810231939"</f>
        <v>66298810231939</v>
      </c>
      <c r="D823" s="1" t="str">
        <f>"B04-F6335-00HB"</f>
        <v>B04-F6335-00HB</v>
      </c>
      <c r="E823" s="1" t="s">
        <v>17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</row>
    <row r="824" spans="1:11" x14ac:dyDescent="0.2">
      <c r="A824" s="1" t="s">
        <v>608</v>
      </c>
      <c r="B824" s="1" t="s">
        <v>773</v>
      </c>
      <c r="C824" s="1" t="str">
        <f>"66298810270640"</f>
        <v>66298810270640</v>
      </c>
      <c r="D824" s="1" t="str">
        <f>"58200H40101H000"</f>
        <v>58200H40101H000</v>
      </c>
      <c r="E824" s="1" t="s">
        <v>17</v>
      </c>
      <c r="F824" s="1">
        <v>2</v>
      </c>
      <c r="G824" s="1">
        <v>7047.01</v>
      </c>
      <c r="H824" s="1">
        <v>14094</v>
      </c>
      <c r="I824" s="1">
        <v>0</v>
      </c>
      <c r="J824" s="1">
        <v>2</v>
      </c>
      <c r="K824" s="1">
        <v>0</v>
      </c>
    </row>
    <row r="825" spans="1:11" x14ac:dyDescent="0.2">
      <c r="A825" s="1" t="s">
        <v>608</v>
      </c>
      <c r="B825" s="1" t="s">
        <v>774</v>
      </c>
      <c r="C825" s="1" t="str">
        <f>"22870-KSM-900HB"</f>
        <v>22870-KSM-900HB</v>
      </c>
      <c r="D825" s="1" t="str">
        <f>"22870-KSM-900HB"</f>
        <v>22870-KSM-900HB</v>
      </c>
      <c r="E825" s="1" t="s">
        <v>17</v>
      </c>
      <c r="F825" s="1">
        <v>8</v>
      </c>
      <c r="G825" s="1">
        <v>1137.75</v>
      </c>
      <c r="H825" s="1">
        <v>9102</v>
      </c>
      <c r="I825" s="1">
        <v>0</v>
      </c>
      <c r="J825" s="1">
        <v>8</v>
      </c>
      <c r="K825" s="1">
        <v>0</v>
      </c>
    </row>
    <row r="826" spans="1:11" x14ac:dyDescent="0.2">
      <c r="A826" s="1" t="s">
        <v>608</v>
      </c>
      <c r="B826" s="1" t="s">
        <v>775</v>
      </c>
      <c r="C826" s="1" t="str">
        <f>"66298810352451"</f>
        <v>66298810352451</v>
      </c>
      <c r="D826" s="1" t="str">
        <f>"DJ-1910-01HB"</f>
        <v>DJ-1910-01HB</v>
      </c>
      <c r="E826" s="1" t="s">
        <v>17</v>
      </c>
      <c r="F826" s="1">
        <v>5</v>
      </c>
      <c r="G826" s="1">
        <v>720</v>
      </c>
      <c r="H826" s="1">
        <v>3600</v>
      </c>
      <c r="I826" s="1">
        <v>0</v>
      </c>
      <c r="J826" s="1">
        <v>5</v>
      </c>
      <c r="K826" s="1">
        <v>0</v>
      </c>
    </row>
    <row r="827" spans="1:11" x14ac:dyDescent="0.2">
      <c r="A827" s="1" t="s">
        <v>608</v>
      </c>
      <c r="B827" s="1" t="s">
        <v>776</v>
      </c>
      <c r="C827" s="1" t="str">
        <f>"66298810393230"</f>
        <v>66298810393230</v>
      </c>
      <c r="D827" s="1" t="str">
        <f>"JF-1612-01HB"</f>
        <v>JF-1612-01HB</v>
      </c>
      <c r="E827" s="1" t="s">
        <v>17</v>
      </c>
      <c r="F827" s="1">
        <v>5</v>
      </c>
      <c r="G827" s="1">
        <v>2496</v>
      </c>
      <c r="H827" s="1">
        <v>12480</v>
      </c>
      <c r="I827" s="1">
        <v>0</v>
      </c>
      <c r="J827" s="1">
        <v>5</v>
      </c>
      <c r="K827" s="1">
        <v>0</v>
      </c>
    </row>
    <row r="828" spans="1:11" x14ac:dyDescent="0.2">
      <c r="A828" s="1" t="s">
        <v>608</v>
      </c>
      <c r="B828" s="1" t="s">
        <v>777</v>
      </c>
      <c r="C828" s="1" t="str">
        <f>"66298810435386"</f>
        <v>66298810435386</v>
      </c>
      <c r="D828" s="1" t="str">
        <f>"400608"</f>
        <v>400608</v>
      </c>
      <c r="E828" s="1" t="s">
        <v>17</v>
      </c>
      <c r="F828" s="1">
        <v>4</v>
      </c>
      <c r="G828" s="1">
        <v>680</v>
      </c>
      <c r="H828" s="1">
        <v>2720</v>
      </c>
      <c r="I828" s="1">
        <v>0</v>
      </c>
      <c r="J828" s="1">
        <v>4</v>
      </c>
      <c r="K828" s="1">
        <v>0</v>
      </c>
    </row>
    <row r="829" spans="1:11" x14ac:dyDescent="0.2">
      <c r="A829" s="1" t="s">
        <v>608</v>
      </c>
      <c r="B829" s="1" t="s">
        <v>778</v>
      </c>
      <c r="C829" s="1" t="str">
        <f>"66298810533838"</f>
        <v>66298810533838</v>
      </c>
      <c r="D829" s="1" t="str">
        <f>"400610"</f>
        <v>400610</v>
      </c>
      <c r="E829" s="1" t="s">
        <v>17</v>
      </c>
      <c r="F829" s="1">
        <v>7</v>
      </c>
      <c r="G829" s="1">
        <v>695</v>
      </c>
      <c r="H829" s="1">
        <v>4865</v>
      </c>
      <c r="I829" s="1">
        <v>0</v>
      </c>
      <c r="J829" s="1">
        <v>7</v>
      </c>
      <c r="K829" s="1">
        <v>0</v>
      </c>
    </row>
    <row r="830" spans="1:11" x14ac:dyDescent="0.2">
      <c r="A830" s="1" t="s">
        <v>608</v>
      </c>
      <c r="B830" s="1" t="s">
        <v>779</v>
      </c>
      <c r="C830" s="1" t="str">
        <f>"66298810477288"</f>
        <v>66298810477288</v>
      </c>
      <c r="D830" s="1" t="str">
        <f>"83172"</f>
        <v>83172</v>
      </c>
      <c r="E830" s="1" t="s">
        <v>17</v>
      </c>
      <c r="F830" s="1">
        <v>1</v>
      </c>
      <c r="G830" s="1">
        <v>730</v>
      </c>
      <c r="H830" s="1">
        <v>730</v>
      </c>
      <c r="I830" s="1">
        <v>0</v>
      </c>
      <c r="J830" s="1">
        <v>1</v>
      </c>
      <c r="K830" s="1">
        <v>0</v>
      </c>
    </row>
    <row r="831" spans="1:11" x14ac:dyDescent="0.2">
      <c r="A831" s="1" t="s">
        <v>608</v>
      </c>
      <c r="B831" s="1" t="s">
        <v>779</v>
      </c>
      <c r="C831" s="1" t="str">
        <f>"66298810484427"</f>
        <v>66298810484427</v>
      </c>
      <c r="D831" s="1" t="str">
        <f>"JL-1612-00HB"</f>
        <v>JL-1612-00HB</v>
      </c>
      <c r="E831" s="1" t="s">
        <v>17</v>
      </c>
      <c r="F831" s="1">
        <v>18</v>
      </c>
      <c r="G831" s="1">
        <v>1800.89</v>
      </c>
      <c r="H831" s="1">
        <v>32416</v>
      </c>
      <c r="I831" s="1">
        <v>0</v>
      </c>
      <c r="J831" s="1">
        <v>18</v>
      </c>
      <c r="K831" s="1">
        <v>0</v>
      </c>
    </row>
    <row r="832" spans="1:11" x14ac:dyDescent="0.2">
      <c r="A832" s="1" t="s">
        <v>608</v>
      </c>
      <c r="B832" s="1" t="s">
        <v>780</v>
      </c>
      <c r="C832" s="1" t="str">
        <f>"66298810576552"</f>
        <v>66298810576552</v>
      </c>
      <c r="D832" s="1" t="str">
        <f>"DK-1910-11HB"</f>
        <v>DK-1910-11HB</v>
      </c>
      <c r="E832" s="1" t="s">
        <v>17</v>
      </c>
      <c r="F832" s="1">
        <v>8</v>
      </c>
      <c r="G832" s="1">
        <v>945</v>
      </c>
      <c r="H832" s="1">
        <v>7560</v>
      </c>
      <c r="I832" s="1">
        <v>0</v>
      </c>
      <c r="J832" s="1">
        <v>8</v>
      </c>
      <c r="K832" s="1">
        <v>0</v>
      </c>
    </row>
    <row r="833" spans="1:11" x14ac:dyDescent="0.2">
      <c r="A833" s="1" t="s">
        <v>608</v>
      </c>
      <c r="B833" s="1" t="s">
        <v>781</v>
      </c>
      <c r="C833" s="1" t="str">
        <f>"66298810615598"</f>
        <v>66298810615598</v>
      </c>
      <c r="D833" s="1" t="str">
        <f>"400611"</f>
        <v>400611</v>
      </c>
      <c r="E833" s="1" t="s">
        <v>17</v>
      </c>
      <c r="F833" s="1">
        <v>20</v>
      </c>
      <c r="G833" s="1">
        <v>643</v>
      </c>
      <c r="H833" s="1">
        <v>12860</v>
      </c>
      <c r="I833" s="1">
        <v>0</v>
      </c>
      <c r="J833" s="1">
        <v>20</v>
      </c>
      <c r="K833" s="1">
        <v>0</v>
      </c>
    </row>
    <row r="834" spans="1:11" x14ac:dyDescent="0.2">
      <c r="A834" s="1" t="s">
        <v>751</v>
      </c>
      <c r="B834" s="1" t="s">
        <v>782</v>
      </c>
      <c r="C834" s="1" t="str">
        <f>"EMKD00227"</f>
        <v>EMKD00227</v>
      </c>
      <c r="D834" s="1" t="str">
        <f>"EMKD00227"</f>
        <v>EMKD00227</v>
      </c>
      <c r="E834" s="1" t="s">
        <v>17</v>
      </c>
      <c r="F834" s="1">
        <v>2</v>
      </c>
      <c r="G834" s="1">
        <v>4588.84</v>
      </c>
      <c r="H834" s="1">
        <v>9178</v>
      </c>
      <c r="I834" s="1">
        <v>0</v>
      </c>
      <c r="J834" s="1">
        <v>2</v>
      </c>
      <c r="K834" s="1">
        <v>0</v>
      </c>
    </row>
    <row r="835" spans="1:11" x14ac:dyDescent="0.2">
      <c r="A835" s="1" t="s">
        <v>608</v>
      </c>
      <c r="B835" s="1" t="s">
        <v>783</v>
      </c>
      <c r="C835" s="1" t="str">
        <f>"66298810655662"</f>
        <v>66298810655662</v>
      </c>
      <c r="D835" s="1" t="str">
        <f>"400239"</f>
        <v>400239</v>
      </c>
      <c r="E835" s="1" t="s">
        <v>17</v>
      </c>
      <c r="F835" s="1">
        <v>10</v>
      </c>
      <c r="G835" s="1">
        <v>737</v>
      </c>
      <c r="H835" s="1">
        <v>7370</v>
      </c>
      <c r="I835" s="1">
        <v>0</v>
      </c>
      <c r="J835" s="1">
        <v>10</v>
      </c>
      <c r="K835" s="1">
        <v>0</v>
      </c>
    </row>
    <row r="836" spans="1:11" x14ac:dyDescent="0.2">
      <c r="A836" s="1" t="s">
        <v>608</v>
      </c>
      <c r="B836" s="1" t="s">
        <v>784</v>
      </c>
      <c r="C836" s="1" t="str">
        <f>"66298810697656"</f>
        <v>66298810697656</v>
      </c>
      <c r="D836" s="1" t="str">
        <f>"400615"</f>
        <v>400615</v>
      </c>
      <c r="E836" s="1" t="s">
        <v>17</v>
      </c>
      <c r="F836" s="1">
        <v>5</v>
      </c>
      <c r="G836" s="1">
        <v>499</v>
      </c>
      <c r="H836" s="1">
        <v>2495</v>
      </c>
      <c r="I836" s="1">
        <v>0</v>
      </c>
      <c r="J836" s="1">
        <v>5</v>
      </c>
      <c r="K836" s="1">
        <v>0</v>
      </c>
    </row>
    <row r="837" spans="1:11" x14ac:dyDescent="0.2">
      <c r="A837" s="1" t="s">
        <v>608</v>
      </c>
      <c r="B837" s="1" t="s">
        <v>785</v>
      </c>
      <c r="C837" s="1" t="str">
        <f>"66298810754998"</f>
        <v>66298810754998</v>
      </c>
      <c r="D837" s="1" t="str">
        <f>"58200H37210H000"</f>
        <v>58200H37210H000</v>
      </c>
      <c r="E837" s="1" t="s">
        <v>17</v>
      </c>
      <c r="F837" s="1">
        <v>3</v>
      </c>
      <c r="G837" s="1">
        <v>5653.33</v>
      </c>
      <c r="H837" s="1">
        <v>16960</v>
      </c>
      <c r="I837" s="1">
        <v>0</v>
      </c>
      <c r="J837" s="1">
        <v>3</v>
      </c>
      <c r="K837" s="1">
        <v>0</v>
      </c>
    </row>
    <row r="838" spans="1:11" x14ac:dyDescent="0.2">
      <c r="A838" s="1" t="s">
        <v>608</v>
      </c>
      <c r="B838" s="1" t="s">
        <v>786</v>
      </c>
      <c r="C838" s="1" t="str">
        <f>"BB007"</f>
        <v>BB007</v>
      </c>
      <c r="D838" s="1" t="str">
        <f>"BB007"</f>
        <v>BB007</v>
      </c>
      <c r="E838" s="1" t="s">
        <v>17</v>
      </c>
      <c r="F838" s="1">
        <v>15</v>
      </c>
      <c r="G838" s="1">
        <v>319.68</v>
      </c>
      <c r="H838" s="1">
        <v>4795</v>
      </c>
      <c r="I838" s="1">
        <v>0</v>
      </c>
      <c r="J838" s="1">
        <v>15</v>
      </c>
      <c r="K838" s="1">
        <v>0</v>
      </c>
    </row>
    <row r="839" spans="1:11" x14ac:dyDescent="0.2">
      <c r="A839" s="1" t="s">
        <v>608</v>
      </c>
      <c r="B839" s="1" t="s">
        <v>787</v>
      </c>
      <c r="C839" s="1" t="str">
        <f>"66298810802359"</f>
        <v>66298810802359</v>
      </c>
      <c r="D839" s="1" t="str">
        <f>"400617"</f>
        <v>400617</v>
      </c>
      <c r="E839" s="1" t="s">
        <v>17</v>
      </c>
      <c r="F839" s="1">
        <v>7</v>
      </c>
      <c r="G839" s="1">
        <v>516</v>
      </c>
      <c r="H839" s="1">
        <v>3612</v>
      </c>
      <c r="I839" s="1">
        <v>0</v>
      </c>
      <c r="J839" s="1">
        <v>7</v>
      </c>
      <c r="K839" s="1">
        <v>0</v>
      </c>
    </row>
    <row r="840" spans="1:11" x14ac:dyDescent="0.2">
      <c r="A840" s="1" t="s">
        <v>608</v>
      </c>
      <c r="B840" s="1" t="s">
        <v>788</v>
      </c>
      <c r="C840" s="1" t="str">
        <f>"66298810894726"</f>
        <v>66298810894726</v>
      </c>
      <c r="D840" s="1" t="str">
        <f>"400618"</f>
        <v>400618</v>
      </c>
      <c r="E840" s="1" t="s">
        <v>17</v>
      </c>
      <c r="F840" s="1">
        <v>16</v>
      </c>
      <c r="G840" s="1">
        <v>529</v>
      </c>
      <c r="H840" s="1">
        <v>8464</v>
      </c>
      <c r="I840" s="1">
        <v>0</v>
      </c>
      <c r="J840" s="1">
        <v>16</v>
      </c>
      <c r="K840" s="1">
        <v>0</v>
      </c>
    </row>
    <row r="841" spans="1:11" x14ac:dyDescent="0.2">
      <c r="A841" s="1" t="s">
        <v>608</v>
      </c>
      <c r="B841" s="1" t="s">
        <v>789</v>
      </c>
      <c r="C841" s="1" t="str">
        <f>"66298810844920"</f>
        <v>66298810844920</v>
      </c>
      <c r="D841" s="1" t="str">
        <f>"22870-KRH-780"</f>
        <v>22870-KRH-780</v>
      </c>
      <c r="E841" s="1" t="s">
        <v>17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</row>
    <row r="842" spans="1:11" x14ac:dyDescent="0.2">
      <c r="A842" s="1" t="s">
        <v>608</v>
      </c>
      <c r="B842" s="1" t="s">
        <v>789</v>
      </c>
      <c r="C842" s="1" t="str">
        <f>"BB017"</f>
        <v>BB017</v>
      </c>
      <c r="D842" s="1" t="str">
        <f>"BB017"</f>
        <v>BB017</v>
      </c>
      <c r="E842" s="1" t="s">
        <v>17</v>
      </c>
      <c r="F842" s="1">
        <v>2</v>
      </c>
      <c r="G842" s="1">
        <v>1750</v>
      </c>
      <c r="H842" s="1">
        <v>3500</v>
      </c>
      <c r="I842" s="1">
        <v>0</v>
      </c>
      <c r="J842" s="1">
        <v>2</v>
      </c>
      <c r="K842" s="1">
        <v>0</v>
      </c>
    </row>
    <row r="843" spans="1:11" x14ac:dyDescent="0.2">
      <c r="A843" s="1" t="s">
        <v>608</v>
      </c>
      <c r="B843" s="1" t="s">
        <v>790</v>
      </c>
      <c r="C843" s="1" t="str">
        <f>"66298810933620"</f>
        <v>66298810933620</v>
      </c>
      <c r="D843" s="1" t="str">
        <f>"400619"</f>
        <v>400619</v>
      </c>
      <c r="E843" s="1" t="s">
        <v>17</v>
      </c>
      <c r="F843" s="1">
        <v>2</v>
      </c>
      <c r="G843" s="1">
        <v>562</v>
      </c>
      <c r="H843" s="1">
        <v>1124</v>
      </c>
      <c r="I843" s="1">
        <v>0</v>
      </c>
      <c r="J843" s="1">
        <v>2</v>
      </c>
      <c r="K843" s="1">
        <v>0</v>
      </c>
    </row>
    <row r="844" spans="1:11" x14ac:dyDescent="0.2">
      <c r="A844" s="1" t="s">
        <v>608</v>
      </c>
      <c r="B844" s="1" t="s">
        <v>791</v>
      </c>
      <c r="C844" s="1" t="str">
        <f>"BB018"</f>
        <v>BB018</v>
      </c>
      <c r="D844" s="1" t="str">
        <f>"BB018"</f>
        <v>BB018</v>
      </c>
      <c r="E844" s="1" t="s">
        <v>17</v>
      </c>
      <c r="F844" s="1">
        <v>2</v>
      </c>
      <c r="G844" s="1">
        <v>1590</v>
      </c>
      <c r="H844" s="1">
        <v>3180</v>
      </c>
      <c r="I844" s="1">
        <v>0</v>
      </c>
      <c r="J844" s="1">
        <v>2</v>
      </c>
      <c r="K844" s="1">
        <v>0</v>
      </c>
    </row>
    <row r="845" spans="1:11" x14ac:dyDescent="0.2">
      <c r="A845" s="1" t="s">
        <v>608</v>
      </c>
      <c r="B845" s="1" t="s">
        <v>792</v>
      </c>
      <c r="C845" s="1" t="str">
        <f>"66298810972151"</f>
        <v>66298810972151</v>
      </c>
      <c r="D845" s="1" t="str">
        <f>"22870-KBB-900BR"</f>
        <v>22870-KBB-900BR</v>
      </c>
      <c r="E845" s="1" t="s">
        <v>17</v>
      </c>
      <c r="F845" s="1">
        <v>1</v>
      </c>
      <c r="G845" s="1">
        <v>4514</v>
      </c>
      <c r="H845" s="1">
        <v>4514</v>
      </c>
      <c r="I845" s="1">
        <v>0</v>
      </c>
      <c r="J845" s="1">
        <v>1</v>
      </c>
      <c r="K845" s="1">
        <v>0</v>
      </c>
    </row>
    <row r="846" spans="1:11" x14ac:dyDescent="0.2">
      <c r="A846" s="1" t="s">
        <v>608</v>
      </c>
      <c r="B846" s="1" t="s">
        <v>793</v>
      </c>
      <c r="C846" s="1" t="str">
        <f>"66298811059491"</f>
        <v>66298811059491</v>
      </c>
      <c r="D846" s="1" t="str">
        <f>"400620"</f>
        <v>400620</v>
      </c>
      <c r="E846" s="1" t="s">
        <v>17</v>
      </c>
      <c r="F846" s="1">
        <v>4</v>
      </c>
      <c r="G846" s="1">
        <v>562</v>
      </c>
      <c r="H846" s="1">
        <v>2248</v>
      </c>
      <c r="I846" s="1">
        <v>0</v>
      </c>
      <c r="J846" s="1">
        <v>4</v>
      </c>
      <c r="K846" s="1">
        <v>0</v>
      </c>
    </row>
    <row r="847" spans="1:11" x14ac:dyDescent="0.2">
      <c r="A847" s="1" t="s">
        <v>608</v>
      </c>
      <c r="B847" s="1" t="s">
        <v>794</v>
      </c>
      <c r="C847" s="1" t="str">
        <f>"66298811015606"</f>
        <v>66298811015606</v>
      </c>
      <c r="D847" s="1" t="str">
        <f>"22870-KPF-900BR"</f>
        <v>22870-KPF-900BR</v>
      </c>
      <c r="E847" s="1" t="s">
        <v>17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</row>
    <row r="848" spans="1:11" x14ac:dyDescent="0.2">
      <c r="A848" s="1" t="s">
        <v>608</v>
      </c>
      <c r="B848" s="1" t="s">
        <v>795</v>
      </c>
      <c r="C848" s="1" t="str">
        <f>"66298811104425"</f>
        <v>66298811104425</v>
      </c>
      <c r="D848" s="1" t="str">
        <f>"22870-KPE-870JP"</f>
        <v>22870-KPE-870JP</v>
      </c>
      <c r="E848" s="1" t="s">
        <v>17</v>
      </c>
      <c r="F848" s="1">
        <v>2</v>
      </c>
      <c r="G848" s="1">
        <v>1768</v>
      </c>
      <c r="H848" s="1">
        <v>3536</v>
      </c>
      <c r="I848" s="1">
        <v>0</v>
      </c>
      <c r="J848" s="1">
        <v>2</v>
      </c>
      <c r="K848" s="1">
        <v>0</v>
      </c>
    </row>
    <row r="849" spans="1:11" x14ac:dyDescent="0.2">
      <c r="A849" s="1" t="s">
        <v>608</v>
      </c>
      <c r="B849" s="1" t="s">
        <v>796</v>
      </c>
      <c r="C849" s="1" t="str">
        <f>"66298811147623"</f>
        <v>66298811147623</v>
      </c>
      <c r="D849" s="1" t="str">
        <f>"22870-KWT-700HB"</f>
        <v>22870-KWT-700HB</v>
      </c>
      <c r="E849" s="1" t="s">
        <v>17</v>
      </c>
      <c r="F849" s="1">
        <v>10</v>
      </c>
      <c r="G849" s="1">
        <v>2092.6999999999998</v>
      </c>
      <c r="H849" s="1">
        <v>20927</v>
      </c>
      <c r="I849" s="1">
        <v>0</v>
      </c>
      <c r="J849" s="1">
        <v>10</v>
      </c>
      <c r="K849" s="1">
        <v>0</v>
      </c>
    </row>
    <row r="850" spans="1:11" x14ac:dyDescent="0.2">
      <c r="A850" s="1" t="s">
        <v>608</v>
      </c>
      <c r="B850" s="1" t="s">
        <v>796</v>
      </c>
      <c r="C850" s="1" t="str">
        <f>"66298811186726"</f>
        <v>66298811186726</v>
      </c>
      <c r="D850" s="1" t="str">
        <f>"22870-KWT-900BR"</f>
        <v>22870-KWT-900BR</v>
      </c>
      <c r="E850" s="1" t="s">
        <v>17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</row>
    <row r="851" spans="1:11" x14ac:dyDescent="0.2">
      <c r="A851" s="1" t="s">
        <v>608</v>
      </c>
      <c r="B851" s="1" t="s">
        <v>797</v>
      </c>
      <c r="C851" s="1" t="str">
        <f>"4B4-26335-00HB"</f>
        <v>4B4-26335-00HB</v>
      </c>
      <c r="D851" s="1" t="str">
        <f>"4B4-26335-00HB"</f>
        <v>4B4-26335-00HB</v>
      </c>
      <c r="E851" s="1" t="s">
        <v>17</v>
      </c>
      <c r="F851" s="1">
        <v>8</v>
      </c>
      <c r="G851" s="1">
        <v>2813.25</v>
      </c>
      <c r="H851" s="1">
        <v>22506</v>
      </c>
      <c r="I851" s="1">
        <v>0</v>
      </c>
      <c r="J851" s="1">
        <v>8</v>
      </c>
      <c r="K851" s="1">
        <v>0</v>
      </c>
    </row>
    <row r="852" spans="1:11" x14ac:dyDescent="0.2">
      <c r="A852" s="1" t="s">
        <v>608</v>
      </c>
      <c r="B852" s="1" t="s">
        <v>798</v>
      </c>
      <c r="C852" s="1" t="str">
        <f>"BB006"</f>
        <v>BB006</v>
      </c>
      <c r="D852" s="1" t="str">
        <f>"BB006"</f>
        <v>BB006</v>
      </c>
      <c r="E852" s="1" t="s">
        <v>17</v>
      </c>
      <c r="F852" s="1">
        <v>2</v>
      </c>
      <c r="G852" s="1">
        <v>2136</v>
      </c>
      <c r="H852" s="1">
        <v>4272</v>
      </c>
      <c r="I852" s="1">
        <v>0</v>
      </c>
      <c r="J852" s="1">
        <v>2</v>
      </c>
      <c r="K852" s="1">
        <v>0</v>
      </c>
    </row>
    <row r="853" spans="1:11" x14ac:dyDescent="0.2">
      <c r="A853" s="1" t="s">
        <v>608</v>
      </c>
      <c r="B853" s="1" t="s">
        <v>799</v>
      </c>
      <c r="C853" s="1" t="str">
        <f>"2180"</f>
        <v>2180</v>
      </c>
      <c r="D853" s="1" t="str">
        <f>"2180"</f>
        <v>2180</v>
      </c>
      <c r="E853" s="1" t="s">
        <v>17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</row>
    <row r="854" spans="1:11" x14ac:dyDescent="0.2">
      <c r="A854" s="1" t="s">
        <v>608</v>
      </c>
      <c r="B854" s="1" t="s">
        <v>800</v>
      </c>
      <c r="C854" s="1" t="str">
        <f>"251"</f>
        <v>251</v>
      </c>
      <c r="D854" s="1" t="str">
        <f>"251"</f>
        <v>251</v>
      </c>
      <c r="E854" s="1" t="s">
        <v>17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</row>
    <row r="855" spans="1:11" x14ac:dyDescent="0.2">
      <c r="A855" s="1" t="s">
        <v>608</v>
      </c>
      <c r="B855" s="1" t="s">
        <v>801</v>
      </c>
      <c r="C855" s="1" t="str">
        <f>"9638"</f>
        <v>9638</v>
      </c>
      <c r="D855" s="1" t="str">
        <f>"9638"</f>
        <v>9638</v>
      </c>
      <c r="E855" s="1" t="s">
        <v>17</v>
      </c>
      <c r="F855" s="1">
        <v>2</v>
      </c>
      <c r="G855" s="1">
        <v>1608.4</v>
      </c>
      <c r="H855" s="1">
        <v>3217</v>
      </c>
      <c r="I855" s="1">
        <v>0</v>
      </c>
      <c r="J855" s="1">
        <v>2</v>
      </c>
      <c r="K855" s="1">
        <v>0</v>
      </c>
    </row>
    <row r="856" spans="1:11" x14ac:dyDescent="0.2">
      <c r="A856" s="1" t="s">
        <v>608</v>
      </c>
      <c r="B856" s="1" t="s">
        <v>802</v>
      </c>
      <c r="C856" s="1" t="str">
        <f>"66298811266467"</f>
        <v>66298811266467</v>
      </c>
      <c r="D856" s="1" t="str">
        <f>"82071"</f>
        <v>82071</v>
      </c>
      <c r="E856" s="1" t="s">
        <v>17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</row>
    <row r="857" spans="1:11" x14ac:dyDescent="0.2">
      <c r="A857" s="1" t="s">
        <v>608</v>
      </c>
      <c r="B857" s="1" t="s">
        <v>803</v>
      </c>
      <c r="C857" s="1" t="str">
        <f>"66298811306083"</f>
        <v>66298811306083</v>
      </c>
      <c r="D857" s="1" t="str">
        <f>"82074"</f>
        <v>82074</v>
      </c>
      <c r="E857" s="1" t="s">
        <v>17</v>
      </c>
      <c r="F857" s="1">
        <v>7</v>
      </c>
      <c r="G857" s="1">
        <v>600</v>
      </c>
      <c r="H857" s="1">
        <v>4200</v>
      </c>
      <c r="I857" s="1">
        <v>0</v>
      </c>
      <c r="J857" s="1">
        <v>7</v>
      </c>
      <c r="K857" s="1">
        <v>0</v>
      </c>
    </row>
    <row r="858" spans="1:11" x14ac:dyDescent="0.2">
      <c r="A858" s="1" t="s">
        <v>608</v>
      </c>
      <c r="B858" s="1" t="s">
        <v>804</v>
      </c>
      <c r="C858" s="1" t="str">
        <f>"BE004"</f>
        <v>BE004</v>
      </c>
      <c r="D858" s="1" t="str">
        <f>"BE004"</f>
        <v>BE004</v>
      </c>
      <c r="E858" s="1" t="s">
        <v>17</v>
      </c>
      <c r="F858" s="1">
        <v>2</v>
      </c>
      <c r="G858" s="1">
        <v>2136</v>
      </c>
      <c r="H858" s="1">
        <v>4272</v>
      </c>
      <c r="I858" s="1">
        <v>0</v>
      </c>
      <c r="J858" s="1">
        <v>2</v>
      </c>
      <c r="K858" s="1">
        <v>0</v>
      </c>
    </row>
    <row r="859" spans="1:11" x14ac:dyDescent="0.2">
      <c r="A859" s="1" t="s">
        <v>608</v>
      </c>
      <c r="B859" s="1" t="s">
        <v>805</v>
      </c>
      <c r="C859" s="1" t="str">
        <f>"BE002"</f>
        <v>BE002</v>
      </c>
      <c r="D859" s="1" t="str">
        <f>"BE002"</f>
        <v>BE002</v>
      </c>
      <c r="E859" s="1" t="s">
        <v>17</v>
      </c>
      <c r="F859" s="1">
        <v>4</v>
      </c>
      <c r="G859" s="1">
        <v>1956</v>
      </c>
      <c r="H859" s="1">
        <v>7824</v>
      </c>
      <c r="I859" s="1">
        <v>0</v>
      </c>
      <c r="J859" s="1">
        <v>4</v>
      </c>
      <c r="K859" s="1">
        <v>0</v>
      </c>
    </row>
    <row r="860" spans="1:11" x14ac:dyDescent="0.2">
      <c r="A860" s="1" t="s">
        <v>608</v>
      </c>
      <c r="B860" s="1" t="s">
        <v>806</v>
      </c>
      <c r="C860" s="1" t="str">
        <f>"66298811349272"</f>
        <v>66298811349272</v>
      </c>
      <c r="D860" s="1" t="str">
        <f>"400592"</f>
        <v>400592</v>
      </c>
      <c r="E860" s="1" t="s">
        <v>17</v>
      </c>
      <c r="F860" s="1">
        <v>17</v>
      </c>
      <c r="G860" s="1">
        <v>803</v>
      </c>
      <c r="H860" s="1">
        <v>13651</v>
      </c>
      <c r="I860" s="1">
        <v>0</v>
      </c>
      <c r="J860" s="1">
        <v>17</v>
      </c>
      <c r="K860" s="1">
        <v>0</v>
      </c>
    </row>
    <row r="861" spans="1:11" x14ac:dyDescent="0.2">
      <c r="A861" s="1" t="s">
        <v>608</v>
      </c>
      <c r="B861" s="1" t="s">
        <v>807</v>
      </c>
      <c r="C861" s="1" t="str">
        <f>"66298811388842"</f>
        <v>66298811388842</v>
      </c>
      <c r="D861" s="1" t="str">
        <f>"58510-33GE1-000"</f>
        <v>58510-33GE1-000</v>
      </c>
      <c r="E861" s="1" t="s">
        <v>17</v>
      </c>
      <c r="F861" s="1">
        <v>2</v>
      </c>
      <c r="G861" s="1">
        <v>4019</v>
      </c>
      <c r="H861" s="1">
        <v>8038</v>
      </c>
      <c r="I861" s="1">
        <v>0</v>
      </c>
      <c r="J861" s="1">
        <v>2</v>
      </c>
      <c r="K861" s="1">
        <v>0</v>
      </c>
    </row>
    <row r="862" spans="1:11" x14ac:dyDescent="0.2">
      <c r="A862" s="1" t="s">
        <v>18</v>
      </c>
      <c r="B862" s="1" t="s">
        <v>808</v>
      </c>
      <c r="C862" s="1" t="str">
        <f>"LX1254-CASW"</f>
        <v>LX1254-CASW</v>
      </c>
      <c r="D862" s="1" t="str">
        <f>"LX1254-CASW"</f>
        <v>LX1254-CASW</v>
      </c>
      <c r="E862" s="1" t="s">
        <v>17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</row>
    <row r="863" spans="1:11" x14ac:dyDescent="0.2">
      <c r="A863" s="1" t="s">
        <v>608</v>
      </c>
      <c r="B863" s="1" t="s">
        <v>809</v>
      </c>
      <c r="C863" s="1" t="str">
        <f>"BD005"</f>
        <v>BD005</v>
      </c>
      <c r="D863" s="1" t="str">
        <f>"BD005"</f>
        <v>BD005</v>
      </c>
      <c r="E863" s="1" t="s">
        <v>17</v>
      </c>
      <c r="F863" s="1">
        <v>3</v>
      </c>
      <c r="G863" s="1">
        <v>1340.67</v>
      </c>
      <c r="H863" s="1">
        <v>4022</v>
      </c>
      <c r="I863" s="1">
        <v>0</v>
      </c>
      <c r="J863" s="1">
        <v>3</v>
      </c>
      <c r="K863" s="1">
        <v>0</v>
      </c>
    </row>
    <row r="864" spans="1:11" x14ac:dyDescent="0.2">
      <c r="A864" s="1" t="s">
        <v>608</v>
      </c>
      <c r="B864" s="1" t="s">
        <v>810</v>
      </c>
      <c r="C864" s="1" t="str">
        <f>"66298811469496"</f>
        <v>66298811469496</v>
      </c>
      <c r="D864" s="1" t="str">
        <f>"400647"</f>
        <v>400647</v>
      </c>
      <c r="E864" s="1" t="s">
        <v>17</v>
      </c>
      <c r="F864" s="1">
        <v>9</v>
      </c>
      <c r="G864" s="1">
        <v>404</v>
      </c>
      <c r="H864" s="1">
        <v>3636</v>
      </c>
      <c r="I864" s="1">
        <v>0</v>
      </c>
      <c r="J864" s="1">
        <v>9</v>
      </c>
      <c r="K864" s="1">
        <v>0</v>
      </c>
    </row>
    <row r="865" spans="1:11" x14ac:dyDescent="0.2">
      <c r="A865" s="1" t="s">
        <v>608</v>
      </c>
      <c r="B865" s="1" t="s">
        <v>811</v>
      </c>
      <c r="C865" s="1" t="str">
        <f>"34940-05380"</f>
        <v>34940-05380</v>
      </c>
      <c r="D865" s="1" t="str">
        <f>"34940-05380"</f>
        <v>34940-05380</v>
      </c>
      <c r="E865" s="1" t="s">
        <v>17</v>
      </c>
      <c r="F865" s="1">
        <v>5</v>
      </c>
      <c r="G865" s="1">
        <v>1183.8</v>
      </c>
      <c r="H865" s="1">
        <v>5919</v>
      </c>
      <c r="I865" s="1">
        <v>0</v>
      </c>
      <c r="J865" s="1">
        <v>5</v>
      </c>
      <c r="K865" s="1">
        <v>0</v>
      </c>
    </row>
    <row r="866" spans="1:11" x14ac:dyDescent="0.2">
      <c r="A866" s="1" t="s">
        <v>608</v>
      </c>
      <c r="B866" s="1" t="s">
        <v>812</v>
      </c>
      <c r="C866" s="1" t="str">
        <f>"1175"</f>
        <v>1175</v>
      </c>
      <c r="D866" s="1" t="str">
        <f>"1175"</f>
        <v>1175</v>
      </c>
      <c r="E866" s="1" t="s">
        <v>17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</row>
    <row r="867" spans="1:11" x14ac:dyDescent="0.2">
      <c r="A867" s="1" t="s">
        <v>608</v>
      </c>
      <c r="B867" s="1" t="s">
        <v>813</v>
      </c>
      <c r="C867" s="1" t="str">
        <f>"1052"</f>
        <v>1052</v>
      </c>
      <c r="D867" s="1" t="str">
        <f>"1052"</f>
        <v>1052</v>
      </c>
      <c r="E867" s="1" t="s">
        <v>17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</row>
    <row r="868" spans="1:11" x14ac:dyDescent="0.2">
      <c r="A868" s="1" t="s">
        <v>608</v>
      </c>
      <c r="B868" s="1" t="s">
        <v>814</v>
      </c>
      <c r="C868" s="1" t="str">
        <f>"66298811554150"</f>
        <v>66298811554150</v>
      </c>
      <c r="D868" s="1" t="str">
        <f>"84904"</f>
        <v>84904</v>
      </c>
      <c r="E868" s="1" t="s">
        <v>17</v>
      </c>
      <c r="F868" s="1">
        <v>3</v>
      </c>
      <c r="G868" s="1">
        <v>9397</v>
      </c>
      <c r="H868" s="1">
        <v>28191</v>
      </c>
      <c r="I868" s="1">
        <v>0</v>
      </c>
      <c r="J868" s="1">
        <v>3</v>
      </c>
      <c r="K868" s="1">
        <v>0</v>
      </c>
    </row>
    <row r="869" spans="1:11" x14ac:dyDescent="0.2">
      <c r="A869" s="1" t="s">
        <v>608</v>
      </c>
      <c r="B869" s="1" t="s">
        <v>815</v>
      </c>
      <c r="C869" s="1" t="str">
        <f>"66298811592029"</f>
        <v>66298811592029</v>
      </c>
      <c r="D869" s="1" t="str">
        <f>"82838"</f>
        <v>82838</v>
      </c>
      <c r="E869" s="1" t="s">
        <v>17</v>
      </c>
      <c r="F869" s="1">
        <v>3</v>
      </c>
      <c r="G869" s="1">
        <v>1419</v>
      </c>
      <c r="H869" s="1">
        <v>4257</v>
      </c>
      <c r="I869" s="1">
        <v>0</v>
      </c>
      <c r="J869" s="1">
        <v>3</v>
      </c>
      <c r="K869" s="1">
        <v>0</v>
      </c>
    </row>
    <row r="870" spans="1:11" x14ac:dyDescent="0.2">
      <c r="A870" s="1" t="s">
        <v>816</v>
      </c>
      <c r="B870" s="1" t="s">
        <v>817</v>
      </c>
      <c r="C870" s="1" t="str">
        <f>"66298811632096"</f>
        <v>66298811632096</v>
      </c>
      <c r="D870" s="1" t="str">
        <f>"VD05FP"</f>
        <v>VD05FP</v>
      </c>
      <c r="E870" s="1" t="s">
        <v>17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</row>
    <row r="871" spans="1:11" x14ac:dyDescent="0.2">
      <c r="A871" s="1" t="s">
        <v>816</v>
      </c>
      <c r="B871" s="1" t="s">
        <v>818</v>
      </c>
      <c r="C871" s="1" t="str">
        <f>"66298811674841"</f>
        <v>66298811674841</v>
      </c>
      <c r="D871" s="1" t="str">
        <f>"49CC11"</f>
        <v>49CC11</v>
      </c>
      <c r="E871" s="1" t="s">
        <v>17</v>
      </c>
      <c r="F871" s="1">
        <v>5</v>
      </c>
      <c r="G871" s="1">
        <v>432</v>
      </c>
      <c r="H871" s="1">
        <v>2160</v>
      </c>
      <c r="I871" s="1">
        <v>0</v>
      </c>
      <c r="J871" s="1">
        <v>5</v>
      </c>
      <c r="K871" s="1">
        <v>0</v>
      </c>
    </row>
    <row r="872" spans="1:11" x14ac:dyDescent="0.2">
      <c r="A872" s="1" t="s">
        <v>816</v>
      </c>
      <c r="B872" s="1" t="s">
        <v>819</v>
      </c>
      <c r="C872" s="1" t="str">
        <f>"80990"</f>
        <v>80990</v>
      </c>
      <c r="D872" s="1" t="str">
        <f>"80990"</f>
        <v>80990</v>
      </c>
      <c r="E872" s="1" t="s">
        <v>17</v>
      </c>
      <c r="F872" s="1">
        <v>9</v>
      </c>
      <c r="G872" s="1">
        <v>480</v>
      </c>
      <c r="H872" s="1">
        <v>4320</v>
      </c>
      <c r="I872" s="1">
        <v>0</v>
      </c>
      <c r="J872" s="1">
        <v>9</v>
      </c>
      <c r="K872" s="1">
        <v>0</v>
      </c>
    </row>
    <row r="873" spans="1:11" x14ac:dyDescent="0.2">
      <c r="A873" s="1" t="s">
        <v>816</v>
      </c>
      <c r="B873" s="1" t="s">
        <v>819</v>
      </c>
      <c r="C873" s="1" t="str">
        <f>"LA001"</f>
        <v>LA001</v>
      </c>
      <c r="D873" s="1" t="str">
        <f>"LA001"</f>
        <v>LA001</v>
      </c>
      <c r="E873" s="1" t="s">
        <v>17</v>
      </c>
      <c r="F873" s="1">
        <v>19</v>
      </c>
      <c r="G873" s="1">
        <v>432</v>
      </c>
      <c r="H873" s="1">
        <v>8208</v>
      </c>
      <c r="I873" s="1">
        <v>0</v>
      </c>
      <c r="J873" s="1">
        <v>19</v>
      </c>
      <c r="K873" s="1">
        <v>0</v>
      </c>
    </row>
    <row r="874" spans="1:11" x14ac:dyDescent="0.2">
      <c r="A874" s="1" t="s">
        <v>816</v>
      </c>
      <c r="B874" s="1" t="s">
        <v>820</v>
      </c>
      <c r="C874" s="1" t="str">
        <f>"66298811773631"</f>
        <v>66298811773631</v>
      </c>
      <c r="D874" s="1" t="str">
        <f>"80991"</f>
        <v>80991</v>
      </c>
      <c r="E874" s="1" t="s">
        <v>17</v>
      </c>
      <c r="F874" s="1">
        <v>4</v>
      </c>
      <c r="G874" s="1">
        <v>653</v>
      </c>
      <c r="H874" s="1">
        <v>2612</v>
      </c>
      <c r="I874" s="1">
        <v>0</v>
      </c>
      <c r="J874" s="1">
        <v>4</v>
      </c>
      <c r="K874" s="1">
        <v>0</v>
      </c>
    </row>
    <row r="875" spans="1:11" x14ac:dyDescent="0.2">
      <c r="A875" s="1" t="s">
        <v>816</v>
      </c>
      <c r="B875" s="1" t="s">
        <v>821</v>
      </c>
      <c r="C875" s="1" t="str">
        <f>"JG351201"</f>
        <v>JG351201</v>
      </c>
      <c r="D875" s="1" t="str">
        <f>"JG351201"</f>
        <v>JG351201</v>
      </c>
      <c r="E875" s="1" t="s">
        <v>17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</row>
    <row r="876" spans="1:11" x14ac:dyDescent="0.2">
      <c r="A876" s="1" t="s">
        <v>816</v>
      </c>
      <c r="B876" s="1" t="s">
        <v>822</v>
      </c>
      <c r="C876" s="1" t="str">
        <f>"66298811814785"</f>
        <v>66298811814785</v>
      </c>
      <c r="D876" s="1" t="str">
        <f>"LA004"</f>
        <v>LA004</v>
      </c>
      <c r="E876" s="1" t="s">
        <v>17</v>
      </c>
      <c r="F876" s="1">
        <v>2</v>
      </c>
      <c r="G876" s="1">
        <v>621</v>
      </c>
      <c r="H876" s="1">
        <v>1242</v>
      </c>
      <c r="I876" s="1">
        <v>0</v>
      </c>
      <c r="J876" s="1">
        <v>2</v>
      </c>
      <c r="K876" s="1">
        <v>0</v>
      </c>
    </row>
    <row r="877" spans="1:11" x14ac:dyDescent="0.2">
      <c r="A877" s="1" t="s">
        <v>816</v>
      </c>
      <c r="B877" s="1" t="s">
        <v>823</v>
      </c>
      <c r="C877" s="1" t="str">
        <f>"LA003"</f>
        <v>LA003</v>
      </c>
      <c r="D877" s="1" t="str">
        <f>"LA003"</f>
        <v>LA003</v>
      </c>
      <c r="E877" s="1" t="s">
        <v>17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</row>
    <row r="878" spans="1:11" x14ac:dyDescent="0.2">
      <c r="A878" s="1" t="s">
        <v>816</v>
      </c>
      <c r="B878" s="1" t="s">
        <v>824</v>
      </c>
      <c r="C878" s="1" t="str">
        <f>"66298811894055"</f>
        <v>66298811894055</v>
      </c>
      <c r="D878" s="1" t="str">
        <f>"80988"</f>
        <v>80988</v>
      </c>
      <c r="E878" s="1" t="s">
        <v>17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</row>
    <row r="879" spans="1:11" x14ac:dyDescent="0.2">
      <c r="A879" s="1" t="s">
        <v>816</v>
      </c>
      <c r="B879" s="1" t="s">
        <v>825</v>
      </c>
      <c r="C879" s="1" t="str">
        <f>"LA005"</f>
        <v>LA005</v>
      </c>
      <c r="D879" s="1" t="str">
        <f>"LA005"</f>
        <v>LA005</v>
      </c>
      <c r="E879" s="1" t="s">
        <v>17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</row>
    <row r="880" spans="1:11" x14ac:dyDescent="0.2">
      <c r="A880" s="1" t="s">
        <v>816</v>
      </c>
      <c r="B880" s="1" t="s">
        <v>826</v>
      </c>
      <c r="C880" s="1" t="str">
        <f>"66298811968765"</f>
        <v>66298811968765</v>
      </c>
      <c r="D880" s="1" t="str">
        <f>"CACHIMBA-NARANJA"</f>
        <v>CACHIMBA-NARANJA</v>
      </c>
      <c r="E880" s="1" t="s">
        <v>17</v>
      </c>
      <c r="F880" s="1">
        <v>1</v>
      </c>
      <c r="G880" s="1">
        <v>1765</v>
      </c>
      <c r="H880" s="1">
        <v>1765</v>
      </c>
      <c r="I880" s="1">
        <v>0</v>
      </c>
      <c r="J880" s="1">
        <v>1</v>
      </c>
      <c r="K880" s="1">
        <v>0</v>
      </c>
    </row>
    <row r="881" spans="1:11" x14ac:dyDescent="0.2">
      <c r="A881" s="1" t="s">
        <v>816</v>
      </c>
      <c r="B881" s="1" t="s">
        <v>826</v>
      </c>
      <c r="C881" s="1" t="str">
        <f>"66298811974170"</f>
        <v>66298811974170</v>
      </c>
      <c r="D881" s="1" t="str">
        <f>"CACHIMBA-VERDE"</f>
        <v>CACHIMBA-VERDE</v>
      </c>
      <c r="E881" s="1" t="s">
        <v>17</v>
      </c>
      <c r="F881" s="1">
        <v>1</v>
      </c>
      <c r="G881" s="1">
        <v>1765</v>
      </c>
      <c r="H881" s="1">
        <v>1765</v>
      </c>
      <c r="I881" s="1">
        <v>0</v>
      </c>
      <c r="J881" s="1">
        <v>1</v>
      </c>
      <c r="K881" s="1">
        <v>0</v>
      </c>
    </row>
    <row r="882" spans="1:11" x14ac:dyDescent="0.2">
      <c r="A882" s="1" t="s">
        <v>816</v>
      </c>
      <c r="B882" s="1" t="s">
        <v>826</v>
      </c>
      <c r="C882" s="1" t="str">
        <f>"66298811981610"</f>
        <v>66298811981610</v>
      </c>
      <c r="D882" s="1" t="str">
        <f>"CACHIMBA-AZUL"</f>
        <v>CACHIMBA-AZUL</v>
      </c>
      <c r="E882" s="1" t="s">
        <v>17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</row>
    <row r="883" spans="1:11" x14ac:dyDescent="0.2">
      <c r="A883" s="1" t="s">
        <v>816</v>
      </c>
      <c r="B883" s="1" t="s">
        <v>827</v>
      </c>
      <c r="C883" s="1" t="str">
        <f>"66298812047511"</f>
        <v>66298812047511</v>
      </c>
      <c r="D883" s="1" t="str">
        <f>"80992"</f>
        <v>80992</v>
      </c>
      <c r="E883" s="1" t="s">
        <v>17</v>
      </c>
      <c r="F883" s="1">
        <v>1</v>
      </c>
      <c r="G883" s="1">
        <v>559</v>
      </c>
      <c r="H883" s="1">
        <v>559</v>
      </c>
      <c r="I883" s="1">
        <v>0</v>
      </c>
      <c r="J883" s="1">
        <v>1</v>
      </c>
      <c r="K883" s="1">
        <v>0</v>
      </c>
    </row>
    <row r="884" spans="1:11" x14ac:dyDescent="0.2">
      <c r="A884" s="1" t="s">
        <v>816</v>
      </c>
      <c r="B884" s="1" t="s">
        <v>828</v>
      </c>
      <c r="C884" s="1" t="str">
        <f>"66298812087861"</f>
        <v>66298812087861</v>
      </c>
      <c r="D884" s="1" t="str">
        <f>"20P-H2370-01"</f>
        <v>20P-H2370-01</v>
      </c>
      <c r="E884" s="1" t="s">
        <v>17</v>
      </c>
      <c r="F884" s="1">
        <v>1</v>
      </c>
      <c r="G884" s="1">
        <v>1947</v>
      </c>
      <c r="H884" s="1">
        <v>1947</v>
      </c>
      <c r="I884" s="1">
        <v>0</v>
      </c>
      <c r="J884" s="1">
        <v>1</v>
      </c>
      <c r="K884" s="1">
        <v>0</v>
      </c>
    </row>
    <row r="885" spans="1:11" x14ac:dyDescent="0.2">
      <c r="A885" s="1" t="s">
        <v>816</v>
      </c>
      <c r="B885" s="1" t="s">
        <v>828</v>
      </c>
      <c r="C885" s="1" t="str">
        <f>"66298812131413"</f>
        <v>66298812131413</v>
      </c>
      <c r="D885" s="1" t="str">
        <f>"LA002"</f>
        <v>LA002</v>
      </c>
      <c r="E885" s="1" t="s">
        <v>17</v>
      </c>
      <c r="F885" s="1">
        <v>3</v>
      </c>
      <c r="G885" s="1">
        <v>522</v>
      </c>
      <c r="H885" s="1">
        <v>1566</v>
      </c>
      <c r="I885" s="1">
        <v>0</v>
      </c>
      <c r="J885" s="1">
        <v>3</v>
      </c>
      <c r="K885" s="1">
        <v>0</v>
      </c>
    </row>
    <row r="886" spans="1:11" x14ac:dyDescent="0.2">
      <c r="A886" s="1" t="s">
        <v>829</v>
      </c>
      <c r="B886" s="1" t="s">
        <v>830</v>
      </c>
      <c r="C886" s="1" t="str">
        <f>"420-110JPNPC"</f>
        <v>420-110JPNPC</v>
      </c>
      <c r="D886" s="1" t="str">
        <f>"420-110JPNPC"</f>
        <v>420-110JPNPC</v>
      </c>
      <c r="E886" s="1" t="s">
        <v>17</v>
      </c>
      <c r="F886" s="1">
        <v>8</v>
      </c>
      <c r="G886" s="1">
        <v>4312</v>
      </c>
      <c r="H886" s="1">
        <v>34496</v>
      </c>
      <c r="I886" s="1">
        <v>0</v>
      </c>
      <c r="J886" s="1">
        <v>8</v>
      </c>
      <c r="K886" s="1">
        <v>0</v>
      </c>
    </row>
    <row r="887" spans="1:11" x14ac:dyDescent="0.2">
      <c r="A887" s="1" t="s">
        <v>829</v>
      </c>
      <c r="B887" s="1" t="s">
        <v>831</v>
      </c>
      <c r="C887" s="1" t="str">
        <f>"66298812174145"</f>
        <v>66298812174145</v>
      </c>
      <c r="D887" s="1" t="str">
        <f>"420-126CHOHO"</f>
        <v>420-126CHOHO</v>
      </c>
      <c r="E887" s="1" t="s">
        <v>17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</row>
    <row r="888" spans="1:11" x14ac:dyDescent="0.2">
      <c r="A888" s="1" t="s">
        <v>829</v>
      </c>
      <c r="B888" s="1" t="s">
        <v>832</v>
      </c>
      <c r="C888" s="1" t="str">
        <f>"428H-110JPNPC"</f>
        <v>428H-110JPNPC</v>
      </c>
      <c r="D888" s="1" t="str">
        <f>"428H-110JPNPC"</f>
        <v>428H-110JPNPC</v>
      </c>
      <c r="E888" s="1" t="s">
        <v>17</v>
      </c>
      <c r="F888" s="1">
        <v>10</v>
      </c>
      <c r="G888" s="1">
        <v>4885</v>
      </c>
      <c r="H888" s="1">
        <v>48850</v>
      </c>
      <c r="I888" s="1">
        <v>0</v>
      </c>
      <c r="J888" s="1">
        <v>10</v>
      </c>
      <c r="K888" s="1">
        <v>0</v>
      </c>
    </row>
    <row r="889" spans="1:11" x14ac:dyDescent="0.2">
      <c r="A889" s="1" t="s">
        <v>829</v>
      </c>
      <c r="B889" s="1" t="s">
        <v>833</v>
      </c>
      <c r="C889" s="1" t="str">
        <f>"428H-120JPNPC"</f>
        <v>428H-120JPNPC</v>
      </c>
      <c r="D889" s="1" t="str">
        <f>"428H-120JPNPC"</f>
        <v>428H-120JPNPC</v>
      </c>
      <c r="E889" s="1" t="s">
        <v>17</v>
      </c>
      <c r="F889" s="1">
        <v>5</v>
      </c>
      <c r="G889" s="1">
        <v>5085</v>
      </c>
      <c r="H889" s="1">
        <v>25425</v>
      </c>
      <c r="I889" s="1">
        <v>0</v>
      </c>
      <c r="J889" s="1">
        <v>5</v>
      </c>
      <c r="K889" s="1">
        <v>0</v>
      </c>
    </row>
    <row r="890" spans="1:11" x14ac:dyDescent="0.2">
      <c r="A890" s="1" t="s">
        <v>829</v>
      </c>
      <c r="B890" s="1" t="s">
        <v>834</v>
      </c>
      <c r="C890" s="1" t="str">
        <f>"428H-124JPNPC"</f>
        <v>428H-124JPNPC</v>
      </c>
      <c r="D890" s="1" t="str">
        <f>"428H-124JPNPC"</f>
        <v>428H-124JPNPC</v>
      </c>
      <c r="E890" s="1" t="s">
        <v>17</v>
      </c>
      <c r="F890" s="1">
        <v>6</v>
      </c>
      <c r="G890" s="1">
        <v>5605</v>
      </c>
      <c r="H890" s="1">
        <v>33630</v>
      </c>
      <c r="I890" s="1">
        <v>0</v>
      </c>
      <c r="J890" s="1">
        <v>6</v>
      </c>
      <c r="K890" s="1">
        <v>0</v>
      </c>
    </row>
    <row r="891" spans="1:11" x14ac:dyDescent="0.2">
      <c r="A891" s="1" t="s">
        <v>829</v>
      </c>
      <c r="B891" s="1" t="s">
        <v>835</v>
      </c>
      <c r="C891" s="1" t="str">
        <f>"428H-132JPNPC"</f>
        <v>428H-132JPNPC</v>
      </c>
      <c r="D891" s="1" t="str">
        <f>"428H-132JPNPC"</f>
        <v>428H-132JPNPC</v>
      </c>
      <c r="E891" s="1" t="s">
        <v>17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</row>
    <row r="892" spans="1:11" x14ac:dyDescent="0.2">
      <c r="A892" s="1" t="s">
        <v>829</v>
      </c>
      <c r="B892" s="1" t="s">
        <v>836</v>
      </c>
      <c r="C892" s="1" t="str">
        <f>"428H-134JP-DID"</f>
        <v>428H-134JP-DID</v>
      </c>
      <c r="D892" s="1" t="str">
        <f>"428H-134JP-DID"</f>
        <v>428H-134JP-DID</v>
      </c>
      <c r="E892" s="1" t="s">
        <v>17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</row>
    <row r="893" spans="1:11" x14ac:dyDescent="0.2">
      <c r="A893" s="1" t="s">
        <v>829</v>
      </c>
      <c r="B893" s="1" t="s">
        <v>837</v>
      </c>
      <c r="C893" s="1" t="str">
        <f>"428H-140L-RF-DR"</f>
        <v>428H-140L-RF-DR</v>
      </c>
      <c r="D893" s="1" t="str">
        <f>"428H-140L-RF-DR"</f>
        <v>428H-140L-RF-DR</v>
      </c>
      <c r="E893" s="1" t="s">
        <v>17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</row>
    <row r="894" spans="1:11" x14ac:dyDescent="0.2">
      <c r="A894" s="1" t="s">
        <v>829</v>
      </c>
      <c r="B894" s="1" t="s">
        <v>838</v>
      </c>
      <c r="C894" s="1" t="str">
        <f>"428H-140L-RF"</f>
        <v>428H-140L-RF</v>
      </c>
      <c r="D894" s="1" t="str">
        <f>"428H-140L-RF"</f>
        <v>428H-140L-RF</v>
      </c>
      <c r="E894" s="1" t="s">
        <v>17</v>
      </c>
      <c r="F894" s="1">
        <v>1</v>
      </c>
      <c r="G894" s="1">
        <v>6554.62</v>
      </c>
      <c r="H894" s="1">
        <v>6555</v>
      </c>
      <c r="I894" s="1">
        <v>0</v>
      </c>
      <c r="J894" s="1">
        <v>1</v>
      </c>
      <c r="K894" s="1">
        <v>0</v>
      </c>
    </row>
    <row r="895" spans="1:11" x14ac:dyDescent="0.2">
      <c r="A895" s="1" t="s">
        <v>829</v>
      </c>
      <c r="B895" s="1" t="s">
        <v>839</v>
      </c>
      <c r="C895" s="1" t="str">
        <f>"428H-140L-TAYA"</f>
        <v>428H-140L-TAYA</v>
      </c>
      <c r="D895" s="1" t="str">
        <f>"428H-140L-TAYA"</f>
        <v>428H-140L-TAYA</v>
      </c>
      <c r="E895" s="1" t="s">
        <v>17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</row>
    <row r="896" spans="1:11" x14ac:dyDescent="0.2">
      <c r="A896" s="1" t="s">
        <v>829</v>
      </c>
      <c r="B896" s="1" t="s">
        <v>840</v>
      </c>
      <c r="C896" s="1" t="str">
        <f>"66298812213927"</f>
        <v>66298812213927</v>
      </c>
      <c r="D896" s="1" t="str">
        <f>"428H-140VN"</f>
        <v>428H-140VN</v>
      </c>
      <c r="E896" s="1" t="s">
        <v>17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</row>
    <row r="897" spans="1:11" x14ac:dyDescent="0.2">
      <c r="A897" s="1" t="s">
        <v>829</v>
      </c>
      <c r="B897" s="1" t="s">
        <v>841</v>
      </c>
      <c r="C897" s="1" t="str">
        <f>"428H-142L-RF"</f>
        <v>428H-142L-RF</v>
      </c>
      <c r="D897" s="1" t="str">
        <f>"428H-142L-RF"</f>
        <v>428H-142L-RF</v>
      </c>
      <c r="E897" s="1" t="s">
        <v>17</v>
      </c>
      <c r="F897" s="1">
        <v>1</v>
      </c>
      <c r="G897" s="1">
        <v>8521.01</v>
      </c>
      <c r="H897" s="1">
        <v>8521</v>
      </c>
      <c r="I897" s="1">
        <v>0</v>
      </c>
      <c r="J897" s="1">
        <v>1</v>
      </c>
      <c r="K897" s="1">
        <v>0</v>
      </c>
    </row>
    <row r="898" spans="1:11" x14ac:dyDescent="0.2">
      <c r="A898" s="1" t="s">
        <v>829</v>
      </c>
      <c r="B898" s="1" t="s">
        <v>842</v>
      </c>
      <c r="C898" s="1" t="str">
        <f>"428H-150JPNPC"</f>
        <v>428H-150JPNPC</v>
      </c>
      <c r="D898" s="1" t="str">
        <f>"428H-150JPNPC"</f>
        <v>428H-150JPNPC</v>
      </c>
      <c r="E898" s="1" t="s">
        <v>17</v>
      </c>
      <c r="F898" s="1">
        <v>7</v>
      </c>
      <c r="G898" s="1">
        <v>8383.2900000000009</v>
      </c>
      <c r="H898" s="1">
        <v>58683</v>
      </c>
      <c r="I898" s="1">
        <v>0</v>
      </c>
      <c r="J898" s="1">
        <v>7</v>
      </c>
      <c r="K898" s="1">
        <v>0</v>
      </c>
    </row>
    <row r="899" spans="1:11" x14ac:dyDescent="0.2">
      <c r="A899" s="1" t="s">
        <v>829</v>
      </c>
      <c r="B899" s="1" t="s">
        <v>843</v>
      </c>
      <c r="C899" s="1" t="str">
        <f>"428OH-140RIFFEL"</f>
        <v>428OH-140RIFFEL</v>
      </c>
      <c r="D899" s="1" t="str">
        <f>"428OH-140RIFFEL"</f>
        <v>428OH-140RIFFEL</v>
      </c>
      <c r="E899" s="1" t="s">
        <v>17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</row>
    <row r="900" spans="1:11" x14ac:dyDescent="0.2">
      <c r="A900" s="1" t="s">
        <v>829</v>
      </c>
      <c r="B900" s="1" t="s">
        <v>844</v>
      </c>
      <c r="C900" s="1" t="str">
        <f>"428VX124JP"</f>
        <v>428VX124JP</v>
      </c>
      <c r="D900" s="1" t="str">
        <f>"428VX124JP"</f>
        <v>428VX124JP</v>
      </c>
      <c r="E900" s="1" t="s">
        <v>17</v>
      </c>
      <c r="F900" s="1">
        <v>2</v>
      </c>
      <c r="G900" s="1">
        <v>18054</v>
      </c>
      <c r="H900" s="1">
        <v>36108</v>
      </c>
      <c r="I900" s="1">
        <v>0</v>
      </c>
      <c r="J900" s="1">
        <v>2</v>
      </c>
      <c r="K900" s="1">
        <v>0</v>
      </c>
    </row>
    <row r="901" spans="1:11" x14ac:dyDescent="0.2">
      <c r="A901" s="1" t="s">
        <v>829</v>
      </c>
      <c r="B901" s="1" t="s">
        <v>845</v>
      </c>
      <c r="C901" s="1" t="str">
        <f>"66298812254734"</f>
        <v>66298812254734</v>
      </c>
      <c r="D901" s="1" t="str">
        <f>"428VX132JP"</f>
        <v>428VX132JP</v>
      </c>
      <c r="E901" s="1" t="s">
        <v>17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</row>
    <row r="902" spans="1:11" x14ac:dyDescent="0.2">
      <c r="A902" s="1" t="s">
        <v>829</v>
      </c>
      <c r="B902" s="1" t="s">
        <v>846</v>
      </c>
      <c r="C902" s="1" t="str">
        <f>"520-104JPNPC"</f>
        <v>520-104JPNPC</v>
      </c>
      <c r="D902" s="1" t="str">
        <f>"520-104JPNPC"</f>
        <v>520-104JPNPC</v>
      </c>
      <c r="E902" s="1" t="s">
        <v>17</v>
      </c>
      <c r="F902" s="1">
        <v>9</v>
      </c>
      <c r="G902" s="1">
        <v>7000</v>
      </c>
      <c r="H902" s="1">
        <v>63000</v>
      </c>
      <c r="I902" s="1">
        <v>0</v>
      </c>
      <c r="J902" s="1">
        <v>9</v>
      </c>
      <c r="K902" s="1">
        <v>0</v>
      </c>
    </row>
    <row r="903" spans="1:11" x14ac:dyDescent="0.2">
      <c r="A903" s="1" t="s">
        <v>829</v>
      </c>
      <c r="B903" s="1" t="s">
        <v>847</v>
      </c>
      <c r="C903" s="1" t="str">
        <f>"66298812294677"</f>
        <v>66298812294677</v>
      </c>
      <c r="D903" s="1" t="str">
        <f>"520H-110JPNPC"</f>
        <v>520H-110JPNPC</v>
      </c>
      <c r="E903" s="1" t="s">
        <v>17</v>
      </c>
      <c r="F903" s="1">
        <v>9</v>
      </c>
      <c r="G903" s="1">
        <v>9053</v>
      </c>
      <c r="H903" s="1">
        <v>81477</v>
      </c>
      <c r="I903" s="1">
        <v>0</v>
      </c>
      <c r="J903" s="1">
        <v>9</v>
      </c>
      <c r="K903" s="1">
        <v>0</v>
      </c>
    </row>
    <row r="904" spans="1:11" x14ac:dyDescent="0.2">
      <c r="A904" s="1" t="s">
        <v>829</v>
      </c>
      <c r="B904" s="1" t="s">
        <v>848</v>
      </c>
      <c r="C904" s="1" t="str">
        <f>"520H-120JPNPC"</f>
        <v>520H-120JPNPC</v>
      </c>
      <c r="D904" s="1" t="str">
        <f>"520H-120JPNPC"</f>
        <v>520H-120JPNPC</v>
      </c>
      <c r="E904" s="1" t="s">
        <v>17</v>
      </c>
      <c r="F904" s="1">
        <v>3</v>
      </c>
      <c r="G904" s="1">
        <v>13713</v>
      </c>
      <c r="H904" s="1">
        <v>41139</v>
      </c>
      <c r="I904" s="1">
        <v>0</v>
      </c>
      <c r="J904" s="1">
        <v>3</v>
      </c>
      <c r="K904" s="1">
        <v>0</v>
      </c>
    </row>
    <row r="905" spans="1:11" x14ac:dyDescent="0.2">
      <c r="A905" s="1" t="s">
        <v>829</v>
      </c>
      <c r="B905" s="1" t="s">
        <v>849</v>
      </c>
      <c r="C905" s="1" t="str">
        <f>"520OH-120RF"</f>
        <v>520OH-120RF</v>
      </c>
      <c r="D905" s="1" t="str">
        <f>"520OH-120RF"</f>
        <v>520OH-120RF</v>
      </c>
      <c r="E905" s="1" t="s">
        <v>17</v>
      </c>
      <c r="F905" s="1">
        <v>2</v>
      </c>
      <c r="G905" s="1">
        <v>27684.880000000001</v>
      </c>
      <c r="H905" s="1">
        <v>55370</v>
      </c>
      <c r="I905" s="1">
        <v>0</v>
      </c>
      <c r="J905" s="1">
        <v>2</v>
      </c>
      <c r="K905" s="1">
        <v>0</v>
      </c>
    </row>
    <row r="906" spans="1:11" x14ac:dyDescent="0.2">
      <c r="A906" s="1" t="s">
        <v>829</v>
      </c>
      <c r="B906" s="1" t="s">
        <v>850</v>
      </c>
      <c r="C906" s="1" t="str">
        <f>"520H-120RF"</f>
        <v>520H-120RF</v>
      </c>
      <c r="D906" s="1" t="str">
        <f>"520H-120RF"</f>
        <v>520H-120RF</v>
      </c>
      <c r="E906" s="1" t="s">
        <v>17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</row>
    <row r="907" spans="1:11" x14ac:dyDescent="0.2">
      <c r="A907" s="1" t="s">
        <v>829</v>
      </c>
      <c r="B907" s="1" t="s">
        <v>851</v>
      </c>
      <c r="C907" s="1" t="str">
        <f>"520H-120RIFFEL"</f>
        <v>520H-120RIFFEL</v>
      </c>
      <c r="D907" s="1" t="str">
        <f>"520H-120RIFFEL"</f>
        <v>520H-120RIFFEL</v>
      </c>
      <c r="E907" s="1" t="s">
        <v>17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</row>
    <row r="908" spans="1:11" x14ac:dyDescent="0.2">
      <c r="A908" s="1" t="s">
        <v>829</v>
      </c>
      <c r="B908" s="1" t="s">
        <v>852</v>
      </c>
      <c r="C908" s="1" t="str">
        <f>"66298812333331"</f>
        <v>66298812333331</v>
      </c>
      <c r="D908" s="1" t="str">
        <f>"520H-120VN"</f>
        <v>520H-120VN</v>
      </c>
      <c r="E908" s="1" t="s">
        <v>17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</row>
    <row r="909" spans="1:11" x14ac:dyDescent="0.2">
      <c r="A909" s="1" t="s">
        <v>829</v>
      </c>
      <c r="B909" s="1" t="s">
        <v>853</v>
      </c>
      <c r="C909" s="1" t="str">
        <f>"66298812373574"</f>
        <v>66298812373574</v>
      </c>
      <c r="D909" s="1" t="str">
        <f>"520V-120JPNPC"</f>
        <v>520V-120JPNPC</v>
      </c>
      <c r="E909" s="1" t="s">
        <v>17</v>
      </c>
      <c r="F909" s="1">
        <v>4</v>
      </c>
      <c r="G909" s="1">
        <v>22857</v>
      </c>
      <c r="H909" s="1">
        <v>91428</v>
      </c>
      <c r="I909" s="1">
        <v>0</v>
      </c>
      <c r="J909" s="1">
        <v>4</v>
      </c>
      <c r="K909" s="1">
        <v>0</v>
      </c>
    </row>
    <row r="910" spans="1:11" x14ac:dyDescent="0.2">
      <c r="A910" s="1" t="s">
        <v>829</v>
      </c>
      <c r="B910" s="1" t="s">
        <v>854</v>
      </c>
      <c r="C910" s="1" t="str">
        <f>"66298812411287"</f>
        <v>66298812411287</v>
      </c>
      <c r="D910" s="1" t="str">
        <f>"520V-124CN"</f>
        <v>520V-124CN</v>
      </c>
      <c r="E910" s="1" t="s">
        <v>17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</row>
    <row r="911" spans="1:11" x14ac:dyDescent="0.2">
      <c r="A911" s="1" t="s">
        <v>829</v>
      </c>
      <c r="B911" s="1" t="s">
        <v>855</v>
      </c>
      <c r="C911" s="1" t="str">
        <f>"525V-120JPNPC"</f>
        <v>525V-120JPNPC</v>
      </c>
      <c r="D911" s="1" t="str">
        <f>"525V-120JPNPC"</f>
        <v>525V-120JPNPC</v>
      </c>
      <c r="E911" s="1" t="s">
        <v>17</v>
      </c>
      <c r="F911" s="1">
        <v>7</v>
      </c>
      <c r="G911" s="1">
        <v>39135.86</v>
      </c>
      <c r="H911" s="1">
        <v>273951</v>
      </c>
      <c r="I911" s="1">
        <v>0</v>
      </c>
      <c r="J911" s="1">
        <v>7</v>
      </c>
      <c r="K911" s="1">
        <v>0</v>
      </c>
    </row>
    <row r="912" spans="1:11" x14ac:dyDescent="0.2">
      <c r="A912" s="1" t="s">
        <v>829</v>
      </c>
      <c r="B912" s="1" t="s">
        <v>856</v>
      </c>
      <c r="C912" s="1" t="str">
        <f>"66298812450321"</f>
        <v>66298812450321</v>
      </c>
      <c r="D912" s="1" t="str">
        <f>"525H-124CHOHO"</f>
        <v>525H-124CHOHO</v>
      </c>
      <c r="E912" s="1" t="s">
        <v>17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</row>
    <row r="913" spans="1:11" x14ac:dyDescent="0.2">
      <c r="A913" s="1" t="s">
        <v>829</v>
      </c>
      <c r="B913" s="1" t="s">
        <v>857</v>
      </c>
      <c r="C913" s="1" t="str">
        <f>"525VX3-120JP"</f>
        <v>525VX3-120JP</v>
      </c>
      <c r="D913" s="1" t="str">
        <f>"525VX3-120JP"</f>
        <v>525VX3-120JP</v>
      </c>
      <c r="E913" s="1" t="s">
        <v>17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</row>
    <row r="914" spans="1:11" x14ac:dyDescent="0.2">
      <c r="A914" s="1" t="s">
        <v>829</v>
      </c>
      <c r="B914" s="1" t="s">
        <v>858</v>
      </c>
      <c r="C914" s="1" t="str">
        <f>"525VX3-124JP"</f>
        <v>525VX3-124JP</v>
      </c>
      <c r="D914" s="1" t="str">
        <f>"525VX3-124JP"</f>
        <v>525VX3-124JP</v>
      </c>
      <c r="E914" s="1" t="s">
        <v>17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</row>
    <row r="915" spans="1:11" x14ac:dyDescent="0.2">
      <c r="A915" s="1" t="s">
        <v>829</v>
      </c>
      <c r="B915" s="1" t="s">
        <v>859</v>
      </c>
      <c r="C915" s="1" t="str">
        <f>"525VX3-130JP"</f>
        <v>525VX3-130JP</v>
      </c>
      <c r="D915" s="1" t="str">
        <f>"525VX3-130JP"</f>
        <v>525VX3-130JP</v>
      </c>
      <c r="E915" s="1" t="s">
        <v>17</v>
      </c>
      <c r="F915" s="1">
        <v>0</v>
      </c>
      <c r="G915" s="1">
        <v>0</v>
      </c>
      <c r="H915" s="1">
        <v>0</v>
      </c>
      <c r="I915" s="1">
        <v>1</v>
      </c>
      <c r="J915" s="1">
        <v>-1</v>
      </c>
      <c r="K915" s="1">
        <v>0</v>
      </c>
    </row>
    <row r="916" spans="1:11" x14ac:dyDescent="0.2">
      <c r="A916" s="1" t="s">
        <v>829</v>
      </c>
      <c r="B916" s="1" t="s">
        <v>860</v>
      </c>
      <c r="C916" s="1" t="str">
        <f>"530-120JP"</f>
        <v>530-120JP</v>
      </c>
      <c r="D916" s="1" t="str">
        <f>"530-120JP"</f>
        <v>530-120JP</v>
      </c>
      <c r="E916" s="1" t="s">
        <v>17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</row>
    <row r="917" spans="1:11" x14ac:dyDescent="0.2">
      <c r="A917" s="1" t="s">
        <v>829</v>
      </c>
      <c r="B917" s="1" t="s">
        <v>861</v>
      </c>
      <c r="C917" s="1" t="str">
        <f>"66298812529172"</f>
        <v>66298812529172</v>
      </c>
      <c r="D917" s="1" t="str">
        <f>"404-DHA-098JP"</f>
        <v>404-DHA-098JP</v>
      </c>
      <c r="E917" s="1" t="s">
        <v>17</v>
      </c>
      <c r="F917" s="1">
        <v>6</v>
      </c>
      <c r="G917" s="1">
        <v>3675</v>
      </c>
      <c r="H917" s="1">
        <v>22050</v>
      </c>
      <c r="I917" s="1">
        <v>0</v>
      </c>
      <c r="J917" s="1">
        <v>6</v>
      </c>
      <c r="K917" s="1">
        <v>0</v>
      </c>
    </row>
    <row r="918" spans="1:11" x14ac:dyDescent="0.2">
      <c r="A918" s="1" t="s">
        <v>829</v>
      </c>
      <c r="B918" s="1" t="s">
        <v>862</v>
      </c>
      <c r="C918" s="1" t="str">
        <f>"66298812488935"</f>
        <v>66298812488935</v>
      </c>
      <c r="D918" s="1" t="str">
        <f>"14401-K43-901JP"</f>
        <v>14401-K43-901JP</v>
      </c>
      <c r="E918" s="1" t="s">
        <v>17</v>
      </c>
      <c r="F918" s="1">
        <v>4</v>
      </c>
      <c r="G918" s="1">
        <v>3249</v>
      </c>
      <c r="H918" s="1">
        <v>12996</v>
      </c>
      <c r="I918" s="1">
        <v>0</v>
      </c>
      <c r="J918" s="1">
        <v>4</v>
      </c>
      <c r="K918" s="1">
        <v>0</v>
      </c>
    </row>
    <row r="919" spans="1:11" ht="30" x14ac:dyDescent="0.2">
      <c r="A919" s="1" t="s">
        <v>829</v>
      </c>
      <c r="B919" s="1" t="s">
        <v>863</v>
      </c>
      <c r="C919" s="1" t="str">
        <f>"66298812568999"</f>
        <v>66298812568999</v>
      </c>
      <c r="D919" s="1" t="str">
        <f>"14401-KTE-910JP"</f>
        <v>14401-KTE-910JP</v>
      </c>
      <c r="E919" s="1" t="s">
        <v>17</v>
      </c>
      <c r="F919" s="1">
        <v>4</v>
      </c>
      <c r="G919" s="1">
        <v>1489</v>
      </c>
      <c r="H919" s="1">
        <v>5956</v>
      </c>
      <c r="I919" s="1">
        <v>0</v>
      </c>
      <c r="J919" s="1">
        <v>4</v>
      </c>
      <c r="K919" s="1">
        <v>0</v>
      </c>
    </row>
    <row r="920" spans="1:11" x14ac:dyDescent="0.2">
      <c r="A920" s="1" t="s">
        <v>829</v>
      </c>
      <c r="B920" s="1" t="s">
        <v>864</v>
      </c>
      <c r="C920" s="1" t="str">
        <f>"66298812608643"</f>
        <v>66298812608643</v>
      </c>
      <c r="D920" s="1" t="str">
        <f>"14401-KSP-860JP"</f>
        <v>14401-KSP-860JP</v>
      </c>
      <c r="E920" s="1" t="s">
        <v>17</v>
      </c>
      <c r="F920" s="1">
        <v>4</v>
      </c>
      <c r="G920" s="1">
        <v>2449</v>
      </c>
      <c r="H920" s="1">
        <v>9796</v>
      </c>
      <c r="I920" s="1">
        <v>0</v>
      </c>
      <c r="J920" s="1">
        <v>4</v>
      </c>
      <c r="K920" s="1">
        <v>0</v>
      </c>
    </row>
    <row r="921" spans="1:11" ht="30" x14ac:dyDescent="0.2">
      <c r="A921" s="1" t="s">
        <v>829</v>
      </c>
      <c r="B921" s="1" t="s">
        <v>865</v>
      </c>
      <c r="C921" s="1" t="str">
        <f>"66298812685767"</f>
        <v>66298812685767</v>
      </c>
      <c r="D921" s="1" t="str">
        <f>"14401-KPF-903JP"</f>
        <v>14401-KPF-903JP</v>
      </c>
      <c r="E921" s="1" t="s">
        <v>17</v>
      </c>
      <c r="F921" s="1">
        <v>1</v>
      </c>
      <c r="G921" s="1">
        <v>5642</v>
      </c>
      <c r="H921" s="1">
        <v>5642</v>
      </c>
      <c r="I921" s="1">
        <v>0</v>
      </c>
      <c r="J921" s="1">
        <v>1</v>
      </c>
      <c r="K921" s="1">
        <v>0</v>
      </c>
    </row>
    <row r="922" spans="1:11" ht="30" x14ac:dyDescent="0.2">
      <c r="A922" s="1" t="s">
        <v>829</v>
      </c>
      <c r="B922" s="1" t="s">
        <v>866</v>
      </c>
      <c r="C922" s="1" t="str">
        <f>"66298812647872"</f>
        <v>66298812647872</v>
      </c>
      <c r="D922" s="1" t="str">
        <f>"400130"</f>
        <v>400130</v>
      </c>
      <c r="E922" s="1" t="s">
        <v>17</v>
      </c>
      <c r="F922" s="1">
        <v>21</v>
      </c>
      <c r="G922" s="1">
        <v>2243</v>
      </c>
      <c r="H922" s="1">
        <v>47103</v>
      </c>
      <c r="I922" s="1">
        <v>0</v>
      </c>
      <c r="J922" s="1">
        <v>21</v>
      </c>
      <c r="K922" s="1">
        <v>0</v>
      </c>
    </row>
    <row r="923" spans="1:11" x14ac:dyDescent="0.2">
      <c r="A923" s="1" t="s">
        <v>829</v>
      </c>
      <c r="B923" s="1" t="s">
        <v>867</v>
      </c>
      <c r="C923" s="1" t="str">
        <f>"66298812728237"</f>
        <v>66298812728237</v>
      </c>
      <c r="D923" s="1" t="str">
        <f>"409H-100JPNPC"</f>
        <v>409H-100JPNPC</v>
      </c>
      <c r="E923" s="1" t="s">
        <v>17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</row>
    <row r="924" spans="1:11" x14ac:dyDescent="0.2">
      <c r="A924" s="1" t="s">
        <v>829</v>
      </c>
      <c r="B924" s="1" t="s">
        <v>868</v>
      </c>
      <c r="C924" s="1" t="str">
        <f>"66298812767664"</f>
        <v>66298812767664</v>
      </c>
      <c r="D924" s="1" t="str">
        <f>"400125"</f>
        <v>400125</v>
      </c>
      <c r="E924" s="1" t="s">
        <v>17</v>
      </c>
      <c r="F924" s="1">
        <v>30</v>
      </c>
      <c r="G924" s="1">
        <v>807</v>
      </c>
      <c r="H924" s="1">
        <v>24210</v>
      </c>
      <c r="I924" s="1">
        <v>0</v>
      </c>
      <c r="J924" s="1">
        <v>30</v>
      </c>
      <c r="K924" s="1">
        <v>0</v>
      </c>
    </row>
    <row r="925" spans="1:11" x14ac:dyDescent="0.2">
      <c r="A925" s="1" t="s">
        <v>829</v>
      </c>
      <c r="B925" s="1" t="s">
        <v>869</v>
      </c>
      <c r="C925" s="1" t="str">
        <f>"66298812811577"</f>
        <v>66298812811577</v>
      </c>
      <c r="D925" s="1" t="str">
        <f>"409H-136JPNPC"</f>
        <v>409H-136JPNPC</v>
      </c>
      <c r="E925" s="1" t="s">
        <v>17</v>
      </c>
      <c r="F925" s="1">
        <v>6</v>
      </c>
      <c r="G925" s="1">
        <v>3864</v>
      </c>
      <c r="H925" s="1">
        <v>23184</v>
      </c>
      <c r="I925" s="1">
        <v>0</v>
      </c>
      <c r="J925" s="1">
        <v>6</v>
      </c>
      <c r="K925" s="1">
        <v>0</v>
      </c>
    </row>
    <row r="926" spans="1:11" x14ac:dyDescent="0.2">
      <c r="A926" s="1" t="s">
        <v>829</v>
      </c>
      <c r="B926" s="1" t="s">
        <v>870</v>
      </c>
      <c r="C926" s="1" t="str">
        <f>"66298812855795"</f>
        <v>66298812855795</v>
      </c>
      <c r="D926" s="1" t="str">
        <f>"409H-158JPNPC"</f>
        <v>409H-158JPNPC</v>
      </c>
      <c r="E926" s="1" t="s">
        <v>17</v>
      </c>
      <c r="F926" s="1">
        <v>16</v>
      </c>
      <c r="G926" s="1">
        <v>4415</v>
      </c>
      <c r="H926" s="1">
        <v>70640</v>
      </c>
      <c r="I926" s="1">
        <v>0</v>
      </c>
      <c r="J926" s="1">
        <v>16</v>
      </c>
      <c r="K926" s="1">
        <v>0</v>
      </c>
    </row>
    <row r="927" spans="1:11" x14ac:dyDescent="0.2">
      <c r="A927" s="1" t="s">
        <v>829</v>
      </c>
      <c r="B927" s="1" t="s">
        <v>871</v>
      </c>
      <c r="C927" s="1" t="str">
        <f>"66298812898624"</f>
        <v>66298812898624</v>
      </c>
      <c r="D927" s="1" t="str">
        <f>"409-DHA-100JP"</f>
        <v>409-DHA-100JP</v>
      </c>
      <c r="E927" s="1" t="s">
        <v>17</v>
      </c>
      <c r="F927" s="1">
        <v>1</v>
      </c>
      <c r="G927" s="1">
        <v>3230</v>
      </c>
      <c r="H927" s="1">
        <v>3230</v>
      </c>
      <c r="I927" s="1">
        <v>0</v>
      </c>
      <c r="J927" s="1">
        <v>1</v>
      </c>
      <c r="K927" s="1">
        <v>0</v>
      </c>
    </row>
    <row r="928" spans="1:11" x14ac:dyDescent="0.2">
      <c r="A928" s="1" t="s">
        <v>829</v>
      </c>
      <c r="B928" s="1" t="s">
        <v>872</v>
      </c>
      <c r="C928" s="1" t="str">
        <f>"66298812939684"</f>
        <v>66298812939684</v>
      </c>
      <c r="D928" s="1" t="str">
        <f>"H1068"</f>
        <v>H1068</v>
      </c>
      <c r="E928" s="1" t="s">
        <v>17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</row>
    <row r="929" spans="1:11" ht="30" x14ac:dyDescent="0.2">
      <c r="A929" s="1" t="s">
        <v>829</v>
      </c>
      <c r="B929" s="1" t="s">
        <v>873</v>
      </c>
      <c r="C929" s="1" t="str">
        <f>"66298812981705"</f>
        <v>66298812981705</v>
      </c>
      <c r="D929" s="1" t="str">
        <f>"13028-27G00JP"</f>
        <v>13028-27G00JP</v>
      </c>
      <c r="E929" s="1" t="s">
        <v>17</v>
      </c>
      <c r="F929" s="1">
        <v>6</v>
      </c>
      <c r="G929" s="1">
        <v>2778</v>
      </c>
      <c r="H929" s="1">
        <v>16668</v>
      </c>
      <c r="I929" s="1">
        <v>0</v>
      </c>
      <c r="J929" s="1">
        <v>6</v>
      </c>
      <c r="K929" s="1">
        <v>0</v>
      </c>
    </row>
    <row r="930" spans="1:11" ht="30" x14ac:dyDescent="0.2">
      <c r="A930" s="1" t="s">
        <v>829</v>
      </c>
      <c r="B930" s="1" t="s">
        <v>874</v>
      </c>
      <c r="C930" s="1" t="str">
        <f>"66298813029303"</f>
        <v>66298813029303</v>
      </c>
      <c r="D930" s="1" t="str">
        <f>"12760-32E00JP"</f>
        <v>12760-32E00JP</v>
      </c>
      <c r="E930" s="1" t="s">
        <v>17</v>
      </c>
      <c r="F930" s="1">
        <v>7</v>
      </c>
      <c r="G930" s="1">
        <v>10663</v>
      </c>
      <c r="H930" s="1">
        <v>74641</v>
      </c>
      <c r="I930" s="1">
        <v>0</v>
      </c>
      <c r="J930" s="1">
        <v>7</v>
      </c>
      <c r="K930" s="1">
        <v>0</v>
      </c>
    </row>
    <row r="931" spans="1:11" x14ac:dyDescent="0.2">
      <c r="A931" s="1" t="s">
        <v>829</v>
      </c>
      <c r="B931" s="1" t="s">
        <v>875</v>
      </c>
      <c r="C931" s="1" t="str">
        <f>"66298813072152"</f>
        <v>66298813072152</v>
      </c>
      <c r="D931" s="1" t="str">
        <f>"14401-KBB-901JP"</f>
        <v>14401-KBB-901JP</v>
      </c>
      <c r="E931" s="1" t="s">
        <v>17</v>
      </c>
      <c r="F931" s="1">
        <v>9</v>
      </c>
      <c r="G931" s="1">
        <v>3323</v>
      </c>
      <c r="H931" s="1">
        <v>29907</v>
      </c>
      <c r="I931" s="1">
        <v>0</v>
      </c>
      <c r="J931" s="1">
        <v>9</v>
      </c>
      <c r="K931" s="1">
        <v>0</v>
      </c>
    </row>
    <row r="932" spans="1:11" x14ac:dyDescent="0.2">
      <c r="A932" s="1" t="s">
        <v>829</v>
      </c>
      <c r="B932" s="1" t="s">
        <v>876</v>
      </c>
      <c r="C932" s="1" t="str">
        <f>"66298813113726"</f>
        <v>66298813113726</v>
      </c>
      <c r="D932" s="1" t="str">
        <f>"400128"</f>
        <v>400128</v>
      </c>
      <c r="E932" s="1" t="s">
        <v>17</v>
      </c>
      <c r="F932" s="1">
        <v>32</v>
      </c>
      <c r="G932" s="1">
        <v>1378</v>
      </c>
      <c r="H932" s="1">
        <v>44096</v>
      </c>
      <c r="I932" s="1">
        <v>0</v>
      </c>
      <c r="J932" s="1">
        <v>32</v>
      </c>
      <c r="K932" s="1">
        <v>0</v>
      </c>
    </row>
    <row r="933" spans="1:11" x14ac:dyDescent="0.2">
      <c r="A933" s="1" t="s">
        <v>829</v>
      </c>
      <c r="B933" s="1" t="s">
        <v>877</v>
      </c>
      <c r="C933" s="1" t="str">
        <f>"66298813156141"</f>
        <v>66298813156141</v>
      </c>
      <c r="D933" s="1" t="str">
        <f>"409H-102JPNPC"</f>
        <v>409H-102JPNPC</v>
      </c>
      <c r="E933" s="1" t="s">
        <v>17</v>
      </c>
      <c r="F933" s="1">
        <v>10</v>
      </c>
      <c r="G933" s="1">
        <v>4011</v>
      </c>
      <c r="H933" s="1">
        <v>40110</v>
      </c>
      <c r="I933" s="1">
        <v>0</v>
      </c>
      <c r="J933" s="1">
        <v>10</v>
      </c>
      <c r="K933" s="1">
        <v>0</v>
      </c>
    </row>
    <row r="934" spans="1:11" x14ac:dyDescent="0.2">
      <c r="A934" s="1" t="s">
        <v>829</v>
      </c>
      <c r="B934" s="1" t="s">
        <v>878</v>
      </c>
      <c r="C934" s="1" t="str">
        <f>"66298813202100"</f>
        <v>66298813202100</v>
      </c>
      <c r="D934" s="1" t="str">
        <f>"409H-118JPNPC"</f>
        <v>409H-118JPNPC</v>
      </c>
      <c r="E934" s="1" t="s">
        <v>17</v>
      </c>
      <c r="F934" s="1">
        <v>6</v>
      </c>
      <c r="G934" s="1">
        <v>4233</v>
      </c>
      <c r="H934" s="1">
        <v>25398</v>
      </c>
      <c r="I934" s="1">
        <v>0</v>
      </c>
      <c r="J934" s="1">
        <v>6</v>
      </c>
      <c r="K934" s="1">
        <v>0</v>
      </c>
    </row>
    <row r="935" spans="1:11" x14ac:dyDescent="0.2">
      <c r="A935" s="1" t="s">
        <v>829</v>
      </c>
      <c r="B935" s="1" t="s">
        <v>879</v>
      </c>
      <c r="C935" s="1" t="str">
        <f>"66298813247841"</f>
        <v>66298813247841</v>
      </c>
      <c r="D935" s="1" t="str">
        <f>"25H-104JP"</f>
        <v>25H-104JP</v>
      </c>
      <c r="E935" s="1" t="s">
        <v>17</v>
      </c>
      <c r="F935" s="1">
        <v>8</v>
      </c>
      <c r="G935" s="1">
        <v>1472</v>
      </c>
      <c r="H935" s="1">
        <v>11776</v>
      </c>
      <c r="I935" s="1">
        <v>0</v>
      </c>
      <c r="J935" s="1">
        <v>8</v>
      </c>
      <c r="K935" s="1">
        <v>0</v>
      </c>
    </row>
    <row r="936" spans="1:11" x14ac:dyDescent="0.2">
      <c r="A936" s="1" t="s">
        <v>829</v>
      </c>
      <c r="B936" s="1" t="s">
        <v>880</v>
      </c>
      <c r="C936" s="1" t="str">
        <f>"66298813286360"</f>
        <v>66298813286360</v>
      </c>
      <c r="D936" s="1" t="str">
        <f>"94582-19104JP"</f>
        <v>94582-19104JP</v>
      </c>
      <c r="E936" s="1" t="s">
        <v>17</v>
      </c>
      <c r="F936" s="1">
        <v>1</v>
      </c>
      <c r="G936" s="1">
        <v>3240</v>
      </c>
      <c r="H936" s="1">
        <v>3240</v>
      </c>
      <c r="I936" s="1">
        <v>0</v>
      </c>
      <c r="J936" s="1">
        <v>1</v>
      </c>
      <c r="K936" s="1">
        <v>0</v>
      </c>
    </row>
    <row r="937" spans="1:11" x14ac:dyDescent="0.2">
      <c r="A937" s="1" t="s">
        <v>829</v>
      </c>
      <c r="B937" s="1" t="s">
        <v>881</v>
      </c>
      <c r="C937" s="1" t="str">
        <f>"66298813331456"</f>
        <v>66298813331456</v>
      </c>
      <c r="D937" s="1" t="str">
        <f>"412H-DHA-118JP"</f>
        <v>412H-DHA-118JP</v>
      </c>
      <c r="E937" s="1" t="s">
        <v>17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</row>
    <row r="938" spans="1:11" x14ac:dyDescent="0.2">
      <c r="A938" s="1" t="s">
        <v>829</v>
      </c>
      <c r="B938" s="1" t="s">
        <v>882</v>
      </c>
      <c r="C938" s="1" t="str">
        <f>"66298813372415"</f>
        <v>66298813372415</v>
      </c>
      <c r="D938" s="1" t="str">
        <f>"94568-A6090NPC"</f>
        <v>94568-A6090NPC</v>
      </c>
      <c r="E938" s="1" t="s">
        <v>17</v>
      </c>
      <c r="F938" s="1">
        <v>11</v>
      </c>
      <c r="G938" s="1">
        <v>2977</v>
      </c>
      <c r="H938" s="1">
        <v>32747</v>
      </c>
      <c r="I938" s="1">
        <v>0</v>
      </c>
      <c r="J938" s="1">
        <v>11</v>
      </c>
      <c r="K938" s="1">
        <v>0</v>
      </c>
    </row>
    <row r="939" spans="1:11" x14ac:dyDescent="0.2">
      <c r="A939" s="1" t="s">
        <v>18</v>
      </c>
      <c r="B939" s="1" t="s">
        <v>883</v>
      </c>
      <c r="C939" s="1" t="str">
        <f>"66298813411663"</f>
        <v>66298813411663</v>
      </c>
      <c r="D939" s="1" t="str">
        <f>"AD009"</f>
        <v>AD009</v>
      </c>
      <c r="E939" s="1" t="s">
        <v>17</v>
      </c>
      <c r="F939" s="1">
        <v>1</v>
      </c>
      <c r="G939" s="1">
        <v>4297</v>
      </c>
      <c r="H939" s="1">
        <v>4297</v>
      </c>
      <c r="I939" s="1">
        <v>0</v>
      </c>
      <c r="J939" s="1">
        <v>1</v>
      </c>
      <c r="K939" s="1">
        <v>0</v>
      </c>
    </row>
    <row r="940" spans="1:11" x14ac:dyDescent="0.2">
      <c r="A940" s="1" t="s">
        <v>18</v>
      </c>
      <c r="B940" s="1" t="s">
        <v>884</v>
      </c>
      <c r="C940" s="1" t="str">
        <f>"66298813448560"</f>
        <v>66298813448560</v>
      </c>
      <c r="D940" s="1" t="str">
        <f>"AD009-A"</f>
        <v>AD009-A</v>
      </c>
      <c r="E940" s="1" t="s">
        <v>17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</row>
    <row r="941" spans="1:11" x14ac:dyDescent="0.2">
      <c r="A941" s="1" t="s">
        <v>18</v>
      </c>
      <c r="B941" s="1" t="s">
        <v>885</v>
      </c>
      <c r="C941" s="1" t="str">
        <f>"66298813489457"</f>
        <v>66298813489457</v>
      </c>
      <c r="D941" s="1" t="str">
        <f>"18302"</f>
        <v>18302</v>
      </c>
      <c r="E941" s="1" t="s">
        <v>17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</row>
    <row r="942" spans="1:11" x14ac:dyDescent="0.2">
      <c r="A942" s="1" t="s">
        <v>18</v>
      </c>
      <c r="B942" s="1" t="s">
        <v>886</v>
      </c>
      <c r="C942" s="1" t="str">
        <f>"66298813529904"</f>
        <v>66298813529904</v>
      </c>
      <c r="D942" s="1" t="str">
        <f>"18293"</f>
        <v>18293</v>
      </c>
      <c r="E942" s="1" t="s">
        <v>17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</row>
    <row r="943" spans="1:11" x14ac:dyDescent="0.2">
      <c r="A943" s="1" t="s">
        <v>18</v>
      </c>
      <c r="B943" s="1" t="s">
        <v>887</v>
      </c>
      <c r="C943" s="1" t="str">
        <f>"66298813574357"</f>
        <v>66298813574357</v>
      </c>
      <c r="D943" s="1" t="str">
        <f>"HK-4602"</f>
        <v>HK-4602</v>
      </c>
      <c r="E943" s="1" t="s">
        <v>17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</row>
    <row r="944" spans="1:11" x14ac:dyDescent="0.2">
      <c r="A944" s="1" t="s">
        <v>18</v>
      </c>
      <c r="B944" s="1" t="s">
        <v>888</v>
      </c>
      <c r="C944" s="1" t="str">
        <f>"66298813613657"</f>
        <v>66298813613657</v>
      </c>
      <c r="D944" s="1" t="str">
        <f>"799"</f>
        <v>799</v>
      </c>
      <c r="E944" s="1" t="s">
        <v>17</v>
      </c>
      <c r="F944" s="1">
        <v>2</v>
      </c>
      <c r="G944" s="1">
        <v>2101</v>
      </c>
      <c r="H944" s="1">
        <v>4202</v>
      </c>
      <c r="I944" s="1">
        <v>0</v>
      </c>
      <c r="J944" s="1">
        <v>2</v>
      </c>
      <c r="K944" s="1">
        <v>0</v>
      </c>
    </row>
    <row r="945" spans="1:11" x14ac:dyDescent="0.2">
      <c r="A945" s="1" t="s">
        <v>18</v>
      </c>
      <c r="B945" s="1" t="s">
        <v>889</v>
      </c>
      <c r="C945" s="1" t="str">
        <f>"66298813653994"</f>
        <v>66298813653994</v>
      </c>
      <c r="D945" s="1" t="str">
        <f>"18308"</f>
        <v>18308</v>
      </c>
      <c r="E945" s="1" t="s">
        <v>17</v>
      </c>
      <c r="F945" s="1">
        <v>1</v>
      </c>
      <c r="G945" s="1">
        <v>5051</v>
      </c>
      <c r="H945" s="1">
        <v>5051</v>
      </c>
      <c r="I945" s="1">
        <v>0</v>
      </c>
      <c r="J945" s="1">
        <v>1</v>
      </c>
      <c r="K945" s="1">
        <v>0</v>
      </c>
    </row>
    <row r="946" spans="1:11" x14ac:dyDescent="0.2">
      <c r="A946" s="1" t="s">
        <v>18</v>
      </c>
      <c r="B946" s="1" t="s">
        <v>890</v>
      </c>
      <c r="C946" s="1" t="str">
        <f>"66298813760715"</f>
        <v>66298813760715</v>
      </c>
      <c r="D946" s="1" t="str">
        <f>"3723"</f>
        <v>3723</v>
      </c>
      <c r="E946" s="1" t="s">
        <v>17</v>
      </c>
      <c r="F946" s="1">
        <v>1</v>
      </c>
      <c r="G946" s="1">
        <v>2983</v>
      </c>
      <c r="H946" s="1">
        <v>2983</v>
      </c>
      <c r="I946" s="1">
        <v>0</v>
      </c>
      <c r="J946" s="1">
        <v>1</v>
      </c>
      <c r="K946" s="1">
        <v>0</v>
      </c>
    </row>
    <row r="947" spans="1:11" x14ac:dyDescent="0.2">
      <c r="A947" s="1" t="s">
        <v>18</v>
      </c>
      <c r="B947" s="1" t="s">
        <v>891</v>
      </c>
      <c r="C947" s="1" t="str">
        <f>"66298813802345"</f>
        <v>66298813802345</v>
      </c>
      <c r="D947" s="1" t="str">
        <f>"4009"</f>
        <v>4009</v>
      </c>
      <c r="E947" s="1" t="s">
        <v>17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</row>
    <row r="948" spans="1:11" x14ac:dyDescent="0.2">
      <c r="A948" s="1" t="s">
        <v>18</v>
      </c>
      <c r="B948" s="1" t="s">
        <v>892</v>
      </c>
      <c r="C948" s="1" t="str">
        <f>"66298813844726"</f>
        <v>66298813844726</v>
      </c>
      <c r="D948" s="1" t="str">
        <f>"1057"</f>
        <v>1057</v>
      </c>
      <c r="E948" s="1" t="s">
        <v>17</v>
      </c>
      <c r="F948" s="1">
        <v>1</v>
      </c>
      <c r="G948" s="1">
        <v>11387</v>
      </c>
      <c r="H948" s="1">
        <v>11387</v>
      </c>
      <c r="I948" s="1">
        <v>0</v>
      </c>
      <c r="J948" s="1">
        <v>1</v>
      </c>
      <c r="K948" s="1">
        <v>0</v>
      </c>
    </row>
    <row r="949" spans="1:11" x14ac:dyDescent="0.2">
      <c r="A949" s="1" t="s">
        <v>18</v>
      </c>
      <c r="B949" s="1" t="s">
        <v>893</v>
      </c>
      <c r="C949" s="1" t="str">
        <f>"66298813699217"</f>
        <v>66298813699217</v>
      </c>
      <c r="D949" s="1" t="str">
        <f>"800-ROJO"</f>
        <v>800-ROJO</v>
      </c>
      <c r="E949" s="1" t="s">
        <v>17</v>
      </c>
      <c r="F949" s="1">
        <v>1</v>
      </c>
      <c r="G949" s="1">
        <v>2353</v>
      </c>
      <c r="H949" s="1">
        <v>2353</v>
      </c>
      <c r="I949" s="1">
        <v>0</v>
      </c>
      <c r="J949" s="1">
        <v>1</v>
      </c>
      <c r="K949" s="1">
        <v>0</v>
      </c>
    </row>
    <row r="950" spans="1:11" x14ac:dyDescent="0.2">
      <c r="A950" s="1" t="s">
        <v>18</v>
      </c>
      <c r="B950" s="1" t="s">
        <v>893</v>
      </c>
      <c r="C950" s="1" t="str">
        <f>"66298813708609"</f>
        <v>66298813708609</v>
      </c>
      <c r="D950" s="1" t="str">
        <f>"AD005"</f>
        <v>AD005</v>
      </c>
      <c r="E950" s="1" t="s">
        <v>17</v>
      </c>
      <c r="F950" s="1">
        <v>2</v>
      </c>
      <c r="G950" s="1">
        <v>1972</v>
      </c>
      <c r="H950" s="1">
        <v>3944</v>
      </c>
      <c r="I950" s="1">
        <v>0</v>
      </c>
      <c r="J950" s="1">
        <v>2</v>
      </c>
      <c r="K950" s="1">
        <v>0</v>
      </c>
    </row>
    <row r="951" spans="1:11" x14ac:dyDescent="0.2">
      <c r="A951" s="1" t="s">
        <v>18</v>
      </c>
      <c r="B951" s="1" t="s">
        <v>893</v>
      </c>
      <c r="C951" s="1" t="str">
        <f>"BIC255"</f>
        <v>BIC255</v>
      </c>
      <c r="D951" s="1" t="str">
        <f>"BIC255"</f>
        <v>BIC255</v>
      </c>
      <c r="E951" s="1" t="s">
        <v>17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</row>
    <row r="952" spans="1:11" x14ac:dyDescent="0.2">
      <c r="A952" s="1" t="s">
        <v>18</v>
      </c>
      <c r="B952" s="1" t="s">
        <v>893</v>
      </c>
      <c r="C952" s="1" t="str">
        <f>"BIC257"</f>
        <v>BIC257</v>
      </c>
      <c r="D952" s="1" t="str">
        <f>"BIC257"</f>
        <v>BIC257</v>
      </c>
      <c r="E952" s="1" t="s">
        <v>17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</row>
    <row r="953" spans="1:11" x14ac:dyDescent="0.2">
      <c r="A953" s="1" t="s">
        <v>18</v>
      </c>
      <c r="B953" s="1" t="s">
        <v>893</v>
      </c>
      <c r="C953" s="1" t="str">
        <f>"BIC258"</f>
        <v>BIC258</v>
      </c>
      <c r="D953" s="1" t="str">
        <f>"BIC258"</f>
        <v>BIC258</v>
      </c>
      <c r="E953" s="1" t="s">
        <v>17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</row>
    <row r="954" spans="1:11" x14ac:dyDescent="0.2">
      <c r="A954" s="1" t="s">
        <v>18</v>
      </c>
      <c r="B954" s="1" t="s">
        <v>893</v>
      </c>
      <c r="C954" s="1" t="str">
        <f>"BIC261"</f>
        <v>BIC261</v>
      </c>
      <c r="D954" s="1" t="str">
        <f>"BIC261"</f>
        <v>BIC261</v>
      </c>
      <c r="E954" s="1" t="s">
        <v>17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</row>
    <row r="955" spans="1:11" x14ac:dyDescent="0.2">
      <c r="A955" s="1" t="s">
        <v>18</v>
      </c>
      <c r="B955" s="1" t="s">
        <v>893</v>
      </c>
      <c r="C955" s="1" t="str">
        <f>"BIC265"</f>
        <v>BIC265</v>
      </c>
      <c r="D955" s="1" t="str">
        <f>"BIC265"</f>
        <v>BIC265</v>
      </c>
      <c r="E955" s="1" t="s">
        <v>17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</row>
    <row r="956" spans="1:11" x14ac:dyDescent="0.2">
      <c r="A956" s="1" t="s">
        <v>98</v>
      </c>
      <c r="B956" s="1" t="s">
        <v>894</v>
      </c>
      <c r="C956" s="1" t="str">
        <f>"66298813887793"</f>
        <v>66298813887793</v>
      </c>
      <c r="D956" s="1" t="str">
        <f>"HH010"</f>
        <v>HH010</v>
      </c>
      <c r="E956" s="1" t="s">
        <v>17</v>
      </c>
      <c r="F956" s="1">
        <v>5</v>
      </c>
      <c r="G956" s="1">
        <v>3078</v>
      </c>
      <c r="H956" s="1">
        <v>15390</v>
      </c>
      <c r="I956" s="1">
        <v>0</v>
      </c>
      <c r="J956" s="1">
        <v>5</v>
      </c>
      <c r="K956" s="1">
        <v>0</v>
      </c>
    </row>
    <row r="957" spans="1:11" x14ac:dyDescent="0.2">
      <c r="A957" s="1" t="s">
        <v>98</v>
      </c>
      <c r="B957" s="1" t="s">
        <v>894</v>
      </c>
      <c r="C957" s="1" t="str">
        <f>"66298813893978"</f>
        <v>66298813893978</v>
      </c>
      <c r="D957" s="1" t="str">
        <f>"HH012"</f>
        <v>HH012</v>
      </c>
      <c r="E957" s="1" t="s">
        <v>17</v>
      </c>
      <c r="F957" s="1">
        <v>6</v>
      </c>
      <c r="G957" s="1">
        <v>4446</v>
      </c>
      <c r="H957" s="1">
        <v>26676</v>
      </c>
      <c r="I957" s="1">
        <v>0</v>
      </c>
      <c r="J957" s="1">
        <v>6</v>
      </c>
      <c r="K957" s="1">
        <v>0</v>
      </c>
    </row>
    <row r="958" spans="1:11" x14ac:dyDescent="0.2">
      <c r="A958" s="1" t="s">
        <v>895</v>
      </c>
      <c r="B958" s="1" t="s">
        <v>896</v>
      </c>
      <c r="C958" s="1" t="str">
        <f>"66298813953599"</f>
        <v>66298813953599</v>
      </c>
      <c r="D958" s="1" t="str">
        <f>"CAJA-CAM-CB190"</f>
        <v>CAJA-CAM-CB190</v>
      </c>
      <c r="E958" s="1" t="s">
        <v>17</v>
      </c>
      <c r="F958" s="1">
        <v>2</v>
      </c>
      <c r="G958" s="1">
        <v>41118</v>
      </c>
      <c r="H958" s="1">
        <v>82236</v>
      </c>
      <c r="I958" s="1">
        <v>0</v>
      </c>
      <c r="J958" s="1">
        <v>2</v>
      </c>
      <c r="K958" s="1">
        <v>0</v>
      </c>
    </row>
    <row r="959" spans="1:11" x14ac:dyDescent="0.2">
      <c r="A959" s="1" t="s">
        <v>895</v>
      </c>
      <c r="B959" s="1" t="s">
        <v>897</v>
      </c>
      <c r="C959" s="1" t="str">
        <f>"66298813993902"</f>
        <v>66298813993902</v>
      </c>
      <c r="D959" s="1" t="str">
        <f>"CK006-A"</f>
        <v>CK006-A</v>
      </c>
      <c r="E959" s="1" t="s">
        <v>17</v>
      </c>
      <c r="F959" s="1">
        <v>5</v>
      </c>
      <c r="G959" s="1">
        <v>15605</v>
      </c>
      <c r="H959" s="1">
        <v>78025</v>
      </c>
      <c r="I959" s="1">
        <v>0</v>
      </c>
      <c r="J959" s="1">
        <v>5</v>
      </c>
      <c r="K959" s="1">
        <v>0</v>
      </c>
    </row>
    <row r="960" spans="1:11" x14ac:dyDescent="0.2">
      <c r="A960" s="1" t="s">
        <v>895</v>
      </c>
      <c r="B960" s="1" t="s">
        <v>897</v>
      </c>
      <c r="C960" s="1" t="str">
        <f>"66298814039001"</f>
        <v>66298814039001</v>
      </c>
      <c r="D960" s="1" t="str">
        <f>"CK006"</f>
        <v>CK006</v>
      </c>
      <c r="E960" s="1" t="s">
        <v>17</v>
      </c>
      <c r="F960" s="1">
        <v>8</v>
      </c>
      <c r="G960" s="1">
        <v>13158</v>
      </c>
      <c r="H960" s="1">
        <v>105264</v>
      </c>
      <c r="I960" s="1">
        <v>0</v>
      </c>
      <c r="J960" s="1">
        <v>8</v>
      </c>
      <c r="K960" s="1">
        <v>0</v>
      </c>
    </row>
    <row r="961" spans="1:11" x14ac:dyDescent="0.2">
      <c r="A961" s="1" t="s">
        <v>895</v>
      </c>
      <c r="B961" s="1" t="s">
        <v>898</v>
      </c>
      <c r="C961" s="1" t="str">
        <f>"66298814121473"</f>
        <v>66298814121473</v>
      </c>
      <c r="D961" s="1" t="str">
        <f>"CK002"</f>
        <v>CK002</v>
      </c>
      <c r="E961" s="1" t="s">
        <v>17</v>
      </c>
      <c r="F961" s="1">
        <v>7</v>
      </c>
      <c r="G961" s="1">
        <v>42102</v>
      </c>
      <c r="H961" s="1">
        <v>294714</v>
      </c>
      <c r="I961" s="1">
        <v>0</v>
      </c>
      <c r="J961" s="1">
        <v>7</v>
      </c>
      <c r="K961" s="1">
        <v>0</v>
      </c>
    </row>
    <row r="962" spans="1:11" x14ac:dyDescent="0.2">
      <c r="A962" s="1" t="s">
        <v>895</v>
      </c>
      <c r="B962" s="1" t="s">
        <v>899</v>
      </c>
      <c r="C962" s="1" t="str">
        <f>"66298814078865"</f>
        <v>66298814078865</v>
      </c>
      <c r="D962" s="1" t="str">
        <f>"400990"</f>
        <v>400990</v>
      </c>
      <c r="E962" s="1" t="s">
        <v>17</v>
      </c>
      <c r="F962" s="1">
        <v>4</v>
      </c>
      <c r="G962" s="1">
        <v>18013</v>
      </c>
      <c r="H962" s="1">
        <v>72052</v>
      </c>
      <c r="I962" s="1">
        <v>0</v>
      </c>
      <c r="J962" s="1">
        <v>4</v>
      </c>
      <c r="K962" s="1">
        <v>0</v>
      </c>
    </row>
    <row r="963" spans="1:11" x14ac:dyDescent="0.2">
      <c r="A963" s="1" t="s">
        <v>895</v>
      </c>
      <c r="B963" s="1" t="s">
        <v>900</v>
      </c>
      <c r="C963" s="1" t="str">
        <f>"66298814169494"</f>
        <v>66298814169494</v>
      </c>
      <c r="D963" s="1" t="str">
        <f>"CK003"</f>
        <v>CK003</v>
      </c>
      <c r="E963" s="1" t="s">
        <v>17</v>
      </c>
      <c r="F963" s="1">
        <v>6</v>
      </c>
      <c r="G963" s="1">
        <v>21825</v>
      </c>
      <c r="H963" s="1">
        <v>130950</v>
      </c>
      <c r="I963" s="1">
        <v>0</v>
      </c>
      <c r="J963" s="1">
        <v>6</v>
      </c>
      <c r="K963" s="1">
        <v>0</v>
      </c>
    </row>
    <row r="964" spans="1:11" x14ac:dyDescent="0.2">
      <c r="A964" s="1" t="s">
        <v>895</v>
      </c>
      <c r="B964" s="1" t="s">
        <v>901</v>
      </c>
      <c r="C964" s="1" t="str">
        <f>"66298814229312"</f>
        <v>66298814229312</v>
      </c>
      <c r="D964" s="1" t="str">
        <f>"CK013"</f>
        <v>CK013</v>
      </c>
      <c r="E964" s="1" t="s">
        <v>17</v>
      </c>
      <c r="F964" s="1">
        <v>1</v>
      </c>
      <c r="G964" s="1">
        <v>17955</v>
      </c>
      <c r="H964" s="1">
        <v>17955</v>
      </c>
      <c r="I964" s="1">
        <v>0</v>
      </c>
      <c r="J964" s="1">
        <v>1</v>
      </c>
      <c r="K964" s="1">
        <v>0</v>
      </c>
    </row>
    <row r="965" spans="1:11" x14ac:dyDescent="0.2">
      <c r="A965" s="1" t="s">
        <v>895</v>
      </c>
      <c r="B965" s="1" t="s">
        <v>902</v>
      </c>
      <c r="C965" s="1" t="str">
        <f>"66298814272016"</f>
        <v>66298814272016</v>
      </c>
      <c r="D965" s="1" t="str">
        <f>"CK009"</f>
        <v>CK009</v>
      </c>
      <c r="E965" s="1" t="s">
        <v>17</v>
      </c>
      <c r="F965" s="1">
        <v>3</v>
      </c>
      <c r="G965" s="1">
        <v>39915</v>
      </c>
      <c r="H965" s="1">
        <v>119745</v>
      </c>
      <c r="I965" s="1">
        <v>0</v>
      </c>
      <c r="J965" s="1">
        <v>3</v>
      </c>
      <c r="K965" s="1">
        <v>0</v>
      </c>
    </row>
    <row r="966" spans="1:11" x14ac:dyDescent="0.2">
      <c r="A966" s="1" t="s">
        <v>895</v>
      </c>
      <c r="B966" s="1" t="s">
        <v>903</v>
      </c>
      <c r="C966" s="1" t="str">
        <f>"66298814335001"</f>
        <v>66298814335001</v>
      </c>
      <c r="D966" s="1" t="str">
        <f>"CK005"</f>
        <v>CK005</v>
      </c>
      <c r="E966" s="1" t="s">
        <v>17</v>
      </c>
      <c r="F966" s="1">
        <v>2</v>
      </c>
      <c r="G966" s="1">
        <v>27854</v>
      </c>
      <c r="H966" s="1">
        <v>55708</v>
      </c>
      <c r="I966" s="1">
        <v>0</v>
      </c>
      <c r="J966" s="1">
        <v>2</v>
      </c>
      <c r="K966" s="1">
        <v>0</v>
      </c>
    </row>
    <row r="967" spans="1:11" x14ac:dyDescent="0.2">
      <c r="A967" s="1" t="s">
        <v>895</v>
      </c>
      <c r="B967" s="1" t="s">
        <v>904</v>
      </c>
      <c r="C967" s="1" t="str">
        <f>"66298814376491"</f>
        <v>66298814376491</v>
      </c>
      <c r="D967" s="1" t="str">
        <f>"400994"</f>
        <v>400994</v>
      </c>
      <c r="E967" s="1" t="s">
        <v>17</v>
      </c>
      <c r="F967" s="1">
        <v>9</v>
      </c>
      <c r="G967" s="1">
        <v>16158</v>
      </c>
      <c r="H967" s="1">
        <v>145422</v>
      </c>
      <c r="I967" s="1">
        <v>0</v>
      </c>
      <c r="J967" s="1">
        <v>9</v>
      </c>
      <c r="K967" s="1">
        <v>0</v>
      </c>
    </row>
    <row r="968" spans="1:11" x14ac:dyDescent="0.2">
      <c r="A968" s="1" t="s">
        <v>895</v>
      </c>
      <c r="B968" s="1" t="s">
        <v>905</v>
      </c>
      <c r="C968" s="1" t="str">
        <f>"66298814423624"</f>
        <v>66298814423624</v>
      </c>
      <c r="D968" s="1" t="str">
        <f>"I66"</f>
        <v>I66</v>
      </c>
      <c r="E968" s="1" t="s">
        <v>17</v>
      </c>
      <c r="F968" s="1">
        <v>1</v>
      </c>
      <c r="G968" s="1">
        <v>18529</v>
      </c>
      <c r="H968" s="1">
        <v>18529</v>
      </c>
      <c r="I968" s="1">
        <v>0</v>
      </c>
      <c r="J968" s="1">
        <v>1</v>
      </c>
      <c r="K968" s="1">
        <v>0</v>
      </c>
    </row>
    <row r="969" spans="1:11" x14ac:dyDescent="0.2">
      <c r="A969" s="1" t="s">
        <v>895</v>
      </c>
      <c r="B969" s="1" t="s">
        <v>906</v>
      </c>
      <c r="C969" s="1" t="str">
        <f>"66298814467777"</f>
        <v>66298814467777</v>
      </c>
      <c r="D969" s="1" t="str">
        <f>"CK011"</f>
        <v>CK011</v>
      </c>
      <c r="E969" s="1" t="s">
        <v>17</v>
      </c>
      <c r="F969" s="1">
        <v>3</v>
      </c>
      <c r="G969" s="1">
        <v>17624</v>
      </c>
      <c r="H969" s="1">
        <v>52872</v>
      </c>
      <c r="I969" s="1">
        <v>0</v>
      </c>
      <c r="J969" s="1">
        <v>3</v>
      </c>
      <c r="K969" s="1">
        <v>0</v>
      </c>
    </row>
    <row r="970" spans="1:11" x14ac:dyDescent="0.2">
      <c r="A970" s="1" t="s">
        <v>895</v>
      </c>
      <c r="B970" s="1" t="s">
        <v>907</v>
      </c>
      <c r="C970" s="1" t="str">
        <f>"66298814509512"</f>
        <v>66298814509512</v>
      </c>
      <c r="D970" s="1" t="str">
        <f>"CK010"</f>
        <v>CK010</v>
      </c>
      <c r="E970" s="1" t="s">
        <v>17</v>
      </c>
      <c r="F970" s="1">
        <v>6</v>
      </c>
      <c r="G970" s="1">
        <v>18461</v>
      </c>
      <c r="H970" s="1">
        <v>110766</v>
      </c>
      <c r="I970" s="1">
        <v>0</v>
      </c>
      <c r="J970" s="1">
        <v>6</v>
      </c>
      <c r="K970" s="1">
        <v>0</v>
      </c>
    </row>
    <row r="971" spans="1:11" x14ac:dyDescent="0.2">
      <c r="A971" s="1" t="s">
        <v>895</v>
      </c>
      <c r="B971" s="1" t="s">
        <v>908</v>
      </c>
      <c r="C971" s="1" t="str">
        <f>"66298814549887"</f>
        <v>66298814549887</v>
      </c>
      <c r="D971" s="1" t="str">
        <f>"CK015"</f>
        <v>CK015</v>
      </c>
      <c r="E971" s="1" t="s">
        <v>17</v>
      </c>
      <c r="F971" s="1">
        <v>7</v>
      </c>
      <c r="G971" s="1">
        <v>25848</v>
      </c>
      <c r="H971" s="1">
        <v>180936</v>
      </c>
      <c r="I971" s="1">
        <v>0</v>
      </c>
      <c r="J971" s="1">
        <v>7</v>
      </c>
      <c r="K971" s="1">
        <v>0</v>
      </c>
    </row>
    <row r="972" spans="1:11" x14ac:dyDescent="0.2">
      <c r="A972" s="1" t="s">
        <v>895</v>
      </c>
      <c r="B972" s="1" t="s">
        <v>909</v>
      </c>
      <c r="C972" s="1" t="str">
        <f>"66298814586490"</f>
        <v>66298814586490</v>
      </c>
      <c r="D972" s="1" t="str">
        <f>"400991"</f>
        <v>400991</v>
      </c>
      <c r="E972" s="1" t="s">
        <v>17</v>
      </c>
      <c r="F972" s="1">
        <v>9</v>
      </c>
      <c r="G972" s="1">
        <v>16498</v>
      </c>
      <c r="H972" s="1">
        <v>148482</v>
      </c>
      <c r="I972" s="1">
        <v>0</v>
      </c>
      <c r="J972" s="1">
        <v>9</v>
      </c>
      <c r="K972" s="1">
        <v>0</v>
      </c>
    </row>
    <row r="973" spans="1:11" x14ac:dyDescent="0.2">
      <c r="A973" s="1" t="s">
        <v>98</v>
      </c>
      <c r="B973" s="1" t="s">
        <v>910</v>
      </c>
      <c r="C973" s="1" t="str">
        <f>"66298814625337"</f>
        <v>66298814625337</v>
      </c>
      <c r="D973" s="1" t="str">
        <f>"HH009"</f>
        <v>HH009</v>
      </c>
      <c r="E973" s="1" t="s">
        <v>17</v>
      </c>
      <c r="F973" s="1">
        <v>9</v>
      </c>
      <c r="G973" s="1">
        <v>4455</v>
      </c>
      <c r="H973" s="1">
        <v>40095</v>
      </c>
      <c r="I973" s="1">
        <v>0</v>
      </c>
      <c r="J973" s="1">
        <v>9</v>
      </c>
      <c r="K973" s="1">
        <v>0</v>
      </c>
    </row>
    <row r="974" spans="1:11" x14ac:dyDescent="0.2">
      <c r="A974" s="1" t="s">
        <v>98</v>
      </c>
      <c r="B974" s="1" t="s">
        <v>911</v>
      </c>
      <c r="C974" s="1" t="str">
        <f>"66298814671019"</f>
        <v>66298814671019</v>
      </c>
      <c r="D974" s="1" t="str">
        <f>"HH007"</f>
        <v>HH007</v>
      </c>
      <c r="E974" s="1" t="s">
        <v>17</v>
      </c>
      <c r="F974" s="1">
        <v>3</v>
      </c>
      <c r="G974" s="1">
        <v>4932</v>
      </c>
      <c r="H974" s="1">
        <v>14796</v>
      </c>
      <c r="I974" s="1">
        <v>0</v>
      </c>
      <c r="J974" s="1">
        <v>3</v>
      </c>
      <c r="K974" s="1">
        <v>0</v>
      </c>
    </row>
    <row r="975" spans="1:11" x14ac:dyDescent="0.2">
      <c r="A975" s="1" t="s">
        <v>98</v>
      </c>
      <c r="B975" s="1" t="s">
        <v>912</v>
      </c>
      <c r="C975" s="1" t="str">
        <f>"66298814710170"</f>
        <v>66298814710170</v>
      </c>
      <c r="D975" s="1" t="str">
        <f>"HH008"</f>
        <v>HH008</v>
      </c>
      <c r="E975" s="1" t="s">
        <v>17</v>
      </c>
      <c r="F975" s="1">
        <v>18</v>
      </c>
      <c r="G975" s="1">
        <v>4734</v>
      </c>
      <c r="H975" s="1">
        <v>85212</v>
      </c>
      <c r="I975" s="1">
        <v>0</v>
      </c>
      <c r="J975" s="1">
        <v>18</v>
      </c>
      <c r="K975" s="1">
        <v>0</v>
      </c>
    </row>
    <row r="976" spans="1:11" x14ac:dyDescent="0.2">
      <c r="A976" s="1" t="s">
        <v>98</v>
      </c>
      <c r="B976" s="1" t="s">
        <v>913</v>
      </c>
      <c r="C976" s="1" t="str">
        <f>"66298814750823"</f>
        <v>66298814750823</v>
      </c>
      <c r="D976" s="1" t="str">
        <f>"HH005"</f>
        <v>HH005</v>
      </c>
      <c r="E976" s="1" t="s">
        <v>17</v>
      </c>
      <c r="F976" s="1">
        <v>9</v>
      </c>
      <c r="G976" s="1">
        <v>6435</v>
      </c>
      <c r="H976" s="1">
        <v>57915</v>
      </c>
      <c r="I976" s="1">
        <v>0</v>
      </c>
      <c r="J976" s="1">
        <v>9</v>
      </c>
      <c r="K976" s="1">
        <v>0</v>
      </c>
    </row>
    <row r="977" spans="1:11" x14ac:dyDescent="0.2">
      <c r="A977" s="1" t="s">
        <v>98</v>
      </c>
      <c r="B977" s="1" t="s">
        <v>914</v>
      </c>
      <c r="C977" s="1" t="str">
        <f>"66298814792895"</f>
        <v>66298814792895</v>
      </c>
      <c r="D977" s="1" t="str">
        <f>"HH001"</f>
        <v>HH001</v>
      </c>
      <c r="E977" s="1" t="s">
        <v>17</v>
      </c>
      <c r="F977" s="1">
        <v>5</v>
      </c>
      <c r="G977" s="1">
        <v>1737</v>
      </c>
      <c r="H977" s="1">
        <v>8685</v>
      </c>
      <c r="I977" s="1">
        <v>0</v>
      </c>
      <c r="J977" s="1">
        <v>5</v>
      </c>
      <c r="K977" s="1">
        <v>0</v>
      </c>
    </row>
    <row r="978" spans="1:11" x14ac:dyDescent="0.2">
      <c r="A978" s="1" t="s">
        <v>98</v>
      </c>
      <c r="B978" s="1" t="s">
        <v>915</v>
      </c>
      <c r="C978" s="1" t="str">
        <f>"66298814831492"</f>
        <v>66298814831492</v>
      </c>
      <c r="D978" s="1" t="str">
        <f>"HH023"</f>
        <v>HH023</v>
      </c>
      <c r="E978" s="1" t="s">
        <v>17</v>
      </c>
      <c r="F978" s="1">
        <v>8</v>
      </c>
      <c r="G978" s="1">
        <v>6417</v>
      </c>
      <c r="H978" s="1">
        <v>51336</v>
      </c>
      <c r="I978" s="1">
        <v>0</v>
      </c>
      <c r="J978" s="1">
        <v>8</v>
      </c>
      <c r="K978" s="1">
        <v>0</v>
      </c>
    </row>
    <row r="979" spans="1:11" x14ac:dyDescent="0.2">
      <c r="A979" s="1" t="s">
        <v>98</v>
      </c>
      <c r="B979" s="1" t="s">
        <v>916</v>
      </c>
      <c r="C979" s="1" t="str">
        <f>"66298814875819"</f>
        <v>66298814875819</v>
      </c>
      <c r="D979" s="1" t="str">
        <f>"HH018"</f>
        <v>HH018</v>
      </c>
      <c r="E979" s="1" t="s">
        <v>17</v>
      </c>
      <c r="F979" s="1">
        <v>4</v>
      </c>
      <c r="G979" s="1">
        <v>7137</v>
      </c>
      <c r="H979" s="1">
        <v>28548</v>
      </c>
      <c r="I979" s="1">
        <v>0</v>
      </c>
      <c r="J979" s="1">
        <v>4</v>
      </c>
      <c r="K979" s="1">
        <v>0</v>
      </c>
    </row>
    <row r="980" spans="1:11" x14ac:dyDescent="0.2">
      <c r="A980" s="1" t="s">
        <v>98</v>
      </c>
      <c r="B980" s="1" t="s">
        <v>917</v>
      </c>
      <c r="C980" s="1" t="str">
        <f>"66298814919967"</f>
        <v>66298814919967</v>
      </c>
      <c r="D980" s="1" t="str">
        <f>"HH017"</f>
        <v>HH017</v>
      </c>
      <c r="E980" s="1" t="s">
        <v>17</v>
      </c>
      <c r="F980" s="1">
        <v>6</v>
      </c>
      <c r="G980" s="1">
        <v>2547</v>
      </c>
      <c r="H980" s="1">
        <v>15282</v>
      </c>
      <c r="I980" s="1">
        <v>0</v>
      </c>
      <c r="J980" s="1">
        <v>6</v>
      </c>
      <c r="K980" s="1">
        <v>0</v>
      </c>
    </row>
    <row r="981" spans="1:11" x14ac:dyDescent="0.2">
      <c r="A981" s="1" t="s">
        <v>98</v>
      </c>
      <c r="B981" s="1" t="s">
        <v>917</v>
      </c>
      <c r="C981" s="1" t="str">
        <f>"66298814926495"</f>
        <v>66298814926495</v>
      </c>
      <c r="D981" s="1" t="str">
        <f>"HH016"</f>
        <v>HH016</v>
      </c>
      <c r="E981" s="1" t="s">
        <v>17</v>
      </c>
      <c r="F981" s="1">
        <v>5</v>
      </c>
      <c r="G981" s="1">
        <v>2484</v>
      </c>
      <c r="H981" s="1">
        <v>12420</v>
      </c>
      <c r="I981" s="1">
        <v>0</v>
      </c>
      <c r="J981" s="1">
        <v>5</v>
      </c>
      <c r="K981" s="1">
        <v>0</v>
      </c>
    </row>
    <row r="982" spans="1:11" x14ac:dyDescent="0.2">
      <c r="A982" s="1" t="s">
        <v>98</v>
      </c>
      <c r="B982" s="1" t="s">
        <v>918</v>
      </c>
      <c r="C982" s="1" t="str">
        <f>"66298814980013"</f>
        <v>66298814980013</v>
      </c>
      <c r="D982" s="1" t="str">
        <f>"HH036"</f>
        <v>HH036</v>
      </c>
      <c r="E982" s="1" t="s">
        <v>17</v>
      </c>
      <c r="F982" s="1">
        <v>2</v>
      </c>
      <c r="G982" s="1">
        <v>3934</v>
      </c>
      <c r="H982" s="1">
        <v>7868</v>
      </c>
      <c r="I982" s="1">
        <v>0</v>
      </c>
      <c r="J982" s="1">
        <v>2</v>
      </c>
      <c r="K982" s="1">
        <v>0</v>
      </c>
    </row>
    <row r="983" spans="1:11" x14ac:dyDescent="0.2">
      <c r="A983" s="1" t="s">
        <v>98</v>
      </c>
      <c r="B983" s="1" t="s">
        <v>919</v>
      </c>
      <c r="C983" s="1" t="str">
        <f>"66298815023618"</f>
        <v>66298815023618</v>
      </c>
      <c r="D983" s="1" t="str">
        <f>"Z023"</f>
        <v>Z023</v>
      </c>
      <c r="E983" s="1" t="s">
        <v>17</v>
      </c>
      <c r="F983" s="1">
        <v>4</v>
      </c>
      <c r="G983" s="1">
        <v>8975</v>
      </c>
      <c r="H983" s="1">
        <v>35900</v>
      </c>
      <c r="I983" s="1">
        <v>0</v>
      </c>
      <c r="J983" s="1">
        <v>4</v>
      </c>
      <c r="K983" s="1">
        <v>0</v>
      </c>
    </row>
    <row r="984" spans="1:11" x14ac:dyDescent="0.2">
      <c r="A984" s="1" t="s">
        <v>920</v>
      </c>
      <c r="B984" s="1" t="s">
        <v>921</v>
      </c>
      <c r="C984" s="1" t="str">
        <f>"66298815066582"</f>
        <v>66298815066582</v>
      </c>
      <c r="D984" s="1" t="str">
        <f>"BA011"</f>
        <v>BA011</v>
      </c>
      <c r="E984" s="1" t="s">
        <v>17</v>
      </c>
      <c r="F984" s="1">
        <v>1</v>
      </c>
      <c r="G984" s="1">
        <v>9240</v>
      </c>
      <c r="H984" s="1">
        <v>9240</v>
      </c>
      <c r="I984" s="1">
        <v>0</v>
      </c>
      <c r="J984" s="1">
        <v>1</v>
      </c>
      <c r="K984" s="1">
        <v>0</v>
      </c>
    </row>
    <row r="985" spans="1:11" x14ac:dyDescent="0.2">
      <c r="A985" s="1" t="s">
        <v>920</v>
      </c>
      <c r="B985" s="1" t="s">
        <v>922</v>
      </c>
      <c r="C985" s="1" t="str">
        <f>"66298815144659"</f>
        <v>66298815144659</v>
      </c>
      <c r="D985" s="1" t="str">
        <f>"400568"</f>
        <v>400568</v>
      </c>
      <c r="E985" s="1" t="s">
        <v>17</v>
      </c>
      <c r="F985" s="1">
        <v>6</v>
      </c>
      <c r="G985" s="1">
        <v>5673</v>
      </c>
      <c r="H985" s="1">
        <v>34038</v>
      </c>
      <c r="I985" s="1">
        <v>0</v>
      </c>
      <c r="J985" s="1">
        <v>6</v>
      </c>
      <c r="K985" s="1">
        <v>0</v>
      </c>
    </row>
    <row r="986" spans="1:11" x14ac:dyDescent="0.2">
      <c r="A986" s="1" t="s">
        <v>920</v>
      </c>
      <c r="B986" s="1" t="s">
        <v>923</v>
      </c>
      <c r="C986" s="1" t="str">
        <f>"66298815105393"</f>
        <v>66298815105393</v>
      </c>
      <c r="D986" s="1" t="str">
        <f>"BA020"</f>
        <v>BA020</v>
      </c>
      <c r="E986" s="1" t="s">
        <v>17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</row>
    <row r="987" spans="1:11" x14ac:dyDescent="0.2">
      <c r="A987" s="1" t="s">
        <v>920</v>
      </c>
      <c r="B987" s="1" t="s">
        <v>924</v>
      </c>
      <c r="C987" s="1" t="str">
        <f>"66298815184819"</f>
        <v>66298815184819</v>
      </c>
      <c r="D987" s="1" t="str">
        <f>"400569"</f>
        <v>400569</v>
      </c>
      <c r="E987" s="1" t="s">
        <v>17</v>
      </c>
      <c r="F987" s="1">
        <v>10</v>
      </c>
      <c r="G987" s="1">
        <v>5673</v>
      </c>
      <c r="H987" s="1">
        <v>56730</v>
      </c>
      <c r="I987" s="1">
        <v>0</v>
      </c>
      <c r="J987" s="1">
        <v>10</v>
      </c>
      <c r="K987" s="1">
        <v>0</v>
      </c>
    </row>
    <row r="988" spans="1:11" x14ac:dyDescent="0.2">
      <c r="A988" s="1" t="s">
        <v>920</v>
      </c>
      <c r="B988" s="1" t="s">
        <v>925</v>
      </c>
      <c r="C988" s="1" t="str">
        <f>"66298815225822"</f>
        <v>66298815225822</v>
      </c>
      <c r="D988" s="1" t="str">
        <f>"QA022"</f>
        <v>QA022</v>
      </c>
      <c r="E988" s="1" t="s">
        <v>17</v>
      </c>
      <c r="F988" s="1">
        <v>4</v>
      </c>
      <c r="G988" s="1">
        <v>10575</v>
      </c>
      <c r="H988" s="1">
        <v>42300</v>
      </c>
      <c r="I988" s="1">
        <v>0</v>
      </c>
      <c r="J988" s="1">
        <v>4</v>
      </c>
      <c r="K988" s="1">
        <v>0</v>
      </c>
    </row>
    <row r="989" spans="1:11" x14ac:dyDescent="0.2">
      <c r="A989" s="1" t="s">
        <v>920</v>
      </c>
      <c r="B989" s="1" t="s">
        <v>926</v>
      </c>
      <c r="C989" s="1" t="str">
        <f>"66298815264017"</f>
        <v>66298815264017</v>
      </c>
      <c r="D989" s="1" t="str">
        <f>"QA020"</f>
        <v>QA020</v>
      </c>
      <c r="E989" s="1" t="s">
        <v>17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</row>
    <row r="990" spans="1:11" x14ac:dyDescent="0.2">
      <c r="A990" s="1" t="s">
        <v>920</v>
      </c>
      <c r="B990" s="1" t="s">
        <v>927</v>
      </c>
      <c r="C990" s="1" t="str">
        <f>"66298815303768"</f>
        <v>66298815303768</v>
      </c>
      <c r="D990" s="1" t="str">
        <f>"QA010"</f>
        <v>QA010</v>
      </c>
      <c r="E990" s="1" t="s">
        <v>17</v>
      </c>
      <c r="F990" s="1">
        <v>7</v>
      </c>
      <c r="G990" s="1">
        <v>8119</v>
      </c>
      <c r="H990" s="1">
        <v>56833</v>
      </c>
      <c r="I990" s="1">
        <v>0</v>
      </c>
      <c r="J990" s="1">
        <v>7</v>
      </c>
      <c r="K990" s="1">
        <v>0</v>
      </c>
    </row>
    <row r="991" spans="1:11" x14ac:dyDescent="0.2">
      <c r="A991" s="1" t="s">
        <v>920</v>
      </c>
      <c r="B991" s="1" t="s">
        <v>928</v>
      </c>
      <c r="C991" s="1" t="str">
        <f>"66298815343939"</f>
        <v>66298815343939</v>
      </c>
      <c r="D991" s="1" t="str">
        <f>"QA030"</f>
        <v>QA030</v>
      </c>
      <c r="E991" s="1" t="s">
        <v>17</v>
      </c>
      <c r="F991" s="1">
        <v>4</v>
      </c>
      <c r="G991" s="1">
        <v>13931</v>
      </c>
      <c r="H991" s="1">
        <v>55724</v>
      </c>
      <c r="I991" s="1">
        <v>0</v>
      </c>
      <c r="J991" s="1">
        <v>4</v>
      </c>
      <c r="K991" s="1">
        <v>0</v>
      </c>
    </row>
    <row r="992" spans="1:11" x14ac:dyDescent="0.2">
      <c r="A992" s="1" t="s">
        <v>920</v>
      </c>
      <c r="B992" s="1" t="s">
        <v>929</v>
      </c>
      <c r="C992" s="1" t="str">
        <f>"66298815425893"</f>
        <v>66298815425893</v>
      </c>
      <c r="D992" s="1" t="str">
        <f>"400567"</f>
        <v>400567</v>
      </c>
      <c r="E992" s="1" t="s">
        <v>17</v>
      </c>
      <c r="F992" s="1">
        <v>7</v>
      </c>
      <c r="G992" s="1">
        <v>5673</v>
      </c>
      <c r="H992" s="1">
        <v>39711</v>
      </c>
      <c r="I992" s="1">
        <v>0</v>
      </c>
      <c r="J992" s="1">
        <v>7</v>
      </c>
      <c r="K992" s="1">
        <v>0</v>
      </c>
    </row>
    <row r="993" spans="1:11" x14ac:dyDescent="0.2">
      <c r="A993" s="1" t="s">
        <v>920</v>
      </c>
      <c r="B993" s="1" t="s">
        <v>930</v>
      </c>
      <c r="C993" s="1" t="str">
        <f>"66298815387881"</f>
        <v>66298815387881</v>
      </c>
      <c r="D993" s="1" t="str">
        <f>"QA016"</f>
        <v>QA016</v>
      </c>
      <c r="E993" s="1" t="s">
        <v>17</v>
      </c>
      <c r="F993" s="1">
        <v>1</v>
      </c>
      <c r="G993" s="1">
        <v>8361</v>
      </c>
      <c r="H993" s="1">
        <v>8361</v>
      </c>
      <c r="I993" s="1">
        <v>0</v>
      </c>
      <c r="J993" s="1">
        <v>1</v>
      </c>
      <c r="K993" s="1">
        <v>0</v>
      </c>
    </row>
    <row r="994" spans="1:11" x14ac:dyDescent="0.2">
      <c r="A994" s="1" t="s">
        <v>931</v>
      </c>
      <c r="B994" s="1" t="s">
        <v>932</v>
      </c>
      <c r="C994" s="1" t="str">
        <f>"CA300/350X10SR"</f>
        <v>CA300/350X10SR</v>
      </c>
      <c r="D994" s="1" t="str">
        <f>"CA300/350X10SR"</f>
        <v>CA300/350X10SR</v>
      </c>
      <c r="E994" s="1" t="s">
        <v>17</v>
      </c>
      <c r="F994" s="1">
        <v>12</v>
      </c>
      <c r="G994" s="1">
        <v>3100</v>
      </c>
      <c r="H994" s="1">
        <v>37200</v>
      </c>
      <c r="I994" s="1">
        <v>0</v>
      </c>
      <c r="J994" s="1">
        <v>12</v>
      </c>
      <c r="K994" s="1">
        <v>0</v>
      </c>
    </row>
    <row r="995" spans="1:11" x14ac:dyDescent="0.2">
      <c r="A995" s="1" t="s">
        <v>931</v>
      </c>
      <c r="B995" s="1" t="s">
        <v>933</v>
      </c>
      <c r="C995" s="1" t="str">
        <f>"CA300X10DURO"</f>
        <v>CA300X10DURO</v>
      </c>
      <c r="D995" s="1" t="str">
        <f>"CA300X10DURO"</f>
        <v>CA300X10DURO</v>
      </c>
      <c r="E995" s="1" t="s">
        <v>17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</row>
    <row r="996" spans="1:11" x14ac:dyDescent="0.2">
      <c r="A996" s="1" t="s">
        <v>931</v>
      </c>
      <c r="B996" s="1" t="s">
        <v>934</v>
      </c>
      <c r="C996" s="1" t="str">
        <f>"66298815511462"</f>
        <v>66298815511462</v>
      </c>
      <c r="D996" s="1" t="str">
        <f>"CA300X10"</f>
        <v>CA300X10</v>
      </c>
      <c r="E996" s="1" t="s">
        <v>17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</row>
    <row r="997" spans="1:11" x14ac:dyDescent="0.2">
      <c r="A997" s="1" t="s">
        <v>931</v>
      </c>
      <c r="B997" s="1" t="s">
        <v>935</v>
      </c>
      <c r="C997" s="1" t="str">
        <f>"66298815566458"</f>
        <v>66298815566458</v>
      </c>
      <c r="D997" s="1" t="str">
        <f>"CA350X10KAISER"</f>
        <v>CA350X10KAISER</v>
      </c>
      <c r="E997" s="1" t="s">
        <v>17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</row>
    <row r="998" spans="1:11" x14ac:dyDescent="0.2">
      <c r="A998" s="1" t="s">
        <v>931</v>
      </c>
      <c r="B998" s="1" t="s">
        <v>936</v>
      </c>
      <c r="C998" s="1" t="str">
        <f>"CA120/70X12SR"</f>
        <v>CA120/70X12SR</v>
      </c>
      <c r="D998" s="1" t="str">
        <f>"CA120/70X12SR"</f>
        <v>CA120/70X12SR</v>
      </c>
      <c r="E998" s="1" t="s">
        <v>17</v>
      </c>
      <c r="F998" s="1">
        <v>12</v>
      </c>
      <c r="G998" s="1">
        <v>3084.17</v>
      </c>
      <c r="H998" s="1">
        <v>37010</v>
      </c>
      <c r="I998" s="1">
        <v>0</v>
      </c>
      <c r="J998" s="1">
        <v>12</v>
      </c>
      <c r="K998" s="1">
        <v>0</v>
      </c>
    </row>
    <row r="999" spans="1:11" x14ac:dyDescent="0.2">
      <c r="A999" s="1" t="s">
        <v>931</v>
      </c>
      <c r="B999" s="1" t="s">
        <v>937</v>
      </c>
      <c r="C999" s="1" t="str">
        <f>"CA300/350X12DURO"</f>
        <v>CA300/350X12DURO</v>
      </c>
      <c r="D999" s="1" t="str">
        <f>"CA300/350X12DURO"</f>
        <v>CA300/350X12DURO</v>
      </c>
      <c r="E999" s="1" t="s">
        <v>17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</row>
    <row r="1000" spans="1:11" x14ac:dyDescent="0.2">
      <c r="A1000" s="1" t="s">
        <v>931</v>
      </c>
      <c r="B1000" s="1" t="s">
        <v>938</v>
      </c>
      <c r="C1000" s="1" t="str">
        <f>"CA130/60X13SR"</f>
        <v>CA130/60X13SR</v>
      </c>
      <c r="D1000" s="1" t="str">
        <f>"CA130/60X13SR"</f>
        <v>CA130/60X13SR</v>
      </c>
      <c r="E1000" s="1" t="s">
        <v>17</v>
      </c>
      <c r="F1000" s="1">
        <v>10</v>
      </c>
      <c r="G1000" s="1">
        <v>3500</v>
      </c>
      <c r="H1000" s="1">
        <v>35000</v>
      </c>
      <c r="I1000" s="1">
        <v>0</v>
      </c>
      <c r="J1000" s="1">
        <v>10</v>
      </c>
      <c r="K1000" s="1">
        <v>0</v>
      </c>
    </row>
    <row r="1001" spans="1:11" x14ac:dyDescent="0.2">
      <c r="A1001" s="1" t="s">
        <v>931</v>
      </c>
      <c r="B1001" s="1" t="s">
        <v>939</v>
      </c>
      <c r="C1001" s="1" t="str">
        <f>"66298815621907"</f>
        <v>66298815621907</v>
      </c>
      <c r="D1001" s="1" t="str">
        <f>"CA275/300X14DURO"</f>
        <v>CA275/300X14DURO</v>
      </c>
      <c r="E1001" s="1" t="s">
        <v>17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</row>
    <row r="1002" spans="1:11" x14ac:dyDescent="0.2">
      <c r="A1002" s="1" t="s">
        <v>931</v>
      </c>
      <c r="B1002" s="1" t="s">
        <v>940</v>
      </c>
      <c r="C1002" s="1" t="str">
        <f>"CA275/300X14SR"</f>
        <v>CA275/300X14SR</v>
      </c>
      <c r="D1002" s="1" t="str">
        <f>"CA275/300X14SR"</f>
        <v>CA275/300X14SR</v>
      </c>
      <c r="E1002" s="1" t="s">
        <v>17</v>
      </c>
      <c r="F1002" s="1">
        <v>10</v>
      </c>
      <c r="G1002" s="1">
        <v>2800</v>
      </c>
      <c r="H1002" s="1">
        <v>28000</v>
      </c>
      <c r="I1002" s="1">
        <v>0</v>
      </c>
      <c r="J1002" s="1">
        <v>10</v>
      </c>
      <c r="K1002" s="1">
        <v>0</v>
      </c>
    </row>
    <row r="1003" spans="1:11" x14ac:dyDescent="0.2">
      <c r="A1003" s="1" t="s">
        <v>931</v>
      </c>
      <c r="B1003" s="1" t="s">
        <v>941</v>
      </c>
      <c r="C1003" s="1" t="str">
        <f>"CA130/90X15DURO"</f>
        <v>CA130/90X15DURO</v>
      </c>
      <c r="D1003" s="1" t="str">
        <f>"CA130/90X15DURO"</f>
        <v>CA130/90X15DURO</v>
      </c>
      <c r="E1003" s="1" t="s">
        <v>17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</row>
    <row r="1004" spans="1:11" x14ac:dyDescent="0.2">
      <c r="A1004" s="1" t="s">
        <v>931</v>
      </c>
      <c r="B1004" s="1" t="s">
        <v>942</v>
      </c>
      <c r="C1004" s="1" t="str">
        <f>"CA130/90X15SR"</f>
        <v>CA130/90X15SR</v>
      </c>
      <c r="D1004" s="1" t="str">
        <f>"CA130/90X15SR"</f>
        <v>CA130/90X15SR</v>
      </c>
      <c r="E1004" s="1" t="s">
        <v>17</v>
      </c>
      <c r="F1004" s="1">
        <v>9</v>
      </c>
      <c r="G1004" s="1">
        <v>3600</v>
      </c>
      <c r="H1004" s="1">
        <v>32400</v>
      </c>
      <c r="I1004" s="1">
        <v>0</v>
      </c>
      <c r="J1004" s="1">
        <v>9</v>
      </c>
      <c r="K1004" s="1">
        <v>0</v>
      </c>
    </row>
    <row r="1005" spans="1:11" x14ac:dyDescent="0.2">
      <c r="A1005" s="1" t="s">
        <v>931</v>
      </c>
      <c r="B1005" s="1" t="s">
        <v>943</v>
      </c>
      <c r="C1005" s="1" t="str">
        <f>"CA275/300X16"</f>
        <v>CA275/300X16</v>
      </c>
      <c r="D1005" s="1" t="str">
        <f>"CA275/300X16"</f>
        <v>CA275/300X16</v>
      </c>
      <c r="E1005" s="1" t="s">
        <v>17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</row>
    <row r="1006" spans="1:11" x14ac:dyDescent="0.2">
      <c r="A1006" s="1" t="s">
        <v>931</v>
      </c>
      <c r="B1006" s="1" t="s">
        <v>944</v>
      </c>
      <c r="C1006" s="1" t="str">
        <f>"CA325/350X16DURO"</f>
        <v>CA325/350X16DURO</v>
      </c>
      <c r="D1006" s="1" t="str">
        <f>"CA325/350X16DURO"</f>
        <v>CA325/350X16DURO</v>
      </c>
      <c r="E1006" s="1" t="s">
        <v>17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</row>
    <row r="1007" spans="1:11" x14ac:dyDescent="0.2">
      <c r="A1007" s="1" t="s">
        <v>931</v>
      </c>
      <c r="B1007" s="1" t="s">
        <v>945</v>
      </c>
      <c r="C1007" s="1" t="str">
        <f>"CA325/350X16SR"</f>
        <v>CA325/350X16SR</v>
      </c>
      <c r="D1007" s="1" t="str">
        <f>"CA325/350X16SR"</f>
        <v>CA325/350X16SR</v>
      </c>
      <c r="E1007" s="1" t="s">
        <v>17</v>
      </c>
      <c r="F1007" s="1">
        <v>8</v>
      </c>
      <c r="G1007" s="1">
        <v>2853</v>
      </c>
      <c r="H1007" s="1">
        <v>22824</v>
      </c>
      <c r="I1007" s="1">
        <v>0</v>
      </c>
      <c r="J1007" s="1">
        <v>8</v>
      </c>
      <c r="K1007" s="1">
        <v>0</v>
      </c>
    </row>
    <row r="1008" spans="1:11" x14ac:dyDescent="0.2">
      <c r="A1008" s="1" t="s">
        <v>931</v>
      </c>
      <c r="B1008" s="1" t="s">
        <v>946</v>
      </c>
      <c r="C1008" s="1" t="str">
        <f>"CA350/400X16DURO"</f>
        <v>CA350/400X16DURO</v>
      </c>
      <c r="D1008" s="1" t="str">
        <f>"CA350/400X16DURO"</f>
        <v>CA350/400X16DURO</v>
      </c>
      <c r="E1008" s="1" t="s">
        <v>17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</row>
    <row r="1009" spans="1:11" x14ac:dyDescent="0.2">
      <c r="A1009" s="1" t="s">
        <v>931</v>
      </c>
      <c r="B1009" s="1" t="s">
        <v>947</v>
      </c>
      <c r="C1009" s="1" t="str">
        <f>"CA400/450X16SR"</f>
        <v>CA400/450X16SR</v>
      </c>
      <c r="D1009" s="1" t="str">
        <f>"CA400/450X16SR"</f>
        <v>CA400/450X16SR</v>
      </c>
      <c r="E1009" s="1" t="s">
        <v>17</v>
      </c>
      <c r="F1009" s="1">
        <v>8</v>
      </c>
      <c r="G1009" s="1">
        <v>2700</v>
      </c>
      <c r="H1009" s="1">
        <v>21600</v>
      </c>
      <c r="I1009" s="1">
        <v>0</v>
      </c>
      <c r="J1009" s="1">
        <v>8</v>
      </c>
      <c r="K1009" s="1">
        <v>0</v>
      </c>
    </row>
    <row r="1010" spans="1:11" x14ac:dyDescent="0.2">
      <c r="A1010" s="1" t="s">
        <v>931</v>
      </c>
      <c r="B1010" s="1" t="s">
        <v>948</v>
      </c>
      <c r="C1010" s="1" t="str">
        <f>"CA275/300X17DURO"</f>
        <v>CA275/300X17DURO</v>
      </c>
      <c r="D1010" s="1" t="str">
        <f>"CA275/300X17DURO"</f>
        <v>CA275/300X17DURO</v>
      </c>
      <c r="E1010" s="1" t="s">
        <v>17</v>
      </c>
      <c r="F1010" s="1">
        <v>1</v>
      </c>
      <c r="G1010" s="1">
        <v>2145</v>
      </c>
      <c r="H1010" s="1">
        <v>2145</v>
      </c>
      <c r="I1010" s="1">
        <v>0</v>
      </c>
      <c r="J1010" s="1">
        <v>1</v>
      </c>
      <c r="K1010" s="1">
        <v>0</v>
      </c>
    </row>
    <row r="1011" spans="1:11" x14ac:dyDescent="0.2">
      <c r="A1011" s="1" t="s">
        <v>931</v>
      </c>
      <c r="B1011" s="1" t="s">
        <v>949</v>
      </c>
      <c r="C1011" s="1" t="str">
        <f>"CA275/300X17SR"</f>
        <v>CA275/300X17SR</v>
      </c>
      <c r="D1011" s="1" t="str">
        <f>"CA275/300X17SR"</f>
        <v>CA275/300X17SR</v>
      </c>
      <c r="E1011" s="1" t="s">
        <v>17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</row>
    <row r="1012" spans="1:11" x14ac:dyDescent="0.2">
      <c r="A1012" s="1" t="s">
        <v>931</v>
      </c>
      <c r="B1012" s="1" t="s">
        <v>950</v>
      </c>
      <c r="C1012" s="1" t="str">
        <f>"66298815666626"</f>
        <v>66298815666626</v>
      </c>
      <c r="D1012" s="1" t="str">
        <f>"CA275/300X17VN"</f>
        <v>CA275/300X17VN</v>
      </c>
      <c r="E1012" s="1" t="s">
        <v>17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</row>
    <row r="1013" spans="1:11" x14ac:dyDescent="0.2">
      <c r="A1013" s="1" t="s">
        <v>931</v>
      </c>
      <c r="B1013" s="1" t="s">
        <v>951</v>
      </c>
      <c r="C1013" s="1" t="str">
        <f>"CA275/300X17"</f>
        <v>CA275/300X17</v>
      </c>
      <c r="D1013" s="1" t="str">
        <f>"CA275/300X17"</f>
        <v>CA275/300X17</v>
      </c>
      <c r="E1013" s="1" t="s">
        <v>17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</row>
    <row r="1014" spans="1:11" x14ac:dyDescent="0.2">
      <c r="A1014" s="1" t="s">
        <v>931</v>
      </c>
      <c r="B1014" s="1" t="s">
        <v>952</v>
      </c>
      <c r="C1014" s="1" t="str">
        <f>"CA350/400X17DURO"</f>
        <v>CA350/400X17DURO</v>
      </c>
      <c r="D1014" s="1" t="str">
        <f>"CA350/400X17DURO"</f>
        <v>CA350/400X17DURO</v>
      </c>
      <c r="E1014" s="1" t="s">
        <v>17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</row>
    <row r="1015" spans="1:11" x14ac:dyDescent="0.2">
      <c r="A1015" s="1" t="s">
        <v>931</v>
      </c>
      <c r="B1015" s="1" t="s">
        <v>953</v>
      </c>
      <c r="C1015" s="1" t="str">
        <f>"CA350/400X17SR"</f>
        <v>CA350/400X17SR</v>
      </c>
      <c r="D1015" s="1" t="str">
        <f>"CA350/400X17SR"</f>
        <v>CA350/400X17SR</v>
      </c>
      <c r="E1015" s="1" t="s">
        <v>17</v>
      </c>
      <c r="F1015" s="1">
        <v>9</v>
      </c>
      <c r="G1015" s="1">
        <v>3500</v>
      </c>
      <c r="H1015" s="1">
        <v>31500</v>
      </c>
      <c r="I1015" s="1">
        <v>0</v>
      </c>
      <c r="J1015" s="1">
        <v>9</v>
      </c>
      <c r="K1015" s="1">
        <v>0</v>
      </c>
    </row>
    <row r="1016" spans="1:11" x14ac:dyDescent="0.2">
      <c r="A1016" s="1" t="s">
        <v>931</v>
      </c>
      <c r="B1016" s="1" t="s">
        <v>954</v>
      </c>
      <c r="C1016" s="1" t="str">
        <f>"CA400/450X17DURO"</f>
        <v>CA400/450X17DURO</v>
      </c>
      <c r="D1016" s="1" t="str">
        <f>"CA400/450X17DURO"</f>
        <v>CA400/450X17DURO</v>
      </c>
      <c r="E1016" s="1" t="s">
        <v>17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1:11" x14ac:dyDescent="0.2">
      <c r="A1017" s="1" t="s">
        <v>931</v>
      </c>
      <c r="B1017" s="1" t="s">
        <v>955</v>
      </c>
      <c r="C1017" s="1" t="str">
        <f>"CA400/460X17SR"</f>
        <v>CA400/460X17SR</v>
      </c>
      <c r="D1017" s="1" t="str">
        <f>"CA400/460X17SR"</f>
        <v>CA400/460X17SR</v>
      </c>
      <c r="E1017" s="1" t="s">
        <v>17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1:11" ht="30" x14ac:dyDescent="0.2">
      <c r="A1018" s="1" t="s">
        <v>931</v>
      </c>
      <c r="B1018" s="1" t="s">
        <v>956</v>
      </c>
      <c r="C1018" s="1" t="str">
        <f>"66298815751172"</f>
        <v>66298815751172</v>
      </c>
      <c r="D1018" s="1" t="str">
        <f>"CA100/100-18XHD"</f>
        <v>CA100/100-18XHD</v>
      </c>
      <c r="E1018" s="1" t="s">
        <v>17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</row>
    <row r="1019" spans="1:11" x14ac:dyDescent="0.2">
      <c r="A1019" s="1" t="s">
        <v>931</v>
      </c>
      <c r="B1019" s="1" t="s">
        <v>957</v>
      </c>
      <c r="C1019" s="1" t="str">
        <f>"CA275/300X18CST"</f>
        <v>CA275/300X18CST</v>
      </c>
      <c r="D1019" s="1" t="str">
        <f>"CA275/300X18CST"</f>
        <v>CA275/300X18CST</v>
      </c>
      <c r="E1019" s="1" t="s">
        <v>17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</row>
    <row r="1020" spans="1:11" x14ac:dyDescent="0.2">
      <c r="A1020" s="1" t="s">
        <v>931</v>
      </c>
      <c r="B1020" s="1" t="s">
        <v>958</v>
      </c>
      <c r="C1020" s="1" t="str">
        <f>"CA275/300X18DURO"</f>
        <v>CA275/300X18DURO</v>
      </c>
      <c r="D1020" s="1" t="str">
        <f>"CA275/300X18DURO"</f>
        <v>CA275/300X18DURO</v>
      </c>
      <c r="E1020" s="1" t="s">
        <v>17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</row>
    <row r="1021" spans="1:11" x14ac:dyDescent="0.2">
      <c r="A1021" s="1" t="s">
        <v>931</v>
      </c>
      <c r="B1021" s="1" t="s">
        <v>959</v>
      </c>
      <c r="C1021" s="1" t="str">
        <f>"CA275/300X18SR"</f>
        <v>CA275/300X18SR</v>
      </c>
      <c r="D1021" s="1" t="str">
        <f>"CA275/300X18SR"</f>
        <v>CA275/300X18SR</v>
      </c>
      <c r="E1021" s="1" t="s">
        <v>17</v>
      </c>
      <c r="F1021" s="1">
        <v>10</v>
      </c>
      <c r="G1021" s="1">
        <v>2300</v>
      </c>
      <c r="H1021" s="1">
        <v>23000</v>
      </c>
      <c r="I1021" s="1">
        <v>0</v>
      </c>
      <c r="J1021" s="1">
        <v>10</v>
      </c>
      <c r="K1021" s="1">
        <v>0</v>
      </c>
    </row>
    <row r="1022" spans="1:11" x14ac:dyDescent="0.2">
      <c r="A1022" s="1" t="s">
        <v>931</v>
      </c>
      <c r="B1022" s="1" t="s">
        <v>960</v>
      </c>
      <c r="C1022" s="1" t="str">
        <f>"66298815790477"</f>
        <v>66298815790477</v>
      </c>
      <c r="D1022" s="1" t="str">
        <f>"CA275/300X18VN"</f>
        <v>CA275/300X18VN</v>
      </c>
      <c r="E1022" s="1" t="s">
        <v>17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</row>
    <row r="1023" spans="1:11" x14ac:dyDescent="0.2">
      <c r="A1023" s="1" t="s">
        <v>931</v>
      </c>
      <c r="B1023" s="1" t="s">
        <v>961</v>
      </c>
      <c r="C1023" s="1" t="str">
        <f>"CA300/350X18DURO"</f>
        <v>CA300/350X18DURO</v>
      </c>
      <c r="D1023" s="1" t="str">
        <f>"CA300/350X18DURO"</f>
        <v>CA300/350X18DURO</v>
      </c>
      <c r="E1023" s="1" t="s">
        <v>17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</row>
    <row r="1024" spans="1:11" x14ac:dyDescent="0.2">
      <c r="A1024" s="1" t="s">
        <v>931</v>
      </c>
      <c r="B1024" s="1" t="s">
        <v>962</v>
      </c>
      <c r="C1024" s="1" t="str">
        <f>"66298815834561"</f>
        <v>66298815834561</v>
      </c>
      <c r="D1024" s="1" t="str">
        <f>"CA325/350X18KS"</f>
        <v>CA325/350X18KS</v>
      </c>
      <c r="E1024" s="1" t="s">
        <v>17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</row>
    <row r="1025" spans="1:11" x14ac:dyDescent="0.2">
      <c r="A1025" s="1" t="s">
        <v>931</v>
      </c>
      <c r="B1025" s="1" t="s">
        <v>963</v>
      </c>
      <c r="C1025" s="1" t="str">
        <f>"CA350/400X18DURO"</f>
        <v>CA350/400X18DURO</v>
      </c>
      <c r="D1025" s="1" t="str">
        <f>"CA350/400X18DURO"</f>
        <v>CA350/400X18DURO</v>
      </c>
      <c r="E1025" s="1" t="s">
        <v>17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</row>
    <row r="1026" spans="1:11" x14ac:dyDescent="0.2">
      <c r="A1026" s="1" t="s">
        <v>931</v>
      </c>
      <c r="B1026" s="1" t="s">
        <v>964</v>
      </c>
      <c r="C1026" s="1" t="str">
        <f>"CA350/400X18SR"</f>
        <v>CA350/400X18SR</v>
      </c>
      <c r="D1026" s="1" t="str">
        <f>"CA350/400X18SR"</f>
        <v>CA350/400X18SR</v>
      </c>
      <c r="E1026" s="1" t="s">
        <v>17</v>
      </c>
      <c r="F1026" s="1">
        <v>5</v>
      </c>
      <c r="G1026" s="1">
        <v>3200</v>
      </c>
      <c r="H1026" s="1">
        <v>16000</v>
      </c>
      <c r="I1026" s="1">
        <v>0</v>
      </c>
      <c r="J1026" s="1">
        <v>5</v>
      </c>
      <c r="K1026" s="1">
        <v>0</v>
      </c>
    </row>
    <row r="1027" spans="1:11" x14ac:dyDescent="0.2">
      <c r="A1027" s="1" t="s">
        <v>931</v>
      </c>
      <c r="B1027" s="1" t="s">
        <v>965</v>
      </c>
      <c r="C1027" s="1" t="str">
        <f>"CA350X18DURO"</f>
        <v>CA350X18DURO</v>
      </c>
      <c r="D1027" s="1" t="str">
        <f>"CA350X18DURO"</f>
        <v>CA350X18DURO</v>
      </c>
      <c r="E1027" s="1" t="s">
        <v>17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</row>
    <row r="1028" spans="1:11" x14ac:dyDescent="0.2">
      <c r="A1028" s="1" t="s">
        <v>931</v>
      </c>
      <c r="B1028" s="1" t="s">
        <v>966</v>
      </c>
      <c r="C1028" s="1" t="str">
        <f>"CA400/450X18DURO"</f>
        <v>CA400/450X18DURO</v>
      </c>
      <c r="D1028" s="1" t="str">
        <f>"CA400/450X18DURO"</f>
        <v>CA400/450X18DURO</v>
      </c>
      <c r="E1028" s="1" t="s">
        <v>17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</row>
    <row r="1029" spans="1:11" x14ac:dyDescent="0.2">
      <c r="A1029" s="1" t="s">
        <v>931</v>
      </c>
      <c r="B1029" s="1" t="s">
        <v>967</v>
      </c>
      <c r="C1029" s="1" t="str">
        <f>"66298815873489"</f>
        <v>66298815873489</v>
      </c>
      <c r="D1029" s="1" t="str">
        <f>"CA400/450X18VN"</f>
        <v>CA400/450X18VN</v>
      </c>
      <c r="E1029" s="1" t="s">
        <v>17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</row>
    <row r="1030" spans="1:11" x14ac:dyDescent="0.2">
      <c r="A1030" s="1" t="s">
        <v>931</v>
      </c>
      <c r="B1030" s="1" t="s">
        <v>968</v>
      </c>
      <c r="C1030" s="1" t="str">
        <f>"CA410/460X18SR"</f>
        <v>CA410/460X18SR</v>
      </c>
      <c r="D1030" s="1" t="str">
        <f>"CA410/460X18SR"</f>
        <v>CA410/460X18SR</v>
      </c>
      <c r="E1030" s="1" t="s">
        <v>17</v>
      </c>
      <c r="F1030" s="1">
        <v>6</v>
      </c>
      <c r="G1030" s="1">
        <v>3397</v>
      </c>
      <c r="H1030" s="1">
        <v>20382</v>
      </c>
      <c r="I1030" s="1">
        <v>0</v>
      </c>
      <c r="J1030" s="1">
        <v>6</v>
      </c>
      <c r="K1030" s="1">
        <v>0</v>
      </c>
    </row>
    <row r="1031" spans="1:11" x14ac:dyDescent="0.2">
      <c r="A1031" s="1" t="s">
        <v>931</v>
      </c>
      <c r="B1031" s="1" t="s">
        <v>969</v>
      </c>
      <c r="C1031" s="1" t="str">
        <f>"CA410X18DURO"</f>
        <v>CA410X18DURO</v>
      </c>
      <c r="D1031" s="1" t="str">
        <f>"CA410X18DURO"</f>
        <v>CA410X18DURO</v>
      </c>
      <c r="E1031" s="1" t="s">
        <v>17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</row>
    <row r="1032" spans="1:11" x14ac:dyDescent="0.2">
      <c r="A1032" s="1" t="s">
        <v>931</v>
      </c>
      <c r="B1032" s="1" t="s">
        <v>970</v>
      </c>
      <c r="C1032" s="1" t="str">
        <f>"66298815954727"</f>
        <v>66298815954727</v>
      </c>
      <c r="D1032" s="1" t="str">
        <f>"CA460/510X18"</f>
        <v>CA460/510X18</v>
      </c>
      <c r="E1032" s="1" t="s">
        <v>17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</row>
    <row r="1033" spans="1:11" x14ac:dyDescent="0.2">
      <c r="A1033" s="1" t="s">
        <v>931</v>
      </c>
      <c r="B1033" s="1" t="s">
        <v>971</v>
      </c>
      <c r="C1033" s="1" t="str">
        <f>"CA460/510X18DURO"</f>
        <v>CA460/510X18DURO</v>
      </c>
      <c r="D1033" s="1" t="str">
        <f>"CA460/510X18DURO"</f>
        <v>CA460/510X18DURO</v>
      </c>
      <c r="E1033" s="1" t="s">
        <v>17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</row>
    <row r="1034" spans="1:11" x14ac:dyDescent="0.2">
      <c r="A1034" s="1" t="s">
        <v>931</v>
      </c>
      <c r="B1034" s="1" t="s">
        <v>972</v>
      </c>
      <c r="C1034" s="1" t="str">
        <f>"CA460/510X18SR"</f>
        <v>CA460/510X18SR</v>
      </c>
      <c r="D1034" s="1" t="str">
        <f>"CA460/510X18SR"</f>
        <v>CA460/510X18SR</v>
      </c>
      <c r="E1034" s="1" t="s">
        <v>17</v>
      </c>
      <c r="F1034" s="1">
        <v>4</v>
      </c>
      <c r="G1034" s="1">
        <v>3800</v>
      </c>
      <c r="H1034" s="1">
        <v>15200</v>
      </c>
      <c r="I1034" s="1">
        <v>0</v>
      </c>
      <c r="J1034" s="1">
        <v>4</v>
      </c>
      <c r="K1034" s="1">
        <v>0</v>
      </c>
    </row>
    <row r="1035" spans="1:11" x14ac:dyDescent="0.2">
      <c r="A1035" s="1" t="s">
        <v>931</v>
      </c>
      <c r="B1035" s="1" t="s">
        <v>973</v>
      </c>
      <c r="C1035" s="1" t="str">
        <f>"66298815911516"</f>
        <v>66298815911516</v>
      </c>
      <c r="D1035" s="1" t="str">
        <f>"CA460/510X18EV"</f>
        <v>CA460/510X18EV</v>
      </c>
      <c r="E1035" s="1" t="s">
        <v>17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</row>
    <row r="1036" spans="1:11" x14ac:dyDescent="0.2">
      <c r="A1036" s="1" t="s">
        <v>931</v>
      </c>
      <c r="B1036" s="1" t="s">
        <v>974</v>
      </c>
      <c r="C1036" s="1" t="str">
        <f>"66298830946914"</f>
        <v>66298830946914</v>
      </c>
      <c r="D1036" s="1" t="str">
        <f>"CA460X18TS"</f>
        <v>CA460X18TS</v>
      </c>
      <c r="E1036" s="1" t="s">
        <v>17</v>
      </c>
      <c r="F1036" s="1">
        <v>3</v>
      </c>
      <c r="G1036" s="1">
        <v>5042</v>
      </c>
      <c r="H1036" s="1">
        <v>15126</v>
      </c>
      <c r="I1036" s="1">
        <v>0</v>
      </c>
      <c r="J1036" s="1">
        <v>3</v>
      </c>
      <c r="K1036" s="1">
        <v>0</v>
      </c>
    </row>
    <row r="1037" spans="1:11" x14ac:dyDescent="0.2">
      <c r="A1037" s="1" t="s">
        <v>931</v>
      </c>
      <c r="B1037" s="1" t="s">
        <v>975</v>
      </c>
      <c r="C1037" s="1" t="str">
        <f>"66298830985742"</f>
        <v>66298830985742</v>
      </c>
      <c r="D1037" s="1" t="str">
        <f>"CA110/80-19TS"</f>
        <v>CA110/80-19TS</v>
      </c>
      <c r="E1037" s="1" t="s">
        <v>17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</row>
    <row r="1038" spans="1:11" x14ac:dyDescent="0.2">
      <c r="A1038" s="1" t="s">
        <v>931</v>
      </c>
      <c r="B1038" s="1" t="s">
        <v>976</v>
      </c>
      <c r="C1038" s="1" t="str">
        <f>"66298831025016"</f>
        <v>66298831025016</v>
      </c>
      <c r="D1038" s="1" t="str">
        <f>"CA275/300X19DUR"</f>
        <v>CA275/300X19DUR</v>
      </c>
      <c r="E1038" s="1" t="s">
        <v>17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</row>
    <row r="1039" spans="1:11" x14ac:dyDescent="0.2">
      <c r="A1039" s="1" t="s">
        <v>931</v>
      </c>
      <c r="B1039" s="1" t="s">
        <v>977</v>
      </c>
      <c r="C1039" s="1" t="str">
        <f>"66298831067859"</f>
        <v>66298831067859</v>
      </c>
      <c r="D1039" s="1" t="str">
        <f>"CA275/300X19KS"</f>
        <v>CA275/300X19KS</v>
      </c>
      <c r="E1039" s="1" t="s">
        <v>17</v>
      </c>
      <c r="F1039" s="1">
        <v>7</v>
      </c>
      <c r="G1039" s="1">
        <v>3282</v>
      </c>
      <c r="H1039" s="1">
        <v>22974</v>
      </c>
      <c r="I1039" s="1">
        <v>0</v>
      </c>
      <c r="J1039" s="1">
        <v>7</v>
      </c>
      <c r="K1039" s="1">
        <v>0</v>
      </c>
    </row>
    <row r="1040" spans="1:11" x14ac:dyDescent="0.2">
      <c r="A1040" s="1" t="s">
        <v>931</v>
      </c>
      <c r="B1040" s="1" t="s">
        <v>978</v>
      </c>
      <c r="C1040" s="1" t="str">
        <f>"66298831109113"</f>
        <v>66298831109113</v>
      </c>
      <c r="D1040" s="1" t="str">
        <f>"CA275/300X19SR"</f>
        <v>CA275/300X19SR</v>
      </c>
      <c r="E1040" s="1" t="s">
        <v>17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</row>
    <row r="1041" spans="1:11" x14ac:dyDescent="0.2">
      <c r="A1041" s="1" t="s">
        <v>931</v>
      </c>
      <c r="B1041" s="1" t="s">
        <v>979</v>
      </c>
      <c r="C1041" s="1" t="str">
        <f>"CA350/400X19DURO"</f>
        <v>CA350/400X19DURO</v>
      </c>
      <c r="D1041" s="1" t="str">
        <f>"CA350/400X19DURO"</f>
        <v>CA350/400X19DURO</v>
      </c>
      <c r="E1041" s="1" t="s">
        <v>17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</row>
    <row r="1042" spans="1:11" x14ac:dyDescent="0.2">
      <c r="A1042" s="1" t="s">
        <v>931</v>
      </c>
      <c r="B1042" s="1" t="s">
        <v>980</v>
      </c>
      <c r="C1042" s="1" t="str">
        <f>"66298831189386"</f>
        <v>66298831189386</v>
      </c>
      <c r="D1042" s="1" t="str">
        <f>"CA350/400X19KS"</f>
        <v>CA350/400X19KS</v>
      </c>
      <c r="E1042" s="1" t="s">
        <v>17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</row>
    <row r="1043" spans="1:11" x14ac:dyDescent="0.2">
      <c r="A1043" s="1" t="s">
        <v>931</v>
      </c>
      <c r="B1043" s="1" t="s">
        <v>981</v>
      </c>
      <c r="C1043" s="1" t="str">
        <f>"CA350X19DURO"</f>
        <v>CA350X19DURO</v>
      </c>
      <c r="D1043" s="1" t="str">
        <f>"CA350X19DURO"</f>
        <v>CA350X19DURO</v>
      </c>
      <c r="E1043" s="1" t="s">
        <v>17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</row>
    <row r="1044" spans="1:11" x14ac:dyDescent="0.2">
      <c r="A1044" s="1" t="s">
        <v>931</v>
      </c>
      <c r="B1044" s="1" t="s">
        <v>982</v>
      </c>
      <c r="C1044" s="1" t="str">
        <f>"CA400/460X19SR"</f>
        <v>CA400/460X19SR</v>
      </c>
      <c r="D1044" s="1" t="str">
        <f>"CA400/460X19SR"</f>
        <v>CA400/460X19SR</v>
      </c>
      <c r="E1044" s="1" t="s">
        <v>17</v>
      </c>
      <c r="F1044" s="1">
        <v>8</v>
      </c>
      <c r="G1044" s="1">
        <v>2700</v>
      </c>
      <c r="H1044" s="1">
        <v>21600</v>
      </c>
      <c r="I1044" s="1">
        <v>0</v>
      </c>
      <c r="J1044" s="1">
        <v>8</v>
      </c>
      <c r="K1044" s="1">
        <v>0</v>
      </c>
    </row>
    <row r="1045" spans="1:11" x14ac:dyDescent="0.2">
      <c r="A1045" s="1" t="s">
        <v>931</v>
      </c>
      <c r="B1045" s="1" t="s">
        <v>983</v>
      </c>
      <c r="C1045" s="1" t="str">
        <f>"66298831717906"</f>
        <v>66298831717906</v>
      </c>
      <c r="D1045" s="1" t="str">
        <f>"CA275/300X21"</f>
        <v>CA275/300X21</v>
      </c>
      <c r="E1045" s="1" t="s">
        <v>17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</row>
    <row r="1046" spans="1:11" x14ac:dyDescent="0.2">
      <c r="A1046" s="1" t="s">
        <v>931</v>
      </c>
      <c r="B1046" s="1" t="s">
        <v>984</v>
      </c>
      <c r="C1046" s="1" t="str">
        <f>"CA275/300X21DURO"</f>
        <v>CA275/300X21DURO</v>
      </c>
      <c r="D1046" s="1" t="str">
        <f>"CA275/300X21DURO"</f>
        <v>CA275/300X21DURO</v>
      </c>
      <c r="E1046" s="1" t="s">
        <v>17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</row>
    <row r="1047" spans="1:11" x14ac:dyDescent="0.2">
      <c r="A1047" s="1" t="s">
        <v>931</v>
      </c>
      <c r="B1047" s="1" t="s">
        <v>985</v>
      </c>
      <c r="C1047" s="1" t="str">
        <f>"CA275/300X21JALYN"</f>
        <v>CA275/300X21JALYN</v>
      </c>
      <c r="D1047" s="1" t="str">
        <f>"CA275/300X21JALYN"</f>
        <v>CA275/300X21JALYN</v>
      </c>
      <c r="E1047" s="1" t="s">
        <v>17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</row>
    <row r="1048" spans="1:11" x14ac:dyDescent="0.2">
      <c r="A1048" s="1" t="s">
        <v>931</v>
      </c>
      <c r="B1048" s="1" t="s">
        <v>986</v>
      </c>
      <c r="C1048" s="1" t="str">
        <f>"CA275/300X21SR"</f>
        <v>CA275/300X21SR</v>
      </c>
      <c r="D1048" s="1" t="str">
        <f>"CA275/300X21SR"</f>
        <v>CA275/300X21SR</v>
      </c>
      <c r="E1048" s="1" t="s">
        <v>17</v>
      </c>
      <c r="F1048" s="1">
        <v>4</v>
      </c>
      <c r="G1048" s="1">
        <v>2622</v>
      </c>
      <c r="H1048" s="1">
        <v>10488</v>
      </c>
      <c r="I1048" s="1">
        <v>0</v>
      </c>
      <c r="J1048" s="1">
        <v>4</v>
      </c>
      <c r="K1048" s="1">
        <v>0</v>
      </c>
    </row>
    <row r="1049" spans="1:11" x14ac:dyDescent="0.2">
      <c r="A1049" s="1" t="s">
        <v>931</v>
      </c>
      <c r="B1049" s="1" t="s">
        <v>987</v>
      </c>
      <c r="C1049" s="1" t="str">
        <f>"66298832175150"</f>
        <v>66298832175150</v>
      </c>
      <c r="D1049" s="1" t="str">
        <f>"CA275/300X21VN"</f>
        <v>CA275/300X21VN</v>
      </c>
      <c r="E1049" s="1" t="s">
        <v>17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</row>
    <row r="1050" spans="1:11" ht="30" x14ac:dyDescent="0.2">
      <c r="A1050" s="1" t="s">
        <v>988</v>
      </c>
      <c r="B1050" s="1" t="s">
        <v>989</v>
      </c>
      <c r="C1050" s="1" t="str">
        <f>"CM-BM-FR-0-150"</f>
        <v>CM-BM-FR-0-150</v>
      </c>
      <c r="D1050" s="1" t="str">
        <f>"CM-BM-FR-0-150"</f>
        <v>CM-BM-FR-0-150</v>
      </c>
      <c r="E1050" s="1" t="s">
        <v>17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</row>
    <row r="1051" spans="1:11" ht="30" x14ac:dyDescent="0.2">
      <c r="A1051" s="1" t="s">
        <v>988</v>
      </c>
      <c r="B1051" s="1" t="s">
        <v>990</v>
      </c>
      <c r="C1051" s="1" t="str">
        <f>"CM-BM-FR-160-400"</f>
        <v>CM-BM-FR-160-400</v>
      </c>
      <c r="D1051" s="1" t="str">
        <f>"CM-BM-FR-160-400"</f>
        <v>CM-BM-FR-160-400</v>
      </c>
      <c r="E1051" s="1" t="s">
        <v>17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</row>
    <row r="1052" spans="1:11" ht="30" x14ac:dyDescent="0.2">
      <c r="A1052" s="1" t="s">
        <v>988</v>
      </c>
      <c r="B1052" s="1" t="s">
        <v>991</v>
      </c>
      <c r="C1052" s="1" t="str">
        <f>"CM-BM-FR-450-1000"</f>
        <v>CM-BM-FR-450-1000</v>
      </c>
      <c r="D1052" s="1" t="str">
        <f>"CM-BM-FR-450-1000"</f>
        <v>CM-BM-FR-450-1000</v>
      </c>
      <c r="E1052" s="1" t="s">
        <v>17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</row>
    <row r="1053" spans="1:11" x14ac:dyDescent="0.2">
      <c r="A1053" s="1" t="s">
        <v>988</v>
      </c>
      <c r="B1053" s="1" t="s">
        <v>992</v>
      </c>
      <c r="C1053" s="1" t="str">
        <f>"CM-FS-CR-0-150"</f>
        <v>CM-FS-CR-0-150</v>
      </c>
      <c r="D1053" s="1" t="str">
        <f>"CM-FS-CR-0-150"</f>
        <v>CM-FS-CR-0-150</v>
      </c>
      <c r="E1053" s="1" t="s">
        <v>17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</row>
    <row r="1054" spans="1:11" x14ac:dyDescent="0.2">
      <c r="A1054" s="1" t="s">
        <v>988</v>
      </c>
      <c r="B1054" s="1" t="s">
        <v>993</v>
      </c>
      <c r="C1054" s="1" t="str">
        <f>"CM-FS-CR-160-400"</f>
        <v>CM-FS-CR-160-400</v>
      </c>
      <c r="D1054" s="1" t="str">
        <f>"CM-FS-CR-160-400"</f>
        <v>CM-FS-CR-160-400</v>
      </c>
      <c r="E1054" s="1" t="s">
        <v>17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</row>
    <row r="1055" spans="1:11" x14ac:dyDescent="0.2">
      <c r="A1055" s="1" t="s">
        <v>988</v>
      </c>
      <c r="B1055" s="1" t="s">
        <v>994</v>
      </c>
      <c r="C1055" s="1" t="str">
        <f>"CM-FS-CR-450-1000"</f>
        <v>CM-FS-CR-450-1000</v>
      </c>
      <c r="D1055" s="1" t="str">
        <f>"CM-FS-CR-450-1000"</f>
        <v>CM-FS-CR-450-1000</v>
      </c>
      <c r="E1055" s="1" t="s">
        <v>17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</row>
    <row r="1056" spans="1:11" x14ac:dyDescent="0.2">
      <c r="A1056" s="1" t="s">
        <v>988</v>
      </c>
      <c r="B1056" s="1" t="s">
        <v>995</v>
      </c>
      <c r="C1056" s="1" t="str">
        <f>"CM-MN-FE-0-150"</f>
        <v>CM-MN-FE-0-150</v>
      </c>
      <c r="D1056" s="1" t="str">
        <f>"CM-MN-FE-0-150"</f>
        <v>CM-MN-FE-0-150</v>
      </c>
      <c r="E1056" s="1" t="s">
        <v>17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</row>
    <row r="1057" spans="1:11" x14ac:dyDescent="0.2">
      <c r="A1057" s="1" t="s">
        <v>988</v>
      </c>
      <c r="B1057" s="1" t="s">
        <v>996</v>
      </c>
      <c r="C1057" s="1" t="str">
        <f>"CM-MN-FE-160-400"</f>
        <v>CM-MN-FE-160-400</v>
      </c>
      <c r="D1057" s="1" t="str">
        <f>"CM-MN-FE-160-400"</f>
        <v>CM-MN-FE-160-400</v>
      </c>
      <c r="E1057" s="1" t="s">
        <v>17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</row>
    <row r="1058" spans="1:11" x14ac:dyDescent="0.2">
      <c r="A1058" s="1" t="s">
        <v>988</v>
      </c>
      <c r="B1058" s="1" t="s">
        <v>997</v>
      </c>
      <c r="C1058" s="1" t="str">
        <f>"CM-MN-FE-450-1000"</f>
        <v>CM-MN-FE-450-1000</v>
      </c>
      <c r="D1058" s="1" t="str">
        <f>"CM-MN-FE-450-1000"</f>
        <v>CM-MN-FE-450-1000</v>
      </c>
      <c r="E1058" s="1" t="s">
        <v>17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</row>
    <row r="1059" spans="1:11" x14ac:dyDescent="0.2">
      <c r="A1059" s="1" t="s">
        <v>988</v>
      </c>
      <c r="B1059" s="1" t="s">
        <v>998</v>
      </c>
      <c r="C1059" s="1" t="str">
        <f>"CM-MR-EF-0-150"</f>
        <v>CM-MR-EF-0-150</v>
      </c>
      <c r="D1059" s="1" t="str">
        <f>"CM-MR-EF-0-150"</f>
        <v>CM-MR-EF-0-150</v>
      </c>
      <c r="E1059" s="1" t="s">
        <v>17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</row>
    <row r="1060" spans="1:11" x14ac:dyDescent="0.2">
      <c r="A1060" s="1" t="s">
        <v>988</v>
      </c>
      <c r="B1060" s="1" t="s">
        <v>999</v>
      </c>
      <c r="C1060" s="1" t="str">
        <f>"CM-MR-EF-160-400"</f>
        <v>CM-MR-EF-160-400</v>
      </c>
      <c r="D1060" s="1" t="str">
        <f>"CM-MR-EF-160-400"</f>
        <v>CM-MR-EF-160-400</v>
      </c>
      <c r="E1060" s="1" t="s">
        <v>17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</row>
    <row r="1061" spans="1:11" x14ac:dyDescent="0.2">
      <c r="A1061" s="1" t="s">
        <v>988</v>
      </c>
      <c r="B1061" s="1" t="s">
        <v>1000</v>
      </c>
      <c r="C1061" s="1" t="str">
        <f>"CM-MR-EF-450-1000"</f>
        <v>CM-MR-EF-450-1000</v>
      </c>
      <c r="D1061" s="1" t="str">
        <f>"CM-MR-EF-450-1000"</f>
        <v>CM-MR-EF-450-1000</v>
      </c>
      <c r="E1061" s="1" t="s">
        <v>17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</row>
    <row r="1062" spans="1:11" x14ac:dyDescent="0.2">
      <c r="A1062" s="1" t="s">
        <v>988</v>
      </c>
      <c r="B1062" s="1" t="s">
        <v>1001</v>
      </c>
      <c r="C1062" s="1" t="str">
        <f>"CM-PS-TR-0-150"</f>
        <v>CM-PS-TR-0-150</v>
      </c>
      <c r="D1062" s="1" t="str">
        <f>"CM-PS-TR-0-150"</f>
        <v>CM-PS-TR-0-150</v>
      </c>
      <c r="E1062" s="1" t="s">
        <v>17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</row>
    <row r="1063" spans="1:11" x14ac:dyDescent="0.2">
      <c r="A1063" s="1" t="s">
        <v>988</v>
      </c>
      <c r="B1063" s="1" t="s">
        <v>1002</v>
      </c>
      <c r="C1063" s="1" t="str">
        <f>"CM-PS-TR-160-400"</f>
        <v>CM-PS-TR-160-400</v>
      </c>
      <c r="D1063" s="1" t="str">
        <f>"CM-PS-TR-160-400"</f>
        <v>CM-PS-TR-160-400</v>
      </c>
      <c r="E1063" s="1" t="s">
        <v>17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</row>
    <row r="1064" spans="1:11" x14ac:dyDescent="0.2">
      <c r="A1064" s="1" t="s">
        <v>1003</v>
      </c>
      <c r="B1064" s="1" t="s">
        <v>1004</v>
      </c>
      <c r="C1064" s="1" t="str">
        <f>"10493"</f>
        <v>10493</v>
      </c>
      <c r="D1064" s="1" t="str">
        <f>"10493"</f>
        <v>10493</v>
      </c>
      <c r="E1064" s="1" t="s">
        <v>17</v>
      </c>
      <c r="F1064" s="1">
        <v>1</v>
      </c>
      <c r="G1064" s="1">
        <v>38768.07</v>
      </c>
      <c r="H1064" s="1">
        <v>38768</v>
      </c>
      <c r="I1064" s="1">
        <v>0</v>
      </c>
      <c r="J1064" s="1">
        <v>1</v>
      </c>
      <c r="K1064" s="1">
        <v>0</v>
      </c>
    </row>
    <row r="1065" spans="1:11" x14ac:dyDescent="0.2">
      <c r="A1065" s="1" t="s">
        <v>1003</v>
      </c>
      <c r="B1065" s="1" t="s">
        <v>1005</v>
      </c>
      <c r="C1065" s="1" t="str">
        <f>"P2305005"</f>
        <v>P2305005</v>
      </c>
      <c r="D1065" s="1" t="str">
        <f>"P2305005"</f>
        <v>P2305005</v>
      </c>
      <c r="E1065" s="1" t="s">
        <v>17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</row>
    <row r="1066" spans="1:11" x14ac:dyDescent="0.2">
      <c r="A1066" s="1" t="s">
        <v>1003</v>
      </c>
      <c r="B1066" s="1" t="s">
        <v>1006</v>
      </c>
      <c r="C1066" s="1" t="str">
        <f>"C211"</f>
        <v>C211</v>
      </c>
      <c r="D1066" s="1" t="str">
        <f>"C211"</f>
        <v>C211</v>
      </c>
      <c r="E1066" s="1" t="s">
        <v>17</v>
      </c>
      <c r="F1066" s="1">
        <v>7</v>
      </c>
      <c r="G1066" s="1">
        <v>9738</v>
      </c>
      <c r="H1066" s="1">
        <v>68166</v>
      </c>
      <c r="I1066" s="1">
        <v>0</v>
      </c>
      <c r="J1066" s="1">
        <v>7</v>
      </c>
      <c r="K1066" s="1">
        <v>0</v>
      </c>
    </row>
    <row r="1067" spans="1:11" x14ac:dyDescent="0.2">
      <c r="A1067" s="1" t="s">
        <v>1003</v>
      </c>
      <c r="B1067" s="1" t="s">
        <v>1007</v>
      </c>
      <c r="C1067" s="1" t="str">
        <f>"66298832269236"</f>
        <v>66298832269236</v>
      </c>
      <c r="D1067" s="1" t="str">
        <f>"C208"</f>
        <v>C208</v>
      </c>
      <c r="E1067" s="1" t="s">
        <v>17</v>
      </c>
      <c r="F1067" s="1">
        <v>2</v>
      </c>
      <c r="G1067" s="1">
        <v>16047</v>
      </c>
      <c r="H1067" s="1">
        <v>32094</v>
      </c>
      <c r="I1067" s="1">
        <v>0</v>
      </c>
      <c r="J1067" s="1">
        <v>2</v>
      </c>
      <c r="K1067" s="1">
        <v>0</v>
      </c>
    </row>
    <row r="1068" spans="1:11" x14ac:dyDescent="0.2">
      <c r="A1068" s="1" t="s">
        <v>1003</v>
      </c>
      <c r="B1068" s="1" t="s">
        <v>1008</v>
      </c>
      <c r="C1068" s="1" t="str">
        <f>"66298832318787"</f>
        <v>66298832318787</v>
      </c>
      <c r="D1068" s="1" t="str">
        <f>"22101-M9Q-0003"</f>
        <v>22101-M9Q-0003</v>
      </c>
      <c r="E1068" s="1" t="s">
        <v>17</v>
      </c>
      <c r="F1068" s="1">
        <v>1</v>
      </c>
      <c r="G1068" s="1">
        <v>4283</v>
      </c>
      <c r="H1068" s="1">
        <v>4283</v>
      </c>
      <c r="I1068" s="1">
        <v>0</v>
      </c>
      <c r="J1068" s="1">
        <v>1</v>
      </c>
      <c r="K1068" s="1">
        <v>0</v>
      </c>
    </row>
    <row r="1069" spans="1:11" x14ac:dyDescent="0.2">
      <c r="A1069" s="1" t="s">
        <v>1003</v>
      </c>
      <c r="B1069" s="1" t="s">
        <v>1009</v>
      </c>
      <c r="C1069" s="1" t="str">
        <f>"C203"</f>
        <v>C203</v>
      </c>
      <c r="D1069" s="1" t="str">
        <f>"C203"</f>
        <v>C203</v>
      </c>
      <c r="E1069" s="1" t="s">
        <v>17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</row>
    <row r="1070" spans="1:11" x14ac:dyDescent="0.2">
      <c r="A1070" s="1" t="s">
        <v>1003</v>
      </c>
      <c r="B1070" s="1" t="s">
        <v>1010</v>
      </c>
      <c r="C1070" s="1" t="str">
        <f>"66298832367661"</f>
        <v>66298832367661</v>
      </c>
      <c r="D1070" s="1" t="str">
        <f>"C213"</f>
        <v>C213</v>
      </c>
      <c r="E1070" s="1" t="s">
        <v>17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</row>
    <row r="1071" spans="1:11" x14ac:dyDescent="0.2">
      <c r="A1071" s="1" t="s">
        <v>1003</v>
      </c>
      <c r="B1071" s="1" t="s">
        <v>1011</v>
      </c>
      <c r="C1071" s="1" t="str">
        <f>"P21040037"</f>
        <v>P21040037</v>
      </c>
      <c r="D1071" s="1" t="str">
        <f>"P21040037"</f>
        <v>P21040037</v>
      </c>
      <c r="E1071" s="1" t="s">
        <v>17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</row>
    <row r="1072" spans="1:11" x14ac:dyDescent="0.2">
      <c r="A1072" s="1" t="s">
        <v>1003</v>
      </c>
      <c r="B1072" s="1" t="s">
        <v>1012</v>
      </c>
      <c r="C1072" s="1" t="str">
        <f>"2889"</f>
        <v>2889</v>
      </c>
      <c r="D1072" s="1" t="str">
        <f>"2889"</f>
        <v>2889</v>
      </c>
      <c r="E1072" s="1" t="s">
        <v>17</v>
      </c>
      <c r="F1072" s="1">
        <v>2</v>
      </c>
      <c r="G1072" s="1">
        <v>24902.52</v>
      </c>
      <c r="H1072" s="1">
        <v>49805</v>
      </c>
      <c r="I1072" s="1">
        <v>0</v>
      </c>
      <c r="J1072" s="1">
        <v>2</v>
      </c>
      <c r="K1072" s="1">
        <v>0</v>
      </c>
    </row>
    <row r="1073" spans="1:11" x14ac:dyDescent="0.2">
      <c r="A1073" s="1" t="s">
        <v>342</v>
      </c>
      <c r="B1073" s="1" t="s">
        <v>1013</v>
      </c>
      <c r="C1073" s="1" t="str">
        <f>"66298832411705"</f>
        <v>66298832411705</v>
      </c>
      <c r="D1073" s="1" t="str">
        <f>"93310-418E9JP"</f>
        <v>93310-418E9JP</v>
      </c>
      <c r="E1073" s="1" t="s">
        <v>17</v>
      </c>
      <c r="F1073" s="1">
        <v>1</v>
      </c>
      <c r="G1073" s="1">
        <v>3641</v>
      </c>
      <c r="H1073" s="1">
        <v>3641</v>
      </c>
      <c r="I1073" s="1">
        <v>0</v>
      </c>
      <c r="J1073" s="1">
        <v>1</v>
      </c>
      <c r="K1073" s="1">
        <v>0</v>
      </c>
    </row>
    <row r="1074" spans="1:11" x14ac:dyDescent="0.2">
      <c r="A1074" s="1" t="s">
        <v>342</v>
      </c>
      <c r="B1074" s="1" t="s">
        <v>1014</v>
      </c>
      <c r="C1074" s="1" t="str">
        <f>"66298832455586"</f>
        <v>66298832455586</v>
      </c>
      <c r="D1074" s="1" t="str">
        <f>"91105-KW3-003JP"</f>
        <v>91105-KW3-003JP</v>
      </c>
      <c r="E1074" s="1" t="s">
        <v>17</v>
      </c>
      <c r="F1074" s="1">
        <v>3</v>
      </c>
      <c r="G1074" s="1">
        <v>1159</v>
      </c>
      <c r="H1074" s="1">
        <v>3477</v>
      </c>
      <c r="I1074" s="1">
        <v>0</v>
      </c>
      <c r="J1074" s="1">
        <v>3</v>
      </c>
      <c r="K1074" s="1">
        <v>0</v>
      </c>
    </row>
    <row r="1075" spans="1:11" x14ac:dyDescent="0.2">
      <c r="A1075" s="1" t="s">
        <v>342</v>
      </c>
      <c r="B1075" s="1" t="s">
        <v>1014</v>
      </c>
      <c r="C1075" s="1" t="str">
        <f>"66298832463486"</f>
        <v>66298832463486</v>
      </c>
      <c r="D1075" s="1" t="str">
        <f>"91105-KPF-900JP"</f>
        <v>91105-KPF-900JP</v>
      </c>
      <c r="E1075" s="1" t="s">
        <v>17</v>
      </c>
      <c r="F1075" s="1">
        <v>3</v>
      </c>
      <c r="G1075" s="1">
        <v>1800</v>
      </c>
      <c r="H1075" s="1">
        <v>5400</v>
      </c>
      <c r="I1075" s="1">
        <v>0</v>
      </c>
      <c r="J1075" s="1">
        <v>3</v>
      </c>
      <c r="K1075" s="1">
        <v>0</v>
      </c>
    </row>
    <row r="1076" spans="1:11" x14ac:dyDescent="0.2">
      <c r="A1076" s="1" t="s">
        <v>342</v>
      </c>
      <c r="B1076" s="1" t="s">
        <v>1015</v>
      </c>
      <c r="C1076" s="1" t="str">
        <f>"66298832524296"</f>
        <v>66298832524296</v>
      </c>
      <c r="D1076" s="1" t="str">
        <f>"91101-KGH-901JP"</f>
        <v>91101-KGH-901JP</v>
      </c>
      <c r="E1076" s="1" t="s">
        <v>17</v>
      </c>
      <c r="F1076" s="1">
        <v>3</v>
      </c>
      <c r="G1076" s="1">
        <v>1086</v>
      </c>
      <c r="H1076" s="1">
        <v>3258</v>
      </c>
      <c r="I1076" s="1">
        <v>0</v>
      </c>
      <c r="J1076" s="1">
        <v>3</v>
      </c>
      <c r="K1076" s="1">
        <v>0</v>
      </c>
    </row>
    <row r="1077" spans="1:11" x14ac:dyDescent="0.2">
      <c r="A1077" s="1" t="s">
        <v>98</v>
      </c>
      <c r="B1077" s="1" t="s">
        <v>1016</v>
      </c>
      <c r="C1077" s="1" t="str">
        <f>"66298832567258"</f>
        <v>66298832567258</v>
      </c>
      <c r="D1077" s="1" t="str">
        <f>"CE009"</f>
        <v>CE009</v>
      </c>
      <c r="E1077" s="1" t="s">
        <v>17</v>
      </c>
      <c r="F1077" s="1">
        <v>8</v>
      </c>
      <c r="G1077" s="1">
        <v>865</v>
      </c>
      <c r="H1077" s="1">
        <v>6920</v>
      </c>
      <c r="I1077" s="1">
        <v>0</v>
      </c>
      <c r="J1077" s="1">
        <v>8</v>
      </c>
      <c r="K1077" s="1">
        <v>0</v>
      </c>
    </row>
    <row r="1078" spans="1:11" x14ac:dyDescent="0.2">
      <c r="A1078" s="1" t="s">
        <v>1017</v>
      </c>
      <c r="B1078" s="1" t="s">
        <v>1018</v>
      </c>
      <c r="C1078" s="1" t="str">
        <f>"C-420"</f>
        <v>C-420</v>
      </c>
      <c r="D1078" s="1" t="str">
        <f>"C-420"</f>
        <v>C-420</v>
      </c>
      <c r="E1078" s="1" t="s">
        <v>17</v>
      </c>
      <c r="F1078" s="1">
        <v>3</v>
      </c>
      <c r="G1078" s="1">
        <v>299.43</v>
      </c>
      <c r="H1078" s="1">
        <v>898</v>
      </c>
      <c r="I1078" s="1">
        <v>0</v>
      </c>
      <c r="J1078" s="1">
        <v>3</v>
      </c>
      <c r="K1078" s="1">
        <v>0</v>
      </c>
    </row>
    <row r="1079" spans="1:11" x14ac:dyDescent="0.2">
      <c r="A1079" s="1" t="s">
        <v>1017</v>
      </c>
      <c r="B1079" s="1" t="s">
        <v>1019</v>
      </c>
      <c r="C1079" s="1" t="str">
        <f>"C-428"</f>
        <v>C-428</v>
      </c>
      <c r="D1079" s="1" t="str">
        <f>"C-428"</f>
        <v>C-428</v>
      </c>
      <c r="E1079" s="1" t="s">
        <v>17</v>
      </c>
      <c r="F1079" s="1">
        <v>18</v>
      </c>
      <c r="G1079" s="1">
        <v>299.43</v>
      </c>
      <c r="H1079" s="1">
        <v>5390</v>
      </c>
      <c r="I1079" s="1">
        <v>0</v>
      </c>
      <c r="J1079" s="1">
        <v>18</v>
      </c>
      <c r="K1079" s="1">
        <v>0</v>
      </c>
    </row>
    <row r="1080" spans="1:11" x14ac:dyDescent="0.2">
      <c r="A1080" s="1" t="s">
        <v>1017</v>
      </c>
      <c r="B1080" s="1" t="s">
        <v>1020</v>
      </c>
      <c r="C1080" s="1" t="str">
        <f>"66298832609459"</f>
        <v>66298832609459</v>
      </c>
      <c r="D1080" s="1" t="str">
        <f>"NB005"</f>
        <v>NB005</v>
      </c>
      <c r="E1080" s="1" t="s">
        <v>17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</row>
    <row r="1081" spans="1:11" x14ac:dyDescent="0.2">
      <c r="A1081" s="1" t="s">
        <v>829</v>
      </c>
      <c r="B1081" s="1" t="s">
        <v>1021</v>
      </c>
      <c r="C1081" s="1" t="str">
        <f>"100000M223"</f>
        <v>100000M223</v>
      </c>
      <c r="D1081" s="1" t="str">
        <f>"100000M223"</f>
        <v>100000M223</v>
      </c>
      <c r="E1081" s="1" t="s">
        <v>17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</row>
    <row r="1082" spans="1:11" x14ac:dyDescent="0.2">
      <c r="A1082" s="1" t="s">
        <v>1017</v>
      </c>
      <c r="B1082" s="1" t="s">
        <v>1022</v>
      </c>
      <c r="C1082" s="1" t="str">
        <f>"66298832653195"</f>
        <v>66298832653195</v>
      </c>
      <c r="D1082" s="1" t="str">
        <f>"207"</f>
        <v>207</v>
      </c>
      <c r="E1082" s="1" t="s">
        <v>17</v>
      </c>
      <c r="F1082" s="1">
        <v>1</v>
      </c>
      <c r="G1082" s="1">
        <v>2529</v>
      </c>
      <c r="H1082" s="1">
        <v>2529</v>
      </c>
      <c r="I1082" s="1">
        <v>0</v>
      </c>
      <c r="J1082" s="1">
        <v>1</v>
      </c>
      <c r="K1082" s="1">
        <v>0</v>
      </c>
    </row>
    <row r="1083" spans="1:11" ht="30" x14ac:dyDescent="0.2">
      <c r="A1083" s="1" t="s">
        <v>18</v>
      </c>
      <c r="B1083" s="1" t="s">
        <v>1023</v>
      </c>
      <c r="C1083" s="1" t="str">
        <f>"17793"</f>
        <v>17793</v>
      </c>
      <c r="D1083" s="1" t="str">
        <f>"17793"</f>
        <v>17793</v>
      </c>
      <c r="E1083" s="1" t="s">
        <v>17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</row>
    <row r="1084" spans="1:11" ht="30" x14ac:dyDescent="0.2">
      <c r="A1084" s="1" t="s">
        <v>18</v>
      </c>
      <c r="B1084" s="1" t="s">
        <v>1024</v>
      </c>
      <c r="C1084" s="1" t="str">
        <f>"18285"</f>
        <v>18285</v>
      </c>
      <c r="D1084" s="1" t="str">
        <f>"18285"</f>
        <v>18285</v>
      </c>
      <c r="E1084" s="1" t="s">
        <v>17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</row>
    <row r="1085" spans="1:11" ht="30" x14ac:dyDescent="0.2">
      <c r="A1085" s="1" t="s">
        <v>18</v>
      </c>
      <c r="B1085" s="1" t="s">
        <v>1025</v>
      </c>
      <c r="C1085" s="1" t="str">
        <f>"18288"</f>
        <v>18288</v>
      </c>
      <c r="D1085" s="1" t="str">
        <f>"18288"</f>
        <v>18288</v>
      </c>
      <c r="E1085" s="1" t="s">
        <v>17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</row>
    <row r="1086" spans="1:11" ht="30" x14ac:dyDescent="0.2">
      <c r="A1086" s="1" t="s">
        <v>18</v>
      </c>
      <c r="B1086" s="1" t="s">
        <v>1026</v>
      </c>
      <c r="C1086" s="1" t="str">
        <f>"18290"</f>
        <v>18290</v>
      </c>
      <c r="D1086" s="1" t="str">
        <f>"18290"</f>
        <v>18290</v>
      </c>
      <c r="E1086" s="1" t="s">
        <v>17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</row>
    <row r="1087" spans="1:11" ht="30" x14ac:dyDescent="0.2">
      <c r="A1087" s="1" t="s">
        <v>18</v>
      </c>
      <c r="B1087" s="1" t="s">
        <v>1027</v>
      </c>
      <c r="C1087" s="1" t="str">
        <f>"18314"</f>
        <v>18314</v>
      </c>
      <c r="D1087" s="1" t="str">
        <f>"18314"</f>
        <v>18314</v>
      </c>
      <c r="E1087" s="1" t="s">
        <v>17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</row>
    <row r="1088" spans="1:11" x14ac:dyDescent="0.2">
      <c r="A1088" s="1" t="s">
        <v>18</v>
      </c>
      <c r="B1088" s="1" t="s">
        <v>1028</v>
      </c>
      <c r="C1088" s="1" t="str">
        <f>"66298832695353"</f>
        <v>66298832695353</v>
      </c>
      <c r="D1088" s="1" t="str">
        <f>"676-AMARILLO"</f>
        <v>676-AMARILLO</v>
      </c>
      <c r="E1088" s="1" t="s">
        <v>17</v>
      </c>
      <c r="F1088" s="1">
        <v>1</v>
      </c>
      <c r="G1088" s="1">
        <v>3352</v>
      </c>
      <c r="H1088" s="1">
        <v>3352</v>
      </c>
      <c r="I1088" s="1">
        <v>0</v>
      </c>
      <c r="J1088" s="1">
        <v>1</v>
      </c>
      <c r="K1088" s="1">
        <v>0</v>
      </c>
    </row>
    <row r="1089" spans="1:11" x14ac:dyDescent="0.2">
      <c r="A1089" s="1" t="s">
        <v>18</v>
      </c>
      <c r="B1089" s="1" t="s">
        <v>1029</v>
      </c>
      <c r="C1089" s="1" t="str">
        <f>"66298832733578"</f>
        <v>66298832733578</v>
      </c>
      <c r="D1089" s="1" t="str">
        <f>"676-ROJO"</f>
        <v>676-ROJO</v>
      </c>
      <c r="E1089" s="1" t="s">
        <v>17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</row>
    <row r="1090" spans="1:11" ht="30" x14ac:dyDescent="0.2">
      <c r="A1090" s="1" t="s">
        <v>18</v>
      </c>
      <c r="B1090" s="1" t="s">
        <v>1030</v>
      </c>
      <c r="C1090" s="1" t="str">
        <f>"127126-FLUOR"</f>
        <v>127126-FLUOR</v>
      </c>
      <c r="D1090" s="1" t="str">
        <f>"127126-FLUOR"</f>
        <v>127126-FLUOR</v>
      </c>
      <c r="E1090" s="1" t="s">
        <v>17</v>
      </c>
      <c r="F1090" s="1">
        <v>5</v>
      </c>
      <c r="G1090" s="1">
        <v>8824</v>
      </c>
      <c r="H1090" s="1">
        <v>44120</v>
      </c>
      <c r="I1090" s="1">
        <v>0</v>
      </c>
      <c r="J1090" s="1">
        <v>5</v>
      </c>
      <c r="K1090" s="1">
        <v>0</v>
      </c>
    </row>
    <row r="1091" spans="1:11" ht="30" x14ac:dyDescent="0.2">
      <c r="A1091" s="1" t="s">
        <v>18</v>
      </c>
      <c r="B1091" s="1" t="s">
        <v>1031</v>
      </c>
      <c r="C1091" s="1" t="str">
        <f>"127126-ROJO"</f>
        <v>127126-ROJO</v>
      </c>
      <c r="D1091" s="1" t="str">
        <f>"127126-ROJO"</f>
        <v>127126-ROJO</v>
      </c>
      <c r="E1091" s="1" t="s">
        <v>17</v>
      </c>
      <c r="F1091" s="1">
        <v>1</v>
      </c>
      <c r="G1091" s="1">
        <v>8824</v>
      </c>
      <c r="H1091" s="1">
        <v>8824</v>
      </c>
      <c r="I1091" s="1">
        <v>0</v>
      </c>
      <c r="J1091" s="1">
        <v>1</v>
      </c>
      <c r="K1091" s="1">
        <v>0</v>
      </c>
    </row>
    <row r="1092" spans="1:11" x14ac:dyDescent="0.2">
      <c r="A1092" s="1" t="s">
        <v>18</v>
      </c>
      <c r="B1092" s="1" t="s">
        <v>1032</v>
      </c>
      <c r="C1092" s="1" t="str">
        <f>"AE003"</f>
        <v>AE003</v>
      </c>
      <c r="D1092" s="1" t="str">
        <f>"AE003"</f>
        <v>AE003</v>
      </c>
      <c r="E1092" s="1" t="s">
        <v>17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</row>
    <row r="1093" spans="1:11" x14ac:dyDescent="0.2">
      <c r="A1093" s="1" t="s">
        <v>18</v>
      </c>
      <c r="B1093" s="1" t="s">
        <v>1032</v>
      </c>
      <c r="C1093" s="1" t="str">
        <f>"817-C"</f>
        <v>817-C</v>
      </c>
      <c r="D1093" s="1" t="str">
        <f>"817-C"</f>
        <v>817-C</v>
      </c>
      <c r="E1093" s="1" t="s">
        <v>17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</row>
    <row r="1094" spans="1:11" x14ac:dyDescent="0.2">
      <c r="A1094" s="1" t="s">
        <v>18</v>
      </c>
      <c r="B1094" s="1" t="s">
        <v>1032</v>
      </c>
      <c r="C1094" s="1" t="str">
        <f>"681"</f>
        <v>681</v>
      </c>
      <c r="D1094" s="1" t="str">
        <f>"681"</f>
        <v>681</v>
      </c>
      <c r="E1094" s="1" t="s">
        <v>17</v>
      </c>
      <c r="F1094" s="1">
        <v>2</v>
      </c>
      <c r="G1094" s="1">
        <v>6714.29</v>
      </c>
      <c r="H1094" s="1">
        <v>13429</v>
      </c>
      <c r="I1094" s="1">
        <v>0</v>
      </c>
      <c r="J1094" s="1">
        <v>2</v>
      </c>
      <c r="K1094" s="1">
        <v>0</v>
      </c>
    </row>
    <row r="1095" spans="1:11" x14ac:dyDescent="0.2">
      <c r="A1095" s="1" t="s">
        <v>18</v>
      </c>
      <c r="B1095" s="1" t="s">
        <v>1032</v>
      </c>
      <c r="C1095" s="1" t="str">
        <f>"LK603"</f>
        <v>LK603</v>
      </c>
      <c r="D1095" s="1" t="str">
        <f>"LK603"</f>
        <v>LK603</v>
      </c>
      <c r="E1095" s="1" t="s">
        <v>17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</row>
    <row r="1096" spans="1:11" x14ac:dyDescent="0.2">
      <c r="A1096" s="1" t="s">
        <v>1017</v>
      </c>
      <c r="B1096" s="1" t="s">
        <v>1033</v>
      </c>
      <c r="C1096" s="1" t="str">
        <f>"66298832774091"</f>
        <v>66298832774091</v>
      </c>
      <c r="D1096" s="1" t="str">
        <f>"AE005"</f>
        <v>AE005</v>
      </c>
      <c r="E1096" s="1" t="s">
        <v>17</v>
      </c>
      <c r="F1096" s="1">
        <v>2</v>
      </c>
      <c r="G1096" s="1">
        <v>5561</v>
      </c>
      <c r="H1096" s="1">
        <v>11122</v>
      </c>
      <c r="I1096" s="1">
        <v>0</v>
      </c>
      <c r="J1096" s="1">
        <v>2</v>
      </c>
      <c r="K1096" s="1">
        <v>0</v>
      </c>
    </row>
    <row r="1097" spans="1:11" x14ac:dyDescent="0.2">
      <c r="A1097" s="1" t="s">
        <v>1017</v>
      </c>
      <c r="B1097" s="1" t="s">
        <v>1034</v>
      </c>
      <c r="C1097" s="1" t="str">
        <f>"66298832814606"</f>
        <v>66298832814606</v>
      </c>
      <c r="D1097" s="1" t="str">
        <f>"AE008-AZUL"</f>
        <v>AE008-AZUL</v>
      </c>
      <c r="E1097" s="1" t="s">
        <v>17</v>
      </c>
      <c r="F1097" s="1">
        <v>1</v>
      </c>
      <c r="G1097" s="1">
        <v>10649</v>
      </c>
      <c r="H1097" s="1">
        <v>10649</v>
      </c>
      <c r="I1097" s="1">
        <v>0</v>
      </c>
      <c r="J1097" s="1">
        <v>1</v>
      </c>
      <c r="K1097" s="1">
        <v>0</v>
      </c>
    </row>
    <row r="1098" spans="1:11" x14ac:dyDescent="0.2">
      <c r="A1098" s="1" t="s">
        <v>1017</v>
      </c>
      <c r="B1098" s="1" t="s">
        <v>1035</v>
      </c>
      <c r="C1098" s="1" t="str">
        <f>"66298832852479"</f>
        <v>66298832852479</v>
      </c>
      <c r="D1098" s="1" t="str">
        <f>"AE008-CROMADO"</f>
        <v>AE008-CROMADO</v>
      </c>
      <c r="E1098" s="1" t="s">
        <v>17</v>
      </c>
      <c r="F1098" s="1">
        <v>2</v>
      </c>
      <c r="G1098" s="1">
        <v>10649</v>
      </c>
      <c r="H1098" s="1">
        <v>21298</v>
      </c>
      <c r="I1098" s="1">
        <v>0</v>
      </c>
      <c r="J1098" s="1">
        <v>2</v>
      </c>
      <c r="K1098" s="1">
        <v>0</v>
      </c>
    </row>
    <row r="1099" spans="1:11" x14ac:dyDescent="0.2">
      <c r="A1099" s="1" t="s">
        <v>1017</v>
      </c>
      <c r="B1099" s="1" t="s">
        <v>1036</v>
      </c>
      <c r="C1099" s="1" t="str">
        <f>"66298832890476"</f>
        <v>66298832890476</v>
      </c>
      <c r="D1099" s="1" t="str">
        <f>"AE008-DORADO"</f>
        <v>AE008-DORADO</v>
      </c>
      <c r="E1099" s="1" t="s">
        <v>17</v>
      </c>
      <c r="F1099" s="1">
        <v>2</v>
      </c>
      <c r="G1099" s="1">
        <v>10649</v>
      </c>
      <c r="H1099" s="1">
        <v>21298</v>
      </c>
      <c r="I1099" s="1">
        <v>0</v>
      </c>
      <c r="J1099" s="1">
        <v>2</v>
      </c>
      <c r="K1099" s="1">
        <v>0</v>
      </c>
    </row>
    <row r="1100" spans="1:11" x14ac:dyDescent="0.2">
      <c r="A1100" s="1" t="s">
        <v>1017</v>
      </c>
      <c r="B1100" s="1" t="s">
        <v>1037</v>
      </c>
      <c r="C1100" s="1" t="str">
        <f>"66298832936447"</f>
        <v>66298832936447</v>
      </c>
      <c r="D1100" s="1" t="str">
        <f>"AE008-NEGRO"</f>
        <v>AE008-NEGRO</v>
      </c>
      <c r="E1100" s="1" t="s">
        <v>17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</row>
    <row r="1101" spans="1:11" x14ac:dyDescent="0.2">
      <c r="A1101" s="1" t="s">
        <v>1017</v>
      </c>
      <c r="B1101" s="1" t="s">
        <v>1038</v>
      </c>
      <c r="C1101" s="1" t="str">
        <f>"66298832981775"</f>
        <v>66298832981775</v>
      </c>
      <c r="D1101" s="1" t="str">
        <f>"AE008-ROJO"</f>
        <v>AE008-ROJO</v>
      </c>
      <c r="E1101" s="1" t="s">
        <v>17</v>
      </c>
      <c r="F1101" s="1">
        <v>1</v>
      </c>
      <c r="G1101" s="1">
        <v>10649</v>
      </c>
      <c r="H1101" s="1">
        <v>10649</v>
      </c>
      <c r="I1101" s="1">
        <v>0</v>
      </c>
      <c r="J1101" s="1">
        <v>1</v>
      </c>
      <c r="K1101" s="1">
        <v>0</v>
      </c>
    </row>
    <row r="1102" spans="1:11" x14ac:dyDescent="0.2">
      <c r="A1102" s="1" t="s">
        <v>1017</v>
      </c>
      <c r="B1102" s="1" t="s">
        <v>1039</v>
      </c>
      <c r="C1102" s="1" t="str">
        <f>"66298833029480"</f>
        <v>66298833029480</v>
      </c>
      <c r="D1102" s="1" t="str">
        <f>"AE008-A"</f>
        <v>AE008-A</v>
      </c>
      <c r="E1102" s="1" t="s">
        <v>17</v>
      </c>
      <c r="F1102" s="1">
        <v>6</v>
      </c>
      <c r="G1102" s="1">
        <v>5906</v>
      </c>
      <c r="H1102" s="1">
        <v>35436</v>
      </c>
      <c r="I1102" s="1">
        <v>0</v>
      </c>
      <c r="J1102" s="1">
        <v>6</v>
      </c>
      <c r="K1102" s="1">
        <v>0</v>
      </c>
    </row>
    <row r="1103" spans="1:11" ht="30" x14ac:dyDescent="0.2">
      <c r="A1103" s="1" t="s">
        <v>1040</v>
      </c>
      <c r="B1103" s="1" t="s">
        <v>1041</v>
      </c>
      <c r="C1103" s="1" t="str">
        <f>"66298833069290"</f>
        <v>66298833069290</v>
      </c>
      <c r="D1103" s="1" t="str">
        <f>"400672"</f>
        <v>400672</v>
      </c>
      <c r="E1103" s="1" t="s">
        <v>17</v>
      </c>
      <c r="F1103" s="1">
        <v>20</v>
      </c>
      <c r="G1103" s="1">
        <v>223</v>
      </c>
      <c r="H1103" s="1">
        <v>4460</v>
      </c>
      <c r="I1103" s="1">
        <v>0</v>
      </c>
      <c r="J1103" s="1">
        <v>20</v>
      </c>
      <c r="K1103" s="1">
        <v>0</v>
      </c>
    </row>
    <row r="1104" spans="1:11" ht="30" x14ac:dyDescent="0.2">
      <c r="A1104" s="1" t="s">
        <v>1040</v>
      </c>
      <c r="B1104" s="1" t="s">
        <v>1042</v>
      </c>
      <c r="C1104" s="1" t="str">
        <f>"66298833110945"</f>
        <v>66298833110945</v>
      </c>
      <c r="D1104" s="1" t="str">
        <f>"400668"</f>
        <v>400668</v>
      </c>
      <c r="E1104" s="1" t="s">
        <v>17</v>
      </c>
      <c r="F1104" s="1">
        <v>4</v>
      </c>
      <c r="G1104" s="1">
        <v>618</v>
      </c>
      <c r="H1104" s="1">
        <v>2472</v>
      </c>
      <c r="I1104" s="1">
        <v>0</v>
      </c>
      <c r="J1104" s="1">
        <v>4</v>
      </c>
      <c r="K1104" s="1">
        <v>0</v>
      </c>
    </row>
    <row r="1105" spans="1:11" x14ac:dyDescent="0.2">
      <c r="A1105" s="1" t="s">
        <v>1040</v>
      </c>
      <c r="B1105" s="1" t="s">
        <v>1043</v>
      </c>
      <c r="C1105" s="1" t="str">
        <f>"66298833155004"</f>
        <v>66298833155004</v>
      </c>
      <c r="D1105" s="1" t="str">
        <f>"400675"</f>
        <v>400675</v>
      </c>
      <c r="E1105" s="1" t="s">
        <v>17</v>
      </c>
      <c r="F1105" s="1">
        <v>45</v>
      </c>
      <c r="G1105" s="1">
        <v>220</v>
      </c>
      <c r="H1105" s="1">
        <v>9900</v>
      </c>
      <c r="I1105" s="1">
        <v>0</v>
      </c>
      <c r="J1105" s="1">
        <v>45</v>
      </c>
      <c r="K1105" s="1">
        <v>0</v>
      </c>
    </row>
    <row r="1106" spans="1:11" x14ac:dyDescent="0.2">
      <c r="A1106" s="1" t="s">
        <v>1040</v>
      </c>
      <c r="B1106" s="1" t="s">
        <v>1044</v>
      </c>
      <c r="C1106" s="1" t="str">
        <f>"66298833206042"</f>
        <v>66298833206042</v>
      </c>
      <c r="D1106" s="1" t="str">
        <f>"400674"</f>
        <v>400674</v>
      </c>
      <c r="E1106" s="1" t="s">
        <v>17</v>
      </c>
      <c r="F1106" s="1">
        <v>69</v>
      </c>
      <c r="G1106" s="1">
        <v>226</v>
      </c>
      <c r="H1106" s="1">
        <v>15594</v>
      </c>
      <c r="I1106" s="1">
        <v>0</v>
      </c>
      <c r="J1106" s="1">
        <v>69</v>
      </c>
      <c r="K1106" s="1">
        <v>0</v>
      </c>
    </row>
    <row r="1107" spans="1:11" ht="30" x14ac:dyDescent="0.2">
      <c r="A1107" s="1" t="s">
        <v>1040</v>
      </c>
      <c r="B1107" s="1" t="s">
        <v>1045</v>
      </c>
      <c r="C1107" s="1" t="str">
        <f>"66298833243993"</f>
        <v>66298833243993</v>
      </c>
      <c r="D1107" s="1" t="str">
        <f>"400669"</f>
        <v>400669</v>
      </c>
      <c r="E1107" s="1" t="s">
        <v>17</v>
      </c>
      <c r="F1107" s="1">
        <v>48</v>
      </c>
      <c r="G1107" s="1">
        <v>326</v>
      </c>
      <c r="H1107" s="1">
        <v>15648</v>
      </c>
      <c r="I1107" s="1">
        <v>0</v>
      </c>
      <c r="J1107" s="1">
        <v>48</v>
      </c>
      <c r="K1107" s="1">
        <v>0</v>
      </c>
    </row>
    <row r="1108" spans="1:11" x14ac:dyDescent="0.2">
      <c r="A1108" s="1" t="s">
        <v>1040</v>
      </c>
      <c r="B1108" s="1" t="s">
        <v>1046</v>
      </c>
      <c r="C1108" s="1" t="str">
        <f>"66298833286696"</f>
        <v>66298833286696</v>
      </c>
      <c r="D1108" s="1" t="str">
        <f>"400670"</f>
        <v>400670</v>
      </c>
      <c r="E1108" s="1" t="s">
        <v>17</v>
      </c>
      <c r="F1108" s="1">
        <v>114</v>
      </c>
      <c r="G1108" s="1">
        <v>449</v>
      </c>
      <c r="H1108" s="1">
        <v>51186</v>
      </c>
      <c r="I1108" s="1">
        <v>0</v>
      </c>
      <c r="J1108" s="1">
        <v>114</v>
      </c>
      <c r="K1108" s="1">
        <v>0</v>
      </c>
    </row>
    <row r="1109" spans="1:11" ht="30" x14ac:dyDescent="0.2">
      <c r="A1109" s="1" t="s">
        <v>1040</v>
      </c>
      <c r="B1109" s="1" t="s">
        <v>1047</v>
      </c>
      <c r="C1109" s="1" t="str">
        <f>"66298833325312"</f>
        <v>66298833325312</v>
      </c>
      <c r="D1109" s="1" t="str">
        <f>"400671"</f>
        <v>400671</v>
      </c>
      <c r="E1109" s="1" t="s">
        <v>17</v>
      </c>
      <c r="F1109" s="1">
        <v>42</v>
      </c>
      <c r="G1109" s="1">
        <v>179</v>
      </c>
      <c r="H1109" s="1">
        <v>7518</v>
      </c>
      <c r="I1109" s="1">
        <v>0</v>
      </c>
      <c r="J1109" s="1">
        <v>42</v>
      </c>
      <c r="K1109" s="1">
        <v>0</v>
      </c>
    </row>
    <row r="1110" spans="1:11" x14ac:dyDescent="0.2">
      <c r="A1110" s="1" t="s">
        <v>1048</v>
      </c>
      <c r="B1110" s="1" t="s">
        <v>1049</v>
      </c>
      <c r="C1110" s="1" t="str">
        <f>"X023"</f>
        <v>X023</v>
      </c>
      <c r="D1110" s="1" t="str">
        <f>"X023"</f>
        <v>X023</v>
      </c>
      <c r="E1110" s="1" t="s">
        <v>17</v>
      </c>
      <c r="F1110" s="1">
        <v>1</v>
      </c>
      <c r="G1110" s="1">
        <v>33613.5</v>
      </c>
      <c r="H1110" s="1">
        <v>33614</v>
      </c>
      <c r="I1110" s="1">
        <v>0</v>
      </c>
      <c r="J1110" s="1">
        <v>1</v>
      </c>
      <c r="K1110" s="1">
        <v>0</v>
      </c>
    </row>
    <row r="1111" spans="1:11" x14ac:dyDescent="0.2">
      <c r="A1111" s="1" t="s">
        <v>1050</v>
      </c>
      <c r="B1111" s="1" t="s">
        <v>1051</v>
      </c>
      <c r="C1111" s="1" t="str">
        <f>"66298833406251"</f>
        <v>66298833406251</v>
      </c>
      <c r="D1111" s="1" t="str">
        <f>"400574"</f>
        <v>400574</v>
      </c>
      <c r="E1111" s="1" t="s">
        <v>17</v>
      </c>
      <c r="F1111" s="1">
        <v>8</v>
      </c>
      <c r="G1111" s="1">
        <v>7443</v>
      </c>
      <c r="H1111" s="1">
        <v>59544</v>
      </c>
      <c r="I1111" s="1">
        <v>0</v>
      </c>
      <c r="J1111" s="1">
        <v>8</v>
      </c>
      <c r="K1111" s="1">
        <v>0</v>
      </c>
    </row>
    <row r="1112" spans="1:11" x14ac:dyDescent="0.2">
      <c r="A1112" s="1" t="s">
        <v>1050</v>
      </c>
      <c r="B1112" s="1" t="s">
        <v>1052</v>
      </c>
      <c r="C1112" s="1" t="str">
        <f>"66298833365851"</f>
        <v>66298833365851</v>
      </c>
      <c r="D1112" s="1" t="str">
        <f>"400535"</f>
        <v>400535</v>
      </c>
      <c r="E1112" s="1" t="s">
        <v>17</v>
      </c>
      <c r="F1112" s="1">
        <v>4</v>
      </c>
      <c r="G1112" s="1">
        <v>6626</v>
      </c>
      <c r="H1112" s="1">
        <v>26504</v>
      </c>
      <c r="I1112" s="1">
        <v>0</v>
      </c>
      <c r="J1112" s="1">
        <v>4</v>
      </c>
      <c r="K1112" s="1">
        <v>0</v>
      </c>
    </row>
    <row r="1113" spans="1:11" x14ac:dyDescent="0.2">
      <c r="A1113" s="1" t="s">
        <v>1050</v>
      </c>
      <c r="B1113" s="1" t="s">
        <v>1053</v>
      </c>
      <c r="C1113" s="1" t="str">
        <f>"66298833448615"</f>
        <v>66298833448615</v>
      </c>
      <c r="D1113" s="1" t="str">
        <f>"400538"</f>
        <v>400538</v>
      </c>
      <c r="E1113" s="1" t="s">
        <v>17</v>
      </c>
      <c r="F1113" s="1">
        <v>7</v>
      </c>
      <c r="G1113" s="1">
        <v>21120</v>
      </c>
      <c r="H1113" s="1">
        <v>147840</v>
      </c>
      <c r="I1113" s="1">
        <v>0</v>
      </c>
      <c r="J1113" s="1">
        <v>7</v>
      </c>
      <c r="K1113" s="1">
        <v>0</v>
      </c>
    </row>
    <row r="1114" spans="1:11" x14ac:dyDescent="0.2">
      <c r="A1114" s="1" t="s">
        <v>1050</v>
      </c>
      <c r="B1114" s="1" t="s">
        <v>1054</v>
      </c>
      <c r="C1114" s="1" t="str">
        <f>"66298833490218"</f>
        <v>66298833490218</v>
      </c>
      <c r="D1114" s="1" t="str">
        <f>"JPC1801-068"</f>
        <v>JPC1801-068</v>
      </c>
      <c r="E1114" s="1" t="s">
        <v>17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</row>
    <row r="1115" spans="1:11" x14ac:dyDescent="0.2">
      <c r="A1115" s="1" t="s">
        <v>1050</v>
      </c>
      <c r="B1115" s="1" t="s">
        <v>1055</v>
      </c>
      <c r="C1115" s="1" t="str">
        <f>"66298833527824"</f>
        <v>66298833527824</v>
      </c>
      <c r="D1115" s="1" t="str">
        <f>"JPC1801-069"</f>
        <v>JPC1801-069</v>
      </c>
      <c r="E1115" s="1" t="s">
        <v>17</v>
      </c>
      <c r="F1115" s="1">
        <v>1</v>
      </c>
      <c r="G1115" s="1">
        <v>34076</v>
      </c>
      <c r="H1115" s="1">
        <v>34076</v>
      </c>
      <c r="I1115" s="1">
        <v>0</v>
      </c>
      <c r="J1115" s="1">
        <v>1</v>
      </c>
      <c r="K1115" s="1">
        <v>0</v>
      </c>
    </row>
    <row r="1116" spans="1:11" x14ac:dyDescent="0.2">
      <c r="A1116" s="1" t="s">
        <v>1050</v>
      </c>
      <c r="B1116" s="1" t="s">
        <v>1056</v>
      </c>
      <c r="C1116" s="1" t="str">
        <f>"66298833606495"</f>
        <v>66298833606495</v>
      </c>
      <c r="D1116" s="1" t="str">
        <f>"400539"</f>
        <v>400539</v>
      </c>
      <c r="E1116" s="1" t="s">
        <v>17</v>
      </c>
      <c r="F1116" s="1">
        <v>2</v>
      </c>
      <c r="G1116" s="1">
        <v>11398</v>
      </c>
      <c r="H1116" s="1">
        <v>22796</v>
      </c>
      <c r="I1116" s="1">
        <v>0</v>
      </c>
      <c r="J1116" s="1">
        <v>2</v>
      </c>
      <c r="K1116" s="1">
        <v>0</v>
      </c>
    </row>
    <row r="1117" spans="1:11" x14ac:dyDescent="0.2">
      <c r="A1117" s="1" t="s">
        <v>1050</v>
      </c>
      <c r="B1117" s="1" t="s">
        <v>1057</v>
      </c>
      <c r="C1117" s="1" t="str">
        <f>"66298833569296"</f>
        <v>66298833569296</v>
      </c>
      <c r="D1117" s="1" t="str">
        <f>"X032"</f>
        <v>X032</v>
      </c>
      <c r="E1117" s="1" t="s">
        <v>17</v>
      </c>
      <c r="F1117" s="1">
        <v>1</v>
      </c>
      <c r="G1117" s="1">
        <v>19809</v>
      </c>
      <c r="H1117" s="1">
        <v>19809</v>
      </c>
      <c r="I1117" s="1">
        <v>0</v>
      </c>
      <c r="J1117" s="1">
        <v>1</v>
      </c>
      <c r="K1117" s="1">
        <v>0</v>
      </c>
    </row>
    <row r="1118" spans="1:11" x14ac:dyDescent="0.2">
      <c r="A1118" s="1" t="s">
        <v>1050</v>
      </c>
      <c r="B1118" s="1" t="s">
        <v>1058</v>
      </c>
      <c r="C1118" s="1" t="str">
        <f>"X001"</f>
        <v>X001</v>
      </c>
      <c r="D1118" s="1" t="str">
        <f>"X001"</f>
        <v>X001</v>
      </c>
      <c r="E1118" s="1" t="s">
        <v>17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</row>
    <row r="1119" spans="1:11" x14ac:dyDescent="0.2">
      <c r="A1119" s="1" t="s">
        <v>1050</v>
      </c>
      <c r="B1119" s="1" t="s">
        <v>1059</v>
      </c>
      <c r="C1119" s="1" t="str">
        <f>"X018"</f>
        <v>X018</v>
      </c>
      <c r="D1119" s="1" t="str">
        <f>"X018"</f>
        <v>X018</v>
      </c>
      <c r="E1119" s="1" t="s">
        <v>17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</row>
    <row r="1120" spans="1:11" x14ac:dyDescent="0.2">
      <c r="A1120" s="1" t="s">
        <v>1050</v>
      </c>
      <c r="B1120" s="1" t="s">
        <v>1060</v>
      </c>
      <c r="C1120" s="1" t="str">
        <f>"66298833648055"</f>
        <v>66298833648055</v>
      </c>
      <c r="D1120" s="1" t="str">
        <f>"80386"</f>
        <v>80386</v>
      </c>
      <c r="E1120" s="1" t="s">
        <v>17</v>
      </c>
      <c r="F1120" s="1">
        <v>4</v>
      </c>
      <c r="G1120" s="1">
        <v>10928</v>
      </c>
      <c r="H1120" s="1">
        <v>43712</v>
      </c>
      <c r="I1120" s="1">
        <v>0</v>
      </c>
      <c r="J1120" s="1">
        <v>4</v>
      </c>
      <c r="K1120" s="1">
        <v>0</v>
      </c>
    </row>
    <row r="1121" spans="1:11" x14ac:dyDescent="0.2">
      <c r="A1121" s="1" t="s">
        <v>1050</v>
      </c>
      <c r="B1121" s="1" t="s">
        <v>1061</v>
      </c>
      <c r="C1121" s="1" t="str">
        <f>"66298833706346"</f>
        <v>66298833706346</v>
      </c>
      <c r="D1121" s="1" t="str">
        <f>"400540"</f>
        <v>400540</v>
      </c>
      <c r="E1121" s="1" t="s">
        <v>17</v>
      </c>
      <c r="F1121" s="1">
        <v>4</v>
      </c>
      <c r="G1121" s="1">
        <v>6626</v>
      </c>
      <c r="H1121" s="1">
        <v>26504</v>
      </c>
      <c r="I1121" s="1">
        <v>0</v>
      </c>
      <c r="J1121" s="1">
        <v>4</v>
      </c>
      <c r="K1121" s="1">
        <v>0</v>
      </c>
    </row>
    <row r="1122" spans="1:11" x14ac:dyDescent="0.2">
      <c r="A1122" s="1" t="s">
        <v>1050</v>
      </c>
      <c r="B1122" s="1" t="s">
        <v>1062</v>
      </c>
      <c r="C1122" s="1" t="str">
        <f>"66298833749382"</f>
        <v>66298833749382</v>
      </c>
      <c r="D1122" s="1" t="str">
        <f>"X004"</f>
        <v>X004</v>
      </c>
      <c r="E1122" s="1" t="s">
        <v>17</v>
      </c>
      <c r="F1122" s="1">
        <v>4</v>
      </c>
      <c r="G1122" s="1">
        <v>9288</v>
      </c>
      <c r="H1122" s="1">
        <v>37152</v>
      </c>
      <c r="I1122" s="1">
        <v>0</v>
      </c>
      <c r="J1122" s="1">
        <v>4</v>
      </c>
      <c r="K1122" s="1">
        <v>0</v>
      </c>
    </row>
    <row r="1123" spans="1:11" x14ac:dyDescent="0.2">
      <c r="A1123" s="1" t="s">
        <v>1050</v>
      </c>
      <c r="B1123" s="1" t="s">
        <v>1063</v>
      </c>
      <c r="C1123" s="1" t="str">
        <f>"66298833788999"</f>
        <v>66298833788999</v>
      </c>
      <c r="D1123" s="1" t="str">
        <f>"X002"</f>
        <v>X002</v>
      </c>
      <c r="E1123" s="1" t="s">
        <v>17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</row>
    <row r="1124" spans="1:11" x14ac:dyDescent="0.2">
      <c r="A1124" s="1" t="s">
        <v>1050</v>
      </c>
      <c r="B1124" s="1" t="s">
        <v>1064</v>
      </c>
      <c r="C1124" s="1" t="str">
        <f>"66298833874927"</f>
        <v>66298833874927</v>
      </c>
      <c r="D1124" s="1" t="str">
        <f>"400537"</f>
        <v>400537</v>
      </c>
      <c r="E1124" s="1" t="s">
        <v>17</v>
      </c>
      <c r="F1124" s="1">
        <v>4</v>
      </c>
      <c r="G1124" s="1">
        <v>23327</v>
      </c>
      <c r="H1124" s="1">
        <v>93308</v>
      </c>
      <c r="I1124" s="1">
        <v>0</v>
      </c>
      <c r="J1124" s="1">
        <v>4</v>
      </c>
      <c r="K1124" s="1">
        <v>0</v>
      </c>
    </row>
    <row r="1125" spans="1:11" ht="30" x14ac:dyDescent="0.2">
      <c r="A1125" s="1" t="s">
        <v>1050</v>
      </c>
      <c r="B1125" s="1" t="s">
        <v>1065</v>
      </c>
      <c r="C1125" s="1" t="str">
        <f>"X003"</f>
        <v>X003</v>
      </c>
      <c r="D1125" s="1" t="str">
        <f>"X003"</f>
        <v>X003</v>
      </c>
      <c r="E1125" s="1" t="s">
        <v>17</v>
      </c>
      <c r="F1125" s="1">
        <v>1</v>
      </c>
      <c r="G1125" s="1">
        <v>10431</v>
      </c>
      <c r="H1125" s="1">
        <v>10431</v>
      </c>
      <c r="I1125" s="1">
        <v>0</v>
      </c>
      <c r="J1125" s="1">
        <v>1</v>
      </c>
      <c r="K1125" s="1">
        <v>0</v>
      </c>
    </row>
    <row r="1126" spans="1:11" x14ac:dyDescent="0.2">
      <c r="A1126" s="1" t="s">
        <v>1050</v>
      </c>
      <c r="B1126" s="1" t="s">
        <v>1066</v>
      </c>
      <c r="C1126" s="1" t="str">
        <f>"66298833921737"</f>
        <v>66298833921737</v>
      </c>
      <c r="D1126" s="1" t="str">
        <f>"X010"</f>
        <v>X010</v>
      </c>
      <c r="E1126" s="1" t="s">
        <v>17</v>
      </c>
      <c r="F1126" s="1">
        <v>2</v>
      </c>
      <c r="G1126" s="1">
        <v>34875</v>
      </c>
      <c r="H1126" s="1">
        <v>69750</v>
      </c>
      <c r="I1126" s="1">
        <v>0</v>
      </c>
      <c r="J1126" s="1">
        <v>2</v>
      </c>
      <c r="K1126" s="1">
        <v>0</v>
      </c>
    </row>
    <row r="1127" spans="1:11" x14ac:dyDescent="0.2">
      <c r="A1127" s="1" t="s">
        <v>1050</v>
      </c>
      <c r="B1127" s="1" t="s">
        <v>1067</v>
      </c>
      <c r="C1127" s="1" t="str">
        <f>"66298833961003"</f>
        <v>66298833961003</v>
      </c>
      <c r="D1127" s="1" t="str">
        <f>"X008"</f>
        <v>X008</v>
      </c>
      <c r="E1127" s="1" t="s">
        <v>17</v>
      </c>
      <c r="F1127" s="1">
        <v>6</v>
      </c>
      <c r="G1127" s="1">
        <v>9049</v>
      </c>
      <c r="H1127" s="1">
        <v>54294</v>
      </c>
      <c r="I1127" s="1">
        <v>0</v>
      </c>
      <c r="J1127" s="1">
        <v>6</v>
      </c>
      <c r="K1127" s="1">
        <v>0</v>
      </c>
    </row>
    <row r="1128" spans="1:11" x14ac:dyDescent="0.2">
      <c r="A1128" s="1" t="s">
        <v>1050</v>
      </c>
      <c r="B1128" s="1" t="s">
        <v>1068</v>
      </c>
      <c r="C1128" s="1" t="str">
        <f>"X012"</f>
        <v>X012</v>
      </c>
      <c r="D1128" s="1" t="str">
        <f>"X012"</f>
        <v>X012</v>
      </c>
      <c r="E1128" s="1" t="s">
        <v>17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</row>
    <row r="1129" spans="1:11" x14ac:dyDescent="0.2">
      <c r="A1129" s="1" t="s">
        <v>1050</v>
      </c>
      <c r="B1129" s="1" t="s">
        <v>1069</v>
      </c>
      <c r="C1129" s="1" t="str">
        <f>"66298834008330"</f>
        <v>66298834008330</v>
      </c>
      <c r="D1129" s="1" t="str">
        <f>"400534"</f>
        <v>400534</v>
      </c>
      <c r="E1129" s="1" t="s">
        <v>17</v>
      </c>
      <c r="F1129" s="1">
        <v>4</v>
      </c>
      <c r="G1129" s="1">
        <v>17657</v>
      </c>
      <c r="H1129" s="1">
        <v>70628</v>
      </c>
      <c r="I1129" s="1">
        <v>0</v>
      </c>
      <c r="J1129" s="1">
        <v>4</v>
      </c>
      <c r="K1129" s="1">
        <v>0</v>
      </c>
    </row>
    <row r="1130" spans="1:11" x14ac:dyDescent="0.2">
      <c r="A1130" s="1" t="s">
        <v>1050</v>
      </c>
      <c r="B1130" s="1" t="s">
        <v>1070</v>
      </c>
      <c r="C1130" s="1" t="str">
        <f>"66298834055172"</f>
        <v>66298834055172</v>
      </c>
      <c r="D1130" s="1" t="str">
        <f>"X030"</f>
        <v>X030</v>
      </c>
      <c r="E1130" s="1" t="s">
        <v>17</v>
      </c>
      <c r="F1130" s="1">
        <v>3</v>
      </c>
      <c r="G1130" s="1">
        <v>27649</v>
      </c>
      <c r="H1130" s="1">
        <v>82947</v>
      </c>
      <c r="I1130" s="1">
        <v>0</v>
      </c>
      <c r="J1130" s="1">
        <v>3</v>
      </c>
      <c r="K1130" s="1">
        <v>0</v>
      </c>
    </row>
    <row r="1131" spans="1:11" x14ac:dyDescent="0.2">
      <c r="A1131" s="1" t="s">
        <v>1050</v>
      </c>
      <c r="B1131" s="1" t="s">
        <v>1071</v>
      </c>
      <c r="C1131" s="1" t="str">
        <f>"X033"</f>
        <v>X033</v>
      </c>
      <c r="D1131" s="1" t="str">
        <f>"X033"</f>
        <v>X033</v>
      </c>
      <c r="E1131" s="1" t="s">
        <v>17</v>
      </c>
      <c r="F1131" s="1">
        <v>2</v>
      </c>
      <c r="G1131" s="1">
        <v>35864.79</v>
      </c>
      <c r="H1131" s="1">
        <v>71730</v>
      </c>
      <c r="I1131" s="1">
        <v>0</v>
      </c>
      <c r="J1131" s="1">
        <v>2</v>
      </c>
      <c r="K1131" s="1">
        <v>0</v>
      </c>
    </row>
    <row r="1132" spans="1:11" x14ac:dyDescent="0.2">
      <c r="A1132" s="1" t="s">
        <v>1050</v>
      </c>
      <c r="B1132" s="1" t="s">
        <v>1072</v>
      </c>
      <c r="C1132" s="1" t="str">
        <f>"X009"</f>
        <v>X009</v>
      </c>
      <c r="D1132" s="1" t="str">
        <f>"X009"</f>
        <v>X009</v>
      </c>
      <c r="E1132" s="1" t="s">
        <v>17</v>
      </c>
      <c r="F1132" s="1">
        <v>1</v>
      </c>
      <c r="G1132" s="1">
        <v>28151</v>
      </c>
      <c r="H1132" s="1">
        <v>28151</v>
      </c>
      <c r="I1132" s="1">
        <v>0</v>
      </c>
      <c r="J1132" s="1">
        <v>1</v>
      </c>
      <c r="K1132" s="1">
        <v>0</v>
      </c>
    </row>
    <row r="1133" spans="1:11" x14ac:dyDescent="0.2">
      <c r="A1133" s="1" t="s">
        <v>1050</v>
      </c>
      <c r="B1133" s="1" t="s">
        <v>1073</v>
      </c>
      <c r="C1133" s="1" t="str">
        <f>"66298834095950"</f>
        <v>66298834095950</v>
      </c>
      <c r="D1133" s="1" t="str">
        <f>"X016"</f>
        <v>X016</v>
      </c>
      <c r="E1133" s="1" t="s">
        <v>17</v>
      </c>
      <c r="F1133" s="1">
        <v>2</v>
      </c>
      <c r="G1133" s="1">
        <v>10025</v>
      </c>
      <c r="H1133" s="1">
        <v>20050</v>
      </c>
      <c r="I1133" s="1">
        <v>0</v>
      </c>
      <c r="J1133" s="1">
        <v>2</v>
      </c>
      <c r="K1133" s="1">
        <v>0</v>
      </c>
    </row>
    <row r="1134" spans="1:11" x14ac:dyDescent="0.2">
      <c r="A1134" s="1" t="s">
        <v>1050</v>
      </c>
      <c r="B1134" s="1" t="s">
        <v>1074</v>
      </c>
      <c r="C1134" s="1" t="str">
        <f>"X014"</f>
        <v>X014</v>
      </c>
      <c r="D1134" s="1" t="str">
        <f>"X014"</f>
        <v>X014</v>
      </c>
      <c r="E1134" s="1" t="s">
        <v>17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</row>
    <row r="1135" spans="1:11" x14ac:dyDescent="0.2">
      <c r="A1135" s="1" t="s">
        <v>1050</v>
      </c>
      <c r="B1135" s="1" t="s">
        <v>1075</v>
      </c>
      <c r="C1135" s="1" t="str">
        <f>"66298834137263"</f>
        <v>66298834137263</v>
      </c>
      <c r="D1135" s="1" t="str">
        <f>"13200H2C012H000"</f>
        <v>13200H2C012H000</v>
      </c>
      <c r="E1135" s="1" t="s">
        <v>17</v>
      </c>
      <c r="F1135" s="1">
        <v>2</v>
      </c>
      <c r="G1135" s="1">
        <v>33733</v>
      </c>
      <c r="H1135" s="1">
        <v>67466</v>
      </c>
      <c r="I1135" s="1">
        <v>0</v>
      </c>
      <c r="J1135" s="1">
        <v>2</v>
      </c>
      <c r="K1135" s="1">
        <v>0</v>
      </c>
    </row>
    <row r="1136" spans="1:11" x14ac:dyDescent="0.2">
      <c r="A1136" s="1" t="s">
        <v>1050</v>
      </c>
      <c r="B1136" s="1" t="s">
        <v>1076</v>
      </c>
      <c r="C1136" s="1" t="str">
        <f>"66298834174768"</f>
        <v>66298834174768</v>
      </c>
      <c r="D1136" s="1" t="str">
        <f>"401114"</f>
        <v>401114</v>
      </c>
      <c r="E1136" s="1" t="s">
        <v>17</v>
      </c>
      <c r="F1136" s="1">
        <v>4</v>
      </c>
      <c r="G1136" s="1">
        <v>21845</v>
      </c>
      <c r="H1136" s="1">
        <v>87380</v>
      </c>
      <c r="I1136" s="1">
        <v>0</v>
      </c>
      <c r="J1136" s="1">
        <v>4</v>
      </c>
      <c r="K1136" s="1">
        <v>0</v>
      </c>
    </row>
    <row r="1137" spans="1:11" x14ac:dyDescent="0.2">
      <c r="A1137" s="1" t="s">
        <v>1050</v>
      </c>
      <c r="B1137" s="1" t="s">
        <v>1077</v>
      </c>
      <c r="C1137" s="1" t="str">
        <f>"66298834218501"</f>
        <v>66298834218501</v>
      </c>
      <c r="D1137" s="1" t="str">
        <f>"X022"</f>
        <v>X022</v>
      </c>
      <c r="E1137" s="1" t="s">
        <v>17</v>
      </c>
      <c r="F1137" s="1">
        <v>6</v>
      </c>
      <c r="G1137" s="1">
        <v>6324</v>
      </c>
      <c r="H1137" s="1">
        <v>37944</v>
      </c>
      <c r="I1137" s="1">
        <v>0</v>
      </c>
      <c r="J1137" s="1">
        <v>6</v>
      </c>
      <c r="K1137" s="1">
        <v>0</v>
      </c>
    </row>
    <row r="1138" spans="1:11" x14ac:dyDescent="0.2">
      <c r="A1138" s="1" t="s">
        <v>1050</v>
      </c>
      <c r="B1138" s="1" t="s">
        <v>1078</v>
      </c>
      <c r="C1138" s="1" t="str">
        <f>"66298834255976"</f>
        <v>66298834255976</v>
      </c>
      <c r="D1138" s="1" t="str">
        <f>"C-SCOO-VM"</f>
        <v>C-SCOO-VM</v>
      </c>
      <c r="E1138" s="1" t="s">
        <v>17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</row>
    <row r="1139" spans="1:11" x14ac:dyDescent="0.2">
      <c r="A1139" s="1" t="s">
        <v>1050</v>
      </c>
      <c r="B1139" s="1" t="s">
        <v>1079</v>
      </c>
      <c r="C1139" s="1" t="str">
        <f>"X006"</f>
        <v>X006</v>
      </c>
      <c r="D1139" s="1" t="str">
        <f>"X006"</f>
        <v>X006</v>
      </c>
      <c r="E1139" s="1" t="s">
        <v>17</v>
      </c>
      <c r="F1139" s="1">
        <v>3</v>
      </c>
      <c r="G1139" s="1">
        <v>12071</v>
      </c>
      <c r="H1139" s="1">
        <v>36213</v>
      </c>
      <c r="I1139" s="1">
        <v>0</v>
      </c>
      <c r="J1139" s="1">
        <v>3</v>
      </c>
      <c r="K1139" s="1">
        <v>0</v>
      </c>
    </row>
    <row r="1140" spans="1:11" x14ac:dyDescent="0.2">
      <c r="A1140" s="1" t="s">
        <v>1050</v>
      </c>
      <c r="B1140" s="1" t="s">
        <v>1080</v>
      </c>
      <c r="C1140" s="1" t="str">
        <f>"66298834343606"</f>
        <v>66298834343606</v>
      </c>
      <c r="D1140" s="1" t="str">
        <f>"X026"</f>
        <v>X026</v>
      </c>
      <c r="E1140" s="1" t="s">
        <v>17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</row>
    <row r="1141" spans="1:11" x14ac:dyDescent="0.2">
      <c r="A1141" s="1" t="s">
        <v>1050</v>
      </c>
      <c r="B1141" s="1" t="s">
        <v>1081</v>
      </c>
      <c r="C1141" s="1" t="str">
        <f>"138269"</f>
        <v>138269</v>
      </c>
      <c r="D1141" s="1" t="str">
        <f>"138269"</f>
        <v>138269</v>
      </c>
      <c r="E1141" s="1" t="s">
        <v>17</v>
      </c>
      <c r="F1141" s="1">
        <v>4</v>
      </c>
      <c r="G1141" s="1">
        <v>9118</v>
      </c>
      <c r="H1141" s="1">
        <v>36472</v>
      </c>
      <c r="I1141" s="1">
        <v>0</v>
      </c>
      <c r="J1141" s="1">
        <v>4</v>
      </c>
      <c r="K1141" s="1">
        <v>0</v>
      </c>
    </row>
    <row r="1142" spans="1:11" x14ac:dyDescent="0.2">
      <c r="A1142" s="1" t="s">
        <v>1050</v>
      </c>
      <c r="B1142" s="1" t="s">
        <v>1082</v>
      </c>
      <c r="C1142" s="1" t="str">
        <f>"66298834380603"</f>
        <v>66298834380603</v>
      </c>
      <c r="D1142" s="1" t="str">
        <f>"400536"</f>
        <v>400536</v>
      </c>
      <c r="E1142" s="1" t="s">
        <v>17</v>
      </c>
      <c r="F1142" s="1">
        <v>5</v>
      </c>
      <c r="G1142" s="1">
        <v>6626</v>
      </c>
      <c r="H1142" s="1">
        <v>33130</v>
      </c>
      <c r="I1142" s="1">
        <v>0</v>
      </c>
      <c r="J1142" s="1">
        <v>5</v>
      </c>
      <c r="K1142" s="1">
        <v>0</v>
      </c>
    </row>
    <row r="1143" spans="1:11" x14ac:dyDescent="0.2">
      <c r="A1143" s="1" t="s">
        <v>1050</v>
      </c>
      <c r="B1143" s="1" t="s">
        <v>1083</v>
      </c>
      <c r="C1143" s="1" t="str">
        <f>"66298834416694"</f>
        <v>66298834416694</v>
      </c>
      <c r="D1143" s="1" t="str">
        <f>"X031"</f>
        <v>X031</v>
      </c>
      <c r="E1143" s="1" t="s">
        <v>17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</row>
    <row r="1144" spans="1:11" x14ac:dyDescent="0.2">
      <c r="A1144" s="1" t="s">
        <v>1050</v>
      </c>
      <c r="B1144" s="1" t="s">
        <v>1084</v>
      </c>
      <c r="C1144" s="1" t="str">
        <f>"X021"</f>
        <v>X021</v>
      </c>
      <c r="D1144" s="1" t="str">
        <f>"X021"</f>
        <v>X021</v>
      </c>
      <c r="E1144" s="1" t="s">
        <v>17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</row>
    <row r="1145" spans="1:11" x14ac:dyDescent="0.2">
      <c r="A1145" s="1" t="s">
        <v>1050</v>
      </c>
      <c r="B1145" s="1" t="s">
        <v>1085</v>
      </c>
      <c r="C1145" s="1" t="str">
        <f>"66298834460697"</f>
        <v>66298834460697</v>
      </c>
      <c r="D1145" s="1" t="str">
        <f>"400573"</f>
        <v>400573</v>
      </c>
      <c r="E1145" s="1" t="s">
        <v>17</v>
      </c>
      <c r="F1145" s="1">
        <v>4</v>
      </c>
      <c r="G1145" s="1">
        <v>21779</v>
      </c>
      <c r="H1145" s="1">
        <v>87116</v>
      </c>
      <c r="I1145" s="1">
        <v>0</v>
      </c>
      <c r="J1145" s="1">
        <v>4</v>
      </c>
      <c r="K1145" s="1">
        <v>0</v>
      </c>
    </row>
    <row r="1146" spans="1:11" x14ac:dyDescent="0.2">
      <c r="A1146" s="1" t="s">
        <v>18</v>
      </c>
      <c r="B1146" s="1" t="s">
        <v>1086</v>
      </c>
      <c r="C1146" s="1" t="str">
        <f>"117248"</f>
        <v>117248</v>
      </c>
      <c r="D1146" s="1" t="str">
        <f>"117248"</f>
        <v>117248</v>
      </c>
      <c r="E1146" s="1" t="s">
        <v>17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</row>
    <row r="1147" spans="1:11" x14ac:dyDescent="0.2">
      <c r="A1147" s="1" t="s">
        <v>18</v>
      </c>
      <c r="B1147" s="1" t="s">
        <v>1087</v>
      </c>
      <c r="C1147" s="1" t="str">
        <f>"66298834505206"</f>
        <v>66298834505206</v>
      </c>
      <c r="D1147" s="1" t="str">
        <f>"H093"</f>
        <v>H093</v>
      </c>
      <c r="E1147" s="1" t="s">
        <v>17</v>
      </c>
      <c r="F1147" s="1">
        <v>1</v>
      </c>
      <c r="G1147" s="1">
        <v>17507</v>
      </c>
      <c r="H1147" s="1">
        <v>17507</v>
      </c>
      <c r="I1147" s="1">
        <v>0</v>
      </c>
      <c r="J1147" s="1">
        <v>1</v>
      </c>
      <c r="K1147" s="1">
        <v>0</v>
      </c>
    </row>
    <row r="1148" spans="1:11" x14ac:dyDescent="0.2">
      <c r="A1148" s="1" t="s">
        <v>18</v>
      </c>
      <c r="B1148" s="1" t="s">
        <v>1088</v>
      </c>
      <c r="C1148" s="1" t="str">
        <f>"130250"</f>
        <v>130250</v>
      </c>
      <c r="D1148" s="1" t="str">
        <f>"130250"</f>
        <v>130250</v>
      </c>
      <c r="E1148" s="1" t="s">
        <v>17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</row>
    <row r="1149" spans="1:11" x14ac:dyDescent="0.2">
      <c r="A1149" s="1" t="s">
        <v>18</v>
      </c>
      <c r="B1149" s="1" t="s">
        <v>1089</v>
      </c>
      <c r="C1149" s="1" t="str">
        <f>"66298834552659"</f>
        <v>66298834552659</v>
      </c>
      <c r="D1149" s="1" t="str">
        <f>"60053"</f>
        <v>60053</v>
      </c>
      <c r="E1149" s="1" t="s">
        <v>17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</row>
    <row r="1150" spans="1:11" x14ac:dyDescent="0.2">
      <c r="A1150" s="1" t="s">
        <v>18</v>
      </c>
      <c r="B1150" s="1" t="s">
        <v>1089</v>
      </c>
      <c r="C1150" s="1" t="str">
        <f>"1255"</f>
        <v>1255</v>
      </c>
      <c r="D1150" s="1" t="str">
        <f>"1255"</f>
        <v>1255</v>
      </c>
      <c r="E1150" s="1" t="s">
        <v>17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</row>
    <row r="1151" spans="1:11" x14ac:dyDescent="0.2">
      <c r="A1151" s="1" t="s">
        <v>18</v>
      </c>
      <c r="B1151" s="1" t="s">
        <v>1090</v>
      </c>
      <c r="C1151" s="1" t="str">
        <f>"0274"</f>
        <v>0274</v>
      </c>
      <c r="D1151" s="1" t="str">
        <f>"0274"</f>
        <v>0274</v>
      </c>
      <c r="E1151" s="1" t="s">
        <v>17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</row>
    <row r="1152" spans="1:11" x14ac:dyDescent="0.2">
      <c r="A1152" s="1" t="s">
        <v>18</v>
      </c>
      <c r="B1152" s="1" t="s">
        <v>1091</v>
      </c>
      <c r="C1152" s="1" t="str">
        <f>"66298834594316"</f>
        <v>66298834594316</v>
      </c>
      <c r="D1152" s="1" t="str">
        <f>"10233"</f>
        <v>10233</v>
      </c>
      <c r="E1152" s="1" t="s">
        <v>17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</row>
    <row r="1153" spans="1:11" x14ac:dyDescent="0.2">
      <c r="A1153" s="1" t="s">
        <v>18</v>
      </c>
      <c r="B1153" s="1" t="s">
        <v>1092</v>
      </c>
      <c r="C1153" s="1" t="str">
        <f>"FN-MT6-L"</f>
        <v>FN-MT6-L</v>
      </c>
      <c r="D1153" s="1" t="str">
        <f>"FN-MT6-L"</f>
        <v>FN-MT6-L</v>
      </c>
      <c r="E1153" s="1" t="s">
        <v>17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</row>
    <row r="1154" spans="1:11" x14ac:dyDescent="0.2">
      <c r="A1154" s="1" t="s">
        <v>18</v>
      </c>
      <c r="B1154" s="1" t="s">
        <v>1092</v>
      </c>
      <c r="C1154" s="1" t="str">
        <f>"142900"</f>
        <v>142900</v>
      </c>
      <c r="D1154" s="1" t="str">
        <f>"142900"</f>
        <v>142900</v>
      </c>
      <c r="E1154" s="1" t="s">
        <v>17</v>
      </c>
      <c r="F1154" s="1">
        <v>10</v>
      </c>
      <c r="G1154" s="1">
        <v>5756</v>
      </c>
      <c r="H1154" s="1">
        <v>57560</v>
      </c>
      <c r="I1154" s="1">
        <v>0</v>
      </c>
      <c r="J1154" s="1">
        <v>10</v>
      </c>
      <c r="K1154" s="1">
        <v>0</v>
      </c>
    </row>
    <row r="1155" spans="1:11" x14ac:dyDescent="0.2">
      <c r="A1155" s="1" t="s">
        <v>18</v>
      </c>
      <c r="B1155" s="1" t="s">
        <v>1093</v>
      </c>
      <c r="C1155" s="1" t="str">
        <f>"66298834636058"</f>
        <v>66298834636058</v>
      </c>
      <c r="D1155" s="1" t="str">
        <f>"424"</f>
        <v>424</v>
      </c>
      <c r="E1155" s="1" t="s">
        <v>17</v>
      </c>
      <c r="F1155" s="1">
        <v>2</v>
      </c>
      <c r="G1155" s="1">
        <v>6134.45</v>
      </c>
      <c r="H1155" s="1">
        <v>12269</v>
      </c>
      <c r="I1155" s="1">
        <v>0</v>
      </c>
      <c r="J1155" s="1">
        <v>2</v>
      </c>
      <c r="K1155" s="1">
        <v>0</v>
      </c>
    </row>
    <row r="1156" spans="1:11" x14ac:dyDescent="0.2">
      <c r="A1156" s="1" t="s">
        <v>18</v>
      </c>
      <c r="B1156" s="1" t="s">
        <v>1093</v>
      </c>
      <c r="C1156" s="1" t="str">
        <f>"FN-MT6-M"</f>
        <v>FN-MT6-M</v>
      </c>
      <c r="D1156" s="1" t="str">
        <f>"FN-MT6-M"</f>
        <v>FN-MT6-M</v>
      </c>
      <c r="E1156" s="1" t="s">
        <v>17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</row>
    <row r="1157" spans="1:11" x14ac:dyDescent="0.2">
      <c r="A1157" s="1" t="s">
        <v>18</v>
      </c>
      <c r="B1157" s="1" t="s">
        <v>1094</v>
      </c>
      <c r="C1157" s="1" t="str">
        <f>"66298834674480"</f>
        <v>66298834674480</v>
      </c>
      <c r="D1157" s="1" t="str">
        <f>"1093"</f>
        <v>1093</v>
      </c>
      <c r="E1157" s="1" t="s">
        <v>17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</row>
    <row r="1158" spans="1:11" x14ac:dyDescent="0.2">
      <c r="A1158" s="1" t="s">
        <v>18</v>
      </c>
      <c r="B1158" s="1" t="s">
        <v>1094</v>
      </c>
      <c r="C1158" s="1" t="str">
        <f>"426"</f>
        <v>426</v>
      </c>
      <c r="D1158" s="1" t="str">
        <f>"426"</f>
        <v>426</v>
      </c>
      <c r="E1158" s="1" t="s">
        <v>17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</row>
    <row r="1159" spans="1:11" x14ac:dyDescent="0.2">
      <c r="A1159" s="1" t="s">
        <v>18</v>
      </c>
      <c r="B1159" s="1" t="s">
        <v>1094</v>
      </c>
      <c r="C1159" s="1" t="str">
        <f>"FN-MT6-XL"</f>
        <v>FN-MT6-XL</v>
      </c>
      <c r="D1159" s="1" t="str">
        <f>"FN-MT6-XL"</f>
        <v>FN-MT6-XL</v>
      </c>
      <c r="E1159" s="1" t="s">
        <v>17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</row>
    <row r="1160" spans="1:11" x14ac:dyDescent="0.2">
      <c r="A1160" s="1" t="s">
        <v>18</v>
      </c>
      <c r="B1160" s="1" t="s">
        <v>1094</v>
      </c>
      <c r="C1160" s="1" t="str">
        <f>"142911"</f>
        <v>142911</v>
      </c>
      <c r="D1160" s="1" t="str">
        <f>"142911"</f>
        <v>142911</v>
      </c>
      <c r="E1160" s="1" t="s">
        <v>17</v>
      </c>
      <c r="F1160" s="1">
        <v>5</v>
      </c>
      <c r="G1160" s="1">
        <v>6092</v>
      </c>
      <c r="H1160" s="1">
        <v>30460</v>
      </c>
      <c r="I1160" s="1">
        <v>0</v>
      </c>
      <c r="J1160" s="1">
        <v>5</v>
      </c>
      <c r="K1160" s="1">
        <v>0</v>
      </c>
    </row>
    <row r="1161" spans="1:11" x14ac:dyDescent="0.2">
      <c r="A1161" s="1" t="s">
        <v>18</v>
      </c>
      <c r="B1161" s="1" t="s">
        <v>1095</v>
      </c>
      <c r="C1161" s="1" t="str">
        <f>"FN-MT6-XXL"</f>
        <v>FN-MT6-XXL</v>
      </c>
      <c r="D1161" s="1" t="str">
        <f>"FN-MT6-XXL"</f>
        <v>FN-MT6-XXL</v>
      </c>
      <c r="E1161" s="1" t="s">
        <v>17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</row>
    <row r="1162" spans="1:11" ht="30" x14ac:dyDescent="0.2">
      <c r="A1162" s="1" t="s">
        <v>1096</v>
      </c>
      <c r="B1162" s="1" t="s">
        <v>1097</v>
      </c>
      <c r="C1162" s="1" t="str">
        <f>"66298834714102"</f>
        <v>66298834714102</v>
      </c>
      <c r="D1162" s="1" t="str">
        <f>"11871"</f>
        <v>11871</v>
      </c>
      <c r="E1162" s="1" t="s">
        <v>17</v>
      </c>
      <c r="F1162" s="1">
        <v>1</v>
      </c>
      <c r="G1162" s="1">
        <v>35286</v>
      </c>
      <c r="H1162" s="1">
        <v>35286</v>
      </c>
      <c r="I1162" s="1">
        <v>0</v>
      </c>
      <c r="J1162" s="1">
        <v>1</v>
      </c>
      <c r="K1162" s="1">
        <v>0</v>
      </c>
    </row>
    <row r="1163" spans="1:11" x14ac:dyDescent="0.2">
      <c r="A1163" s="1" t="s">
        <v>1096</v>
      </c>
      <c r="B1163" s="1" t="s">
        <v>1098</v>
      </c>
      <c r="C1163" s="1" t="str">
        <f>"66298834757929"</f>
        <v>66298834757929</v>
      </c>
      <c r="D1163" s="1" t="str">
        <f>"13381"</f>
        <v>13381</v>
      </c>
      <c r="E1163" s="1" t="s">
        <v>17</v>
      </c>
      <c r="F1163" s="1">
        <v>1</v>
      </c>
      <c r="G1163" s="1">
        <v>35286</v>
      </c>
      <c r="H1163" s="1">
        <v>35286</v>
      </c>
      <c r="I1163" s="1">
        <v>0</v>
      </c>
      <c r="J1163" s="1">
        <v>1</v>
      </c>
      <c r="K1163" s="1">
        <v>0</v>
      </c>
    </row>
    <row r="1164" spans="1:11" x14ac:dyDescent="0.2">
      <c r="A1164" s="1" t="s">
        <v>1096</v>
      </c>
      <c r="B1164" s="1" t="s">
        <v>1099</v>
      </c>
      <c r="C1164" s="1" t="str">
        <f>"66298834802498"</f>
        <v>66298834802498</v>
      </c>
      <c r="D1164" s="1" t="str">
        <f>"13376"</f>
        <v>13376</v>
      </c>
      <c r="E1164" s="1" t="s">
        <v>17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</row>
    <row r="1165" spans="1:11" x14ac:dyDescent="0.2">
      <c r="A1165" s="1" t="s">
        <v>1096</v>
      </c>
      <c r="B1165" s="1" t="s">
        <v>1100</v>
      </c>
      <c r="C1165" s="1" t="str">
        <f>"66298834845354"</f>
        <v>66298834845354</v>
      </c>
      <c r="D1165" s="1" t="str">
        <f>"14225"</f>
        <v>14225</v>
      </c>
      <c r="E1165" s="1" t="s">
        <v>17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</row>
    <row r="1166" spans="1:11" x14ac:dyDescent="0.2">
      <c r="A1166" s="1" t="s">
        <v>1096</v>
      </c>
      <c r="B1166" s="1" t="s">
        <v>1101</v>
      </c>
      <c r="C1166" s="1" t="str">
        <f>"65000"</f>
        <v>65000</v>
      </c>
      <c r="D1166" s="1" t="str">
        <f>"65000"</f>
        <v>65000</v>
      </c>
      <c r="E1166" s="1" t="s">
        <v>17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</row>
    <row r="1167" spans="1:11" x14ac:dyDescent="0.2">
      <c r="A1167" s="1" t="s">
        <v>1096</v>
      </c>
      <c r="B1167" s="1" t="s">
        <v>1102</v>
      </c>
      <c r="C1167" s="1" t="str">
        <f>"66298834887523"</f>
        <v>66298834887523</v>
      </c>
      <c r="D1167" s="1" t="str">
        <f>"120240-M"</f>
        <v>120240-M</v>
      </c>
      <c r="E1167" s="1" t="s">
        <v>17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</row>
    <row r="1168" spans="1:11" x14ac:dyDescent="0.2">
      <c r="A1168" s="1" t="s">
        <v>1096</v>
      </c>
      <c r="B1168" s="1" t="s">
        <v>1103</v>
      </c>
      <c r="C1168" s="1" t="str">
        <f>"14238"</f>
        <v>14238</v>
      </c>
      <c r="D1168" s="1" t="str">
        <f>"14238"</f>
        <v>14238</v>
      </c>
      <c r="E1168" s="1" t="s">
        <v>17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</row>
    <row r="1169" spans="1:11" ht="30" x14ac:dyDescent="0.2">
      <c r="A1169" s="1" t="s">
        <v>1096</v>
      </c>
      <c r="B1169" s="1" t="s">
        <v>1104</v>
      </c>
      <c r="C1169" s="1" t="str">
        <f>"66298834930671"</f>
        <v>66298834930671</v>
      </c>
      <c r="D1169" s="1" t="str">
        <f>"175-GHB"</f>
        <v>175-GHB</v>
      </c>
      <c r="E1169" s="1" t="s">
        <v>17</v>
      </c>
      <c r="F1169" s="1">
        <v>1</v>
      </c>
      <c r="G1169" s="1">
        <v>27521</v>
      </c>
      <c r="H1169" s="1">
        <v>27521</v>
      </c>
      <c r="I1169" s="1">
        <v>0</v>
      </c>
      <c r="J1169" s="1">
        <v>1</v>
      </c>
      <c r="K1169" s="1">
        <v>0</v>
      </c>
    </row>
    <row r="1170" spans="1:11" ht="30" x14ac:dyDescent="0.2">
      <c r="A1170" s="1" t="s">
        <v>1096</v>
      </c>
      <c r="B1170" s="1" t="s">
        <v>1105</v>
      </c>
      <c r="C1170" s="1" t="str">
        <f>"66298834968419"</f>
        <v>66298834968419</v>
      </c>
      <c r="D1170" s="1" t="str">
        <f>"777"</f>
        <v>777</v>
      </c>
      <c r="E1170" s="1" t="s">
        <v>17</v>
      </c>
      <c r="F1170" s="1">
        <v>3</v>
      </c>
      <c r="G1170" s="1">
        <v>27521</v>
      </c>
      <c r="H1170" s="1">
        <v>82563</v>
      </c>
      <c r="I1170" s="1">
        <v>0</v>
      </c>
      <c r="J1170" s="1">
        <v>3</v>
      </c>
      <c r="K1170" s="1">
        <v>0</v>
      </c>
    </row>
    <row r="1171" spans="1:11" x14ac:dyDescent="0.2">
      <c r="A1171" s="1" t="s">
        <v>1096</v>
      </c>
      <c r="B1171" s="1" t="s">
        <v>1106</v>
      </c>
      <c r="C1171" s="1" t="str">
        <f>"66298835006727"</f>
        <v>66298835006727</v>
      </c>
      <c r="D1171" s="1" t="str">
        <f>"684-BLANCO-M"</f>
        <v>684-BLANCO-M</v>
      </c>
      <c r="E1171" s="1" t="s">
        <v>17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</row>
    <row r="1172" spans="1:11" x14ac:dyDescent="0.2">
      <c r="A1172" s="1" t="s">
        <v>1096</v>
      </c>
      <c r="B1172" s="1" t="s">
        <v>1107</v>
      </c>
      <c r="C1172" s="1" t="str">
        <f>"66298835046082"</f>
        <v>66298835046082</v>
      </c>
      <c r="D1172" s="1" t="str">
        <f>"684-NEGRO"</f>
        <v>684-NEGRO</v>
      </c>
      <c r="E1172" s="1" t="s">
        <v>17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</row>
    <row r="1173" spans="1:11" x14ac:dyDescent="0.2">
      <c r="A1173" s="1" t="s">
        <v>1096</v>
      </c>
      <c r="B1173" s="1" t="s">
        <v>1108</v>
      </c>
      <c r="C1173" s="1" t="str">
        <f>"66298835088679"</f>
        <v>66298835088679</v>
      </c>
      <c r="D1173" s="1" t="str">
        <f>"684-NEGRO-S"</f>
        <v>684-NEGRO-S</v>
      </c>
      <c r="E1173" s="1" t="s">
        <v>17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</row>
    <row r="1174" spans="1:11" ht="30" x14ac:dyDescent="0.2">
      <c r="A1174" s="1" t="s">
        <v>1096</v>
      </c>
      <c r="B1174" s="1" t="s">
        <v>1109</v>
      </c>
      <c r="C1174" s="1" t="str">
        <f>"66298835131109"</f>
        <v>66298835131109</v>
      </c>
      <c r="D1174" s="1" t="str">
        <f>"934363"</f>
        <v>934363</v>
      </c>
      <c r="E1174" s="1" t="s">
        <v>17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</row>
    <row r="1175" spans="1:11" ht="30" x14ac:dyDescent="0.2">
      <c r="A1175" s="1" t="s">
        <v>1096</v>
      </c>
      <c r="B1175" s="1" t="s">
        <v>1110</v>
      </c>
      <c r="C1175" s="1" t="str">
        <f>"66298835167959"</f>
        <v>66298835167959</v>
      </c>
      <c r="D1175" s="1" t="str">
        <f>"934364"</f>
        <v>934364</v>
      </c>
      <c r="E1175" s="1" t="s">
        <v>17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</row>
    <row r="1176" spans="1:11" x14ac:dyDescent="0.2">
      <c r="A1176" s="1" t="s">
        <v>1096</v>
      </c>
      <c r="B1176" s="1" t="s">
        <v>1111</v>
      </c>
      <c r="C1176" s="1" t="str">
        <f>"66298835214546"</f>
        <v>66298835214546</v>
      </c>
      <c r="D1176" s="1" t="str">
        <f>"934355"</f>
        <v>934355</v>
      </c>
      <c r="E1176" s="1" t="s">
        <v>17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</row>
    <row r="1177" spans="1:11" ht="30" x14ac:dyDescent="0.2">
      <c r="A1177" s="1" t="s">
        <v>1096</v>
      </c>
      <c r="B1177" s="1" t="s">
        <v>1112</v>
      </c>
      <c r="C1177" s="1" t="str">
        <f>"66298835264548"</f>
        <v>66298835264548</v>
      </c>
      <c r="D1177" s="1" t="str">
        <f>"1138685"</f>
        <v>1138685</v>
      </c>
      <c r="E1177" s="1" t="s">
        <v>17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</row>
    <row r="1178" spans="1:11" ht="30" x14ac:dyDescent="0.2">
      <c r="A1178" s="1" t="s">
        <v>1096</v>
      </c>
      <c r="B1178" s="1" t="s">
        <v>1113</v>
      </c>
      <c r="C1178" s="1" t="str">
        <f>"14609"</f>
        <v>14609</v>
      </c>
      <c r="D1178" s="1" t="str">
        <f>"14609"</f>
        <v>14609</v>
      </c>
      <c r="E1178" s="1" t="s">
        <v>17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</row>
    <row r="1179" spans="1:11" ht="30" x14ac:dyDescent="0.2">
      <c r="A1179" s="1" t="s">
        <v>1096</v>
      </c>
      <c r="B1179" s="1" t="s">
        <v>1114</v>
      </c>
      <c r="C1179" s="1" t="str">
        <f>"15945"</f>
        <v>15945</v>
      </c>
      <c r="D1179" s="1" t="str">
        <f>"15945"</f>
        <v>15945</v>
      </c>
      <c r="E1179" s="1" t="s">
        <v>17</v>
      </c>
      <c r="F1179" s="1">
        <v>1</v>
      </c>
      <c r="G1179" s="1">
        <v>71840.929999999993</v>
      </c>
      <c r="H1179" s="1">
        <v>71841</v>
      </c>
      <c r="I1179" s="1">
        <v>0</v>
      </c>
      <c r="J1179" s="1">
        <v>1</v>
      </c>
      <c r="K1179" s="1">
        <v>0</v>
      </c>
    </row>
    <row r="1180" spans="1:11" ht="30" x14ac:dyDescent="0.2">
      <c r="A1180" s="1" t="s">
        <v>1096</v>
      </c>
      <c r="B1180" s="1" t="s">
        <v>1115</v>
      </c>
      <c r="C1180" s="1" t="str">
        <f>"14608"</f>
        <v>14608</v>
      </c>
      <c r="D1180" s="1" t="str">
        <f>"14608"</f>
        <v>14608</v>
      </c>
      <c r="E1180" s="1" t="s">
        <v>17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</row>
    <row r="1181" spans="1:11" ht="30" x14ac:dyDescent="0.2">
      <c r="A1181" s="1" t="s">
        <v>1096</v>
      </c>
      <c r="B1181" s="1" t="s">
        <v>1116</v>
      </c>
      <c r="C1181" s="1" t="str">
        <f>"12888"</f>
        <v>12888</v>
      </c>
      <c r="D1181" s="1" t="str">
        <f>"12888"</f>
        <v>12888</v>
      </c>
      <c r="E1181" s="1" t="s">
        <v>17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</row>
    <row r="1182" spans="1:11" x14ac:dyDescent="0.2">
      <c r="A1182" s="1" t="s">
        <v>1096</v>
      </c>
      <c r="B1182" s="1" t="s">
        <v>1117</v>
      </c>
      <c r="C1182" s="1" t="str">
        <f>"16220"</f>
        <v>16220</v>
      </c>
      <c r="D1182" s="1" t="str">
        <f>"16220"</f>
        <v>16220</v>
      </c>
      <c r="E1182" s="1" t="s">
        <v>17</v>
      </c>
      <c r="F1182" s="1">
        <v>1</v>
      </c>
      <c r="G1182" s="1">
        <v>71840.929999999993</v>
      </c>
      <c r="H1182" s="1">
        <v>71841</v>
      </c>
      <c r="I1182" s="1">
        <v>0</v>
      </c>
      <c r="J1182" s="1">
        <v>1</v>
      </c>
      <c r="K1182" s="1">
        <v>0</v>
      </c>
    </row>
    <row r="1183" spans="1:11" ht="30" x14ac:dyDescent="0.2">
      <c r="A1183" s="1" t="s">
        <v>1096</v>
      </c>
      <c r="B1183" s="1" t="s">
        <v>1118</v>
      </c>
      <c r="C1183" s="1" t="str">
        <f>"16221"</f>
        <v>16221</v>
      </c>
      <c r="D1183" s="1" t="str">
        <f>"16221"</f>
        <v>16221</v>
      </c>
      <c r="E1183" s="1" t="s">
        <v>17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</row>
    <row r="1184" spans="1:11" ht="30" x14ac:dyDescent="0.2">
      <c r="A1184" s="1" t="s">
        <v>1096</v>
      </c>
      <c r="B1184" s="1" t="s">
        <v>1119</v>
      </c>
      <c r="C1184" s="1" t="str">
        <f>"15162"</f>
        <v>15162</v>
      </c>
      <c r="D1184" s="1" t="str">
        <f>"15162"</f>
        <v>15162</v>
      </c>
      <c r="E1184" s="1" t="s">
        <v>17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</row>
    <row r="1185" spans="1:11" x14ac:dyDescent="0.2">
      <c r="A1185" s="1" t="s">
        <v>1096</v>
      </c>
      <c r="B1185" s="1" t="s">
        <v>1120</v>
      </c>
      <c r="C1185" s="1" t="str">
        <f>"15971"</f>
        <v>15971</v>
      </c>
      <c r="D1185" s="1" t="str">
        <f>"15971"</f>
        <v>15971</v>
      </c>
      <c r="E1185" s="1" t="s">
        <v>17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</row>
    <row r="1186" spans="1:11" x14ac:dyDescent="0.2">
      <c r="A1186" s="1" t="s">
        <v>1096</v>
      </c>
      <c r="B1186" s="1" t="s">
        <v>1121</v>
      </c>
      <c r="C1186" s="1" t="str">
        <f>"16113"</f>
        <v>16113</v>
      </c>
      <c r="D1186" s="1" t="str">
        <f>"16113"</f>
        <v>16113</v>
      </c>
      <c r="E1186" s="1" t="s">
        <v>17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</row>
    <row r="1187" spans="1:11" ht="30" x14ac:dyDescent="0.2">
      <c r="A1187" s="1" t="s">
        <v>1096</v>
      </c>
      <c r="B1187" s="1" t="s">
        <v>1122</v>
      </c>
      <c r="C1187" s="1" t="str">
        <f>"12895"</f>
        <v>12895</v>
      </c>
      <c r="D1187" s="1" t="str">
        <f>"12895"</f>
        <v>12895</v>
      </c>
      <c r="E1187" s="1" t="s">
        <v>17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</row>
    <row r="1188" spans="1:11" ht="30" x14ac:dyDescent="0.2">
      <c r="A1188" s="1" t="s">
        <v>1096</v>
      </c>
      <c r="B1188" s="1" t="s">
        <v>1123</v>
      </c>
      <c r="C1188" s="1" t="str">
        <f>"12896"</f>
        <v>12896</v>
      </c>
      <c r="D1188" s="1" t="str">
        <f>"12896"</f>
        <v>12896</v>
      </c>
      <c r="E1188" s="1" t="s">
        <v>17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</row>
    <row r="1189" spans="1:11" ht="30" x14ac:dyDescent="0.2">
      <c r="A1189" s="1" t="s">
        <v>1096</v>
      </c>
      <c r="B1189" s="1" t="s">
        <v>1124</v>
      </c>
      <c r="C1189" s="1" t="str">
        <f>"14335"</f>
        <v>14335</v>
      </c>
      <c r="D1189" s="1" t="str">
        <f>"14335"</f>
        <v>14335</v>
      </c>
      <c r="E1189" s="1" t="s">
        <v>17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</row>
    <row r="1190" spans="1:11" ht="30" x14ac:dyDescent="0.2">
      <c r="A1190" s="1" t="s">
        <v>1096</v>
      </c>
      <c r="B1190" s="1" t="s">
        <v>1125</v>
      </c>
      <c r="C1190" s="1" t="str">
        <f>"14334"</f>
        <v>14334</v>
      </c>
      <c r="D1190" s="1" t="str">
        <f>"14334"</f>
        <v>14334</v>
      </c>
      <c r="E1190" s="1" t="s">
        <v>17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</row>
    <row r="1191" spans="1:11" ht="30" x14ac:dyDescent="0.2">
      <c r="A1191" s="1" t="s">
        <v>1096</v>
      </c>
      <c r="B1191" s="1" t="s">
        <v>1126</v>
      </c>
      <c r="C1191" s="1" t="str">
        <f>"14318"</f>
        <v>14318</v>
      </c>
      <c r="D1191" s="1" t="str">
        <f>"14318"</f>
        <v>14318</v>
      </c>
      <c r="E1191" s="1" t="s">
        <v>17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</row>
    <row r="1192" spans="1:11" ht="30" x14ac:dyDescent="0.2">
      <c r="A1192" s="1" t="s">
        <v>1096</v>
      </c>
      <c r="B1192" s="1" t="s">
        <v>1127</v>
      </c>
      <c r="C1192" s="1" t="str">
        <f>"14317"</f>
        <v>14317</v>
      </c>
      <c r="D1192" s="1" t="str">
        <f>"14317"</f>
        <v>14317</v>
      </c>
      <c r="E1192" s="1" t="s">
        <v>17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</row>
    <row r="1193" spans="1:11" ht="30" x14ac:dyDescent="0.2">
      <c r="A1193" s="1" t="s">
        <v>1096</v>
      </c>
      <c r="B1193" s="1" t="s">
        <v>1128</v>
      </c>
      <c r="C1193" s="1" t="str">
        <f>"14312"</f>
        <v>14312</v>
      </c>
      <c r="D1193" s="1" t="str">
        <f>"14312"</f>
        <v>14312</v>
      </c>
      <c r="E1193" s="1" t="s">
        <v>17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</row>
    <row r="1194" spans="1:11" ht="30" x14ac:dyDescent="0.2">
      <c r="A1194" s="1" t="s">
        <v>1096</v>
      </c>
      <c r="B1194" s="1" t="s">
        <v>1129</v>
      </c>
      <c r="C1194" s="1" t="str">
        <f>"14314"</f>
        <v>14314</v>
      </c>
      <c r="D1194" s="1" t="str">
        <f>"14314"</f>
        <v>14314</v>
      </c>
      <c r="E1194" s="1" t="s">
        <v>17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</row>
    <row r="1195" spans="1:11" ht="30" x14ac:dyDescent="0.2">
      <c r="A1195" s="1" t="s">
        <v>1096</v>
      </c>
      <c r="B1195" s="1" t="s">
        <v>1130</v>
      </c>
      <c r="C1195" s="1" t="str">
        <f>"14315"</f>
        <v>14315</v>
      </c>
      <c r="D1195" s="1" t="str">
        <f>"14315"</f>
        <v>14315</v>
      </c>
      <c r="E1195" s="1" t="s">
        <v>17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</row>
    <row r="1196" spans="1:11" ht="30" x14ac:dyDescent="0.2">
      <c r="A1196" s="1" t="s">
        <v>1096</v>
      </c>
      <c r="B1196" s="1" t="s">
        <v>1131</v>
      </c>
      <c r="C1196" s="1" t="str">
        <f>"10782"</f>
        <v>10782</v>
      </c>
      <c r="D1196" s="1" t="str">
        <f>"10782"</f>
        <v>10782</v>
      </c>
      <c r="E1196" s="1" t="s">
        <v>17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</row>
    <row r="1197" spans="1:11" ht="30" x14ac:dyDescent="0.2">
      <c r="A1197" s="1" t="s">
        <v>1096</v>
      </c>
      <c r="B1197" s="1" t="s">
        <v>1132</v>
      </c>
      <c r="C1197" s="1" t="str">
        <f>"10783"</f>
        <v>10783</v>
      </c>
      <c r="D1197" s="1" t="str">
        <f>"10783"</f>
        <v>10783</v>
      </c>
      <c r="E1197" s="1" t="s">
        <v>17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</row>
    <row r="1198" spans="1:11" ht="30" x14ac:dyDescent="0.2">
      <c r="A1198" s="1" t="s">
        <v>1096</v>
      </c>
      <c r="B1198" s="1" t="s">
        <v>1133</v>
      </c>
      <c r="C1198" s="1" t="str">
        <f>"13012"</f>
        <v>13012</v>
      </c>
      <c r="D1198" s="1" t="str">
        <f>"13012"</f>
        <v>13012</v>
      </c>
      <c r="E1198" s="1" t="s">
        <v>17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</row>
    <row r="1199" spans="1:11" ht="30" x14ac:dyDescent="0.2">
      <c r="A1199" s="1" t="s">
        <v>1096</v>
      </c>
      <c r="B1199" s="1" t="s">
        <v>1134</v>
      </c>
      <c r="C1199" s="1" t="str">
        <f>"13011"</f>
        <v>13011</v>
      </c>
      <c r="D1199" s="1" t="str">
        <f>"13011"</f>
        <v>13011</v>
      </c>
      <c r="E1199" s="1" t="s">
        <v>17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</row>
    <row r="1200" spans="1:11" ht="30" x14ac:dyDescent="0.2">
      <c r="A1200" s="1" t="s">
        <v>1096</v>
      </c>
      <c r="B1200" s="1" t="s">
        <v>1135</v>
      </c>
      <c r="C1200" s="1" t="str">
        <f>"13013"</f>
        <v>13013</v>
      </c>
      <c r="D1200" s="1" t="str">
        <f>"13013"</f>
        <v>13013</v>
      </c>
      <c r="E1200" s="1" t="s">
        <v>17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</row>
    <row r="1201" spans="1:11" ht="30" x14ac:dyDescent="0.2">
      <c r="A1201" s="1" t="s">
        <v>1096</v>
      </c>
      <c r="B1201" s="1" t="s">
        <v>1136</v>
      </c>
      <c r="C1201" s="1" t="str">
        <f>"13014"</f>
        <v>13014</v>
      </c>
      <c r="D1201" s="1" t="str">
        <f>"13014"</f>
        <v>13014</v>
      </c>
      <c r="E1201" s="1" t="s">
        <v>17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</row>
    <row r="1202" spans="1:11" ht="30" x14ac:dyDescent="0.2">
      <c r="A1202" s="1" t="s">
        <v>1096</v>
      </c>
      <c r="B1202" s="1" t="s">
        <v>1137</v>
      </c>
      <c r="C1202" s="1" t="str">
        <f>"16235"</f>
        <v>16235</v>
      </c>
      <c r="D1202" s="1" t="str">
        <f>"16235"</f>
        <v>16235</v>
      </c>
      <c r="E1202" s="1" t="s">
        <v>17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</row>
    <row r="1203" spans="1:11" ht="30" x14ac:dyDescent="0.2">
      <c r="A1203" s="1" t="s">
        <v>1096</v>
      </c>
      <c r="B1203" s="1" t="s">
        <v>1138</v>
      </c>
      <c r="C1203" s="1" t="str">
        <f>"14490"</f>
        <v>14490</v>
      </c>
      <c r="D1203" s="1" t="str">
        <f>"14490"</f>
        <v>14490</v>
      </c>
      <c r="E1203" s="1" t="s">
        <v>17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</row>
    <row r="1204" spans="1:11" ht="30" x14ac:dyDescent="0.2">
      <c r="A1204" s="1" t="s">
        <v>1096</v>
      </c>
      <c r="B1204" s="1" t="s">
        <v>1139</v>
      </c>
      <c r="C1204" s="1" t="str">
        <f>"14491"</f>
        <v>14491</v>
      </c>
      <c r="D1204" s="1" t="str">
        <f>"14491"</f>
        <v>14491</v>
      </c>
      <c r="E1204" s="1" t="s">
        <v>17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</row>
    <row r="1205" spans="1:11" ht="30" x14ac:dyDescent="0.2">
      <c r="A1205" s="1" t="s">
        <v>1096</v>
      </c>
      <c r="B1205" s="1" t="s">
        <v>1140</v>
      </c>
      <c r="C1205" s="1" t="str">
        <f>"14483"</f>
        <v>14483</v>
      </c>
      <c r="D1205" s="1" t="str">
        <f>"14483"</f>
        <v>14483</v>
      </c>
      <c r="E1205" s="1" t="s">
        <v>17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</row>
    <row r="1206" spans="1:11" ht="30" x14ac:dyDescent="0.2">
      <c r="A1206" s="1" t="s">
        <v>1096</v>
      </c>
      <c r="B1206" s="1" t="s">
        <v>1141</v>
      </c>
      <c r="C1206" s="1" t="str">
        <f>"14484"</f>
        <v>14484</v>
      </c>
      <c r="D1206" s="1" t="str">
        <f>"14484"</f>
        <v>14484</v>
      </c>
      <c r="E1206" s="1" t="s">
        <v>17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</row>
    <row r="1207" spans="1:11" ht="30" x14ac:dyDescent="0.2">
      <c r="A1207" s="1" t="s">
        <v>1096</v>
      </c>
      <c r="B1207" s="1" t="s">
        <v>1142</v>
      </c>
      <c r="C1207" s="1" t="str">
        <f>"16236"</f>
        <v>16236</v>
      </c>
      <c r="D1207" s="1" t="str">
        <f>"16236"</f>
        <v>16236</v>
      </c>
      <c r="E1207" s="1" t="s">
        <v>17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</row>
    <row r="1208" spans="1:11" ht="30" x14ac:dyDescent="0.2">
      <c r="A1208" s="1" t="s">
        <v>1096</v>
      </c>
      <c r="B1208" s="1" t="s">
        <v>1143</v>
      </c>
      <c r="C1208" s="1" t="str">
        <f>"14489"</f>
        <v>14489</v>
      </c>
      <c r="D1208" s="1" t="str">
        <f>"14489"</f>
        <v>14489</v>
      </c>
      <c r="E1208" s="1" t="s">
        <v>17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</row>
    <row r="1209" spans="1:11" ht="30" x14ac:dyDescent="0.2">
      <c r="A1209" s="1" t="s">
        <v>1096</v>
      </c>
      <c r="B1209" s="1" t="s">
        <v>1144</v>
      </c>
      <c r="C1209" s="1" t="str">
        <f>"66298835314067"</f>
        <v>66298835314067</v>
      </c>
      <c r="D1209" s="1" t="str">
        <f>"14469"</f>
        <v>14469</v>
      </c>
      <c r="E1209" s="1" t="s">
        <v>17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</row>
    <row r="1210" spans="1:11" ht="30" x14ac:dyDescent="0.2">
      <c r="A1210" s="1" t="s">
        <v>1096</v>
      </c>
      <c r="B1210" s="1" t="s">
        <v>1145</v>
      </c>
      <c r="C1210" s="1" t="str">
        <f>"66298835355573"</f>
        <v>66298835355573</v>
      </c>
      <c r="D1210" s="1" t="str">
        <f>"13734"</f>
        <v>13734</v>
      </c>
      <c r="E1210" s="1" t="s">
        <v>17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</row>
    <row r="1211" spans="1:11" x14ac:dyDescent="0.2">
      <c r="A1211" s="1" t="s">
        <v>1096</v>
      </c>
      <c r="B1211" s="1" t="s">
        <v>1146</v>
      </c>
      <c r="C1211" s="1" t="str">
        <f>"66298835392119"</f>
        <v>66298835392119</v>
      </c>
      <c r="D1211" s="1" t="str">
        <f>"13737"</f>
        <v>13737</v>
      </c>
      <c r="E1211" s="1" t="s">
        <v>17</v>
      </c>
      <c r="F1211" s="1">
        <v>1</v>
      </c>
      <c r="G1211" s="1">
        <v>35286</v>
      </c>
      <c r="H1211" s="1">
        <v>35286</v>
      </c>
      <c r="I1211" s="1">
        <v>0</v>
      </c>
      <c r="J1211" s="1">
        <v>1</v>
      </c>
      <c r="K1211" s="1">
        <v>0</v>
      </c>
    </row>
    <row r="1212" spans="1:11" x14ac:dyDescent="0.2">
      <c r="A1212" s="1" t="s">
        <v>1096</v>
      </c>
      <c r="B1212" s="1" t="s">
        <v>1147</v>
      </c>
      <c r="C1212" s="1" t="str">
        <f>"66298835433798"</f>
        <v>66298835433798</v>
      </c>
      <c r="D1212" s="1" t="str">
        <f>"13742"</f>
        <v>13742</v>
      </c>
      <c r="E1212" s="1" t="s">
        <v>17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</row>
    <row r="1213" spans="1:11" x14ac:dyDescent="0.2">
      <c r="A1213" s="1" t="s">
        <v>1096</v>
      </c>
      <c r="B1213" s="1" t="s">
        <v>1148</v>
      </c>
      <c r="C1213" s="1" t="str">
        <f>"66298835475424"</f>
        <v>66298835475424</v>
      </c>
      <c r="D1213" s="1" t="str">
        <f>"13492"</f>
        <v>13492</v>
      </c>
      <c r="E1213" s="1" t="s">
        <v>17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</row>
    <row r="1214" spans="1:11" x14ac:dyDescent="0.2">
      <c r="A1214" s="1" t="s">
        <v>1096</v>
      </c>
      <c r="B1214" s="1" t="s">
        <v>1149</v>
      </c>
      <c r="C1214" s="1" t="str">
        <f>"66298835514853"</f>
        <v>66298835514853</v>
      </c>
      <c r="D1214" s="1" t="str">
        <f>"1379A"</f>
        <v>1379A</v>
      </c>
      <c r="E1214" s="1" t="s">
        <v>17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</row>
    <row r="1215" spans="1:11" x14ac:dyDescent="0.2">
      <c r="A1215" s="1" t="s">
        <v>1096</v>
      </c>
      <c r="B1215" s="1" t="s">
        <v>1150</v>
      </c>
      <c r="C1215" s="1" t="str">
        <f>"66298835559620"</f>
        <v>66298835559620</v>
      </c>
      <c r="D1215" s="1" t="str">
        <f>"1379B"</f>
        <v>1379B</v>
      </c>
      <c r="E1215" s="1" t="s">
        <v>17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</row>
    <row r="1216" spans="1:11" x14ac:dyDescent="0.2">
      <c r="A1216" s="1" t="s">
        <v>1096</v>
      </c>
      <c r="B1216" s="1" t="s">
        <v>1151</v>
      </c>
      <c r="C1216" s="1" t="str">
        <f>"66298835601278"</f>
        <v>66298835601278</v>
      </c>
      <c r="D1216" s="1" t="str">
        <f>"1379N"</f>
        <v>1379N</v>
      </c>
      <c r="E1216" s="1" t="s">
        <v>17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</row>
    <row r="1217" spans="1:11" x14ac:dyDescent="0.2">
      <c r="A1217" s="1" t="s">
        <v>1096</v>
      </c>
      <c r="B1217" s="1" t="s">
        <v>1152</v>
      </c>
      <c r="C1217" s="1" t="str">
        <f>"66298835643005"</f>
        <v>66298835643005</v>
      </c>
      <c r="D1217" s="1" t="str">
        <f>"1379M"</f>
        <v>1379M</v>
      </c>
      <c r="E1217" s="1" t="s">
        <v>17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</row>
    <row r="1218" spans="1:11" x14ac:dyDescent="0.2">
      <c r="A1218" s="1" t="s">
        <v>1096</v>
      </c>
      <c r="B1218" s="1" t="s">
        <v>1153</v>
      </c>
      <c r="C1218" s="1" t="str">
        <f>"66298835683615"</f>
        <v>66298835683615</v>
      </c>
      <c r="D1218" s="1" t="str">
        <f>"1379R"</f>
        <v>1379R</v>
      </c>
      <c r="E1218" s="1" t="s">
        <v>17</v>
      </c>
      <c r="F1218" s="1">
        <v>2</v>
      </c>
      <c r="G1218" s="1">
        <v>15966</v>
      </c>
      <c r="H1218" s="1">
        <v>31932</v>
      </c>
      <c r="I1218" s="1">
        <v>0</v>
      </c>
      <c r="J1218" s="1">
        <v>2</v>
      </c>
      <c r="K1218" s="1">
        <v>0</v>
      </c>
    </row>
    <row r="1219" spans="1:11" x14ac:dyDescent="0.2">
      <c r="A1219" s="1" t="s">
        <v>1096</v>
      </c>
      <c r="B1219" s="1" t="s">
        <v>1154</v>
      </c>
      <c r="C1219" s="1" t="str">
        <f>"66298835722889"</f>
        <v>66298835722889</v>
      </c>
      <c r="D1219" s="1" t="str">
        <f>"W015-NEG/ROJ-L"</f>
        <v>W015-NEG/ROJ-L</v>
      </c>
      <c r="E1219" s="1" t="s">
        <v>17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</row>
    <row r="1220" spans="1:11" x14ac:dyDescent="0.2">
      <c r="A1220" s="1" t="s">
        <v>1096</v>
      </c>
      <c r="B1220" s="1" t="s">
        <v>1155</v>
      </c>
      <c r="C1220" s="1" t="str">
        <f>"66298835766424"</f>
        <v>66298835766424</v>
      </c>
      <c r="D1220" s="1" t="str">
        <f>"561"</f>
        <v>561</v>
      </c>
      <c r="E1220" s="1" t="s">
        <v>17</v>
      </c>
      <c r="F1220" s="1">
        <v>5</v>
      </c>
      <c r="G1220" s="1">
        <v>21848</v>
      </c>
      <c r="H1220" s="1">
        <v>109240</v>
      </c>
      <c r="I1220" s="1">
        <v>0</v>
      </c>
      <c r="J1220" s="1">
        <v>5</v>
      </c>
      <c r="K1220" s="1">
        <v>0</v>
      </c>
    </row>
    <row r="1221" spans="1:11" x14ac:dyDescent="0.2">
      <c r="A1221" s="1" t="s">
        <v>1156</v>
      </c>
      <c r="B1221" s="1" t="s">
        <v>1157</v>
      </c>
      <c r="C1221" s="1" t="str">
        <f>"10000040033"</f>
        <v>10000040033</v>
      </c>
      <c r="D1221" s="1" t="str">
        <f>"10000040033"</f>
        <v>10000040033</v>
      </c>
      <c r="E1221" s="1" t="s">
        <v>17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</row>
    <row r="1222" spans="1:11" x14ac:dyDescent="0.2">
      <c r="A1222" s="1" t="s">
        <v>1156</v>
      </c>
      <c r="B1222" s="1" t="s">
        <v>1158</v>
      </c>
      <c r="C1222" s="1" t="str">
        <f>"66298835807824"</f>
        <v>66298835807824</v>
      </c>
      <c r="D1222" s="1" t="str">
        <f>"49CC60"</f>
        <v>49CC60</v>
      </c>
      <c r="E1222" s="1" t="s">
        <v>17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</row>
    <row r="1223" spans="1:11" x14ac:dyDescent="0.2">
      <c r="A1223" s="1" t="s">
        <v>1156</v>
      </c>
      <c r="B1223" s="1" t="s">
        <v>1159</v>
      </c>
      <c r="C1223" s="1" t="str">
        <f>"N031"</f>
        <v>N031</v>
      </c>
      <c r="D1223" s="1" t="str">
        <f>"N031"</f>
        <v>N031</v>
      </c>
      <c r="E1223" s="1" t="s">
        <v>17</v>
      </c>
      <c r="F1223" s="1">
        <v>3</v>
      </c>
      <c r="G1223" s="1">
        <v>3888.01</v>
      </c>
      <c r="H1223" s="1">
        <v>11664</v>
      </c>
      <c r="I1223" s="1">
        <v>0</v>
      </c>
      <c r="J1223" s="1">
        <v>3</v>
      </c>
      <c r="K1223" s="1">
        <v>0</v>
      </c>
    </row>
    <row r="1224" spans="1:11" x14ac:dyDescent="0.2">
      <c r="A1224" s="1" t="s">
        <v>1156</v>
      </c>
      <c r="B1224" s="1" t="s">
        <v>1160</v>
      </c>
      <c r="C1224" s="1" t="str">
        <f>"66298835845930"</f>
        <v>66298835845930</v>
      </c>
      <c r="D1224" s="1" t="str">
        <f>"S102-CATALINA"</f>
        <v>S102-CATALINA</v>
      </c>
      <c r="E1224" s="1" t="s">
        <v>17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</row>
    <row r="1225" spans="1:11" x14ac:dyDescent="0.2">
      <c r="A1225" s="1" t="s">
        <v>1156</v>
      </c>
      <c r="B1225" s="1" t="s">
        <v>1160</v>
      </c>
      <c r="C1225" s="1" t="str">
        <f>"10000040009"</f>
        <v>10000040009</v>
      </c>
      <c r="D1225" s="1" t="str">
        <f>"10000040009"</f>
        <v>10000040009</v>
      </c>
      <c r="E1225" s="1" t="s">
        <v>17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</row>
    <row r="1226" spans="1:11" x14ac:dyDescent="0.2">
      <c r="A1226" s="1" t="s">
        <v>1156</v>
      </c>
      <c r="B1226" s="1" t="s">
        <v>1161</v>
      </c>
      <c r="C1226" s="1" t="str">
        <f>"10000043012"</f>
        <v>10000043012</v>
      </c>
      <c r="D1226" s="1" t="str">
        <f>"10000043012"</f>
        <v>10000043012</v>
      </c>
      <c r="E1226" s="1" t="s">
        <v>17</v>
      </c>
      <c r="F1226" s="1">
        <v>2</v>
      </c>
      <c r="G1226" s="1">
        <v>6201.68</v>
      </c>
      <c r="H1226" s="1">
        <v>12403</v>
      </c>
      <c r="I1226" s="1">
        <v>0</v>
      </c>
      <c r="J1226" s="1">
        <v>2</v>
      </c>
      <c r="K1226" s="1">
        <v>0</v>
      </c>
    </row>
    <row r="1227" spans="1:11" x14ac:dyDescent="0.2">
      <c r="A1227" s="1" t="s">
        <v>1156</v>
      </c>
      <c r="B1227" s="1" t="s">
        <v>1162</v>
      </c>
      <c r="C1227" s="1" t="str">
        <f>"20020"</f>
        <v>20020</v>
      </c>
      <c r="D1227" s="1" t="str">
        <f>"20020"</f>
        <v>20020</v>
      </c>
      <c r="E1227" s="1" t="s">
        <v>17</v>
      </c>
      <c r="F1227" s="1">
        <v>1</v>
      </c>
      <c r="G1227" s="1">
        <v>5390</v>
      </c>
      <c r="H1227" s="1">
        <v>5390</v>
      </c>
      <c r="I1227" s="1">
        <v>0</v>
      </c>
      <c r="J1227" s="1">
        <v>1</v>
      </c>
      <c r="K1227" s="1">
        <v>0</v>
      </c>
    </row>
    <row r="1228" spans="1:11" x14ac:dyDescent="0.2">
      <c r="A1228" s="1" t="s">
        <v>1156</v>
      </c>
      <c r="B1228" s="1" t="s">
        <v>1163</v>
      </c>
      <c r="C1228" s="1" t="str">
        <f>"66298835883001"</f>
        <v>66298835883001</v>
      </c>
      <c r="D1228" s="1" t="str">
        <f>"41202-KWT-900JP"</f>
        <v>41202-KWT-900JP</v>
      </c>
      <c r="E1228" s="1" t="s">
        <v>17</v>
      </c>
      <c r="F1228" s="1">
        <v>10</v>
      </c>
      <c r="G1228" s="1">
        <v>6174</v>
      </c>
      <c r="H1228" s="1">
        <v>61740</v>
      </c>
      <c r="I1228" s="1">
        <v>0</v>
      </c>
      <c r="J1228" s="1">
        <v>10</v>
      </c>
      <c r="K1228" s="1">
        <v>0</v>
      </c>
    </row>
    <row r="1229" spans="1:11" x14ac:dyDescent="0.2">
      <c r="A1229" s="1" t="s">
        <v>1156</v>
      </c>
      <c r="B1229" s="1" t="s">
        <v>1164</v>
      </c>
      <c r="C1229" s="1" t="str">
        <f>"42041-1199VA"</f>
        <v>42041-1199VA</v>
      </c>
      <c r="D1229" s="1" t="str">
        <f>"42041-1199VA"</f>
        <v>42041-1199VA</v>
      </c>
      <c r="E1229" s="1" t="s">
        <v>17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</row>
    <row r="1230" spans="1:11" x14ac:dyDescent="0.2">
      <c r="A1230" s="1" t="s">
        <v>1156</v>
      </c>
      <c r="B1230" s="1" t="s">
        <v>1165</v>
      </c>
      <c r="C1230" s="1" t="str">
        <f>"66298835926385"</f>
        <v>66298835926385</v>
      </c>
      <c r="D1230" s="1" t="str">
        <f>"64511-01D04JP"</f>
        <v>64511-01D04JP</v>
      </c>
      <c r="E1230" s="1" t="s">
        <v>17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</row>
    <row r="1231" spans="1:11" x14ac:dyDescent="0.2">
      <c r="A1231" s="1" t="s">
        <v>1156</v>
      </c>
      <c r="B1231" s="1" t="s">
        <v>1166</v>
      </c>
      <c r="C1231" s="1" t="str">
        <f>"66298835964925"</f>
        <v>66298835964925</v>
      </c>
      <c r="D1231" s="1" t="str">
        <f>"DJ-1511-10"</f>
        <v>DJ-1511-10</v>
      </c>
      <c r="E1231" s="1" t="s">
        <v>17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</row>
    <row r="1232" spans="1:11" x14ac:dyDescent="0.2">
      <c r="A1232" s="1" t="s">
        <v>1156</v>
      </c>
      <c r="B1232" s="1" t="s">
        <v>1167</v>
      </c>
      <c r="C1232" s="1" t="str">
        <f>"10000048184"</f>
        <v>10000048184</v>
      </c>
      <c r="D1232" s="1" t="str">
        <f>"10000048184"</f>
        <v>10000048184</v>
      </c>
      <c r="E1232" s="1" t="s">
        <v>17</v>
      </c>
      <c r="F1232" s="1">
        <v>2</v>
      </c>
      <c r="G1232" s="1">
        <v>11546.22</v>
      </c>
      <c r="H1232" s="1">
        <v>23092</v>
      </c>
      <c r="I1232" s="1">
        <v>0</v>
      </c>
      <c r="J1232" s="1">
        <v>2</v>
      </c>
      <c r="K1232" s="1">
        <v>0</v>
      </c>
    </row>
    <row r="1233" spans="1:11" x14ac:dyDescent="0.2">
      <c r="A1233" s="1" t="s">
        <v>1156</v>
      </c>
      <c r="B1233" s="1" t="s">
        <v>1168</v>
      </c>
      <c r="C1233" s="1" t="str">
        <f>"66298836002316"</f>
        <v>66298836002316</v>
      </c>
      <c r="D1233" s="1" t="str">
        <f>"41200-KSH-930JP"</f>
        <v>41200-KSH-930JP</v>
      </c>
      <c r="E1233" s="1" t="s">
        <v>17</v>
      </c>
      <c r="F1233" s="1">
        <v>3</v>
      </c>
      <c r="G1233" s="1">
        <v>4807</v>
      </c>
      <c r="H1233" s="1">
        <v>14421</v>
      </c>
      <c r="I1233" s="1">
        <v>0</v>
      </c>
      <c r="J1233" s="1">
        <v>3</v>
      </c>
      <c r="K1233" s="1">
        <v>0</v>
      </c>
    </row>
    <row r="1234" spans="1:11" x14ac:dyDescent="0.2">
      <c r="A1234" s="1" t="s">
        <v>1156</v>
      </c>
      <c r="B1234" s="1" t="s">
        <v>1169</v>
      </c>
      <c r="C1234" s="1" t="str">
        <f>"66298836041969"</f>
        <v>66298836041969</v>
      </c>
      <c r="D1234" s="1" t="str">
        <f>"21C-F5440-00VA"</f>
        <v>21C-F5440-00VA</v>
      </c>
      <c r="E1234" s="1" t="s">
        <v>17</v>
      </c>
      <c r="F1234" s="1">
        <v>2</v>
      </c>
      <c r="G1234" s="1">
        <v>7294</v>
      </c>
      <c r="H1234" s="1">
        <v>14588</v>
      </c>
      <c r="I1234" s="1">
        <v>0</v>
      </c>
      <c r="J1234" s="1">
        <v>2</v>
      </c>
      <c r="K1234" s="1">
        <v>0</v>
      </c>
    </row>
    <row r="1235" spans="1:11" x14ac:dyDescent="0.2">
      <c r="A1235" s="1" t="s">
        <v>1156</v>
      </c>
      <c r="B1235" s="1" t="s">
        <v>1169</v>
      </c>
      <c r="C1235" s="1" t="str">
        <f>"10000041709"</f>
        <v>10000041709</v>
      </c>
      <c r="D1235" s="1" t="str">
        <f>"10000041709"</f>
        <v>10000041709</v>
      </c>
      <c r="E1235" s="1" t="s">
        <v>17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</row>
    <row r="1236" spans="1:11" x14ac:dyDescent="0.2">
      <c r="A1236" s="1" t="s">
        <v>1156</v>
      </c>
      <c r="B1236" s="1" t="s">
        <v>1170</v>
      </c>
      <c r="C1236" s="1" t="str">
        <f>"66298836082894"</f>
        <v>66298836082894</v>
      </c>
      <c r="D1236" s="1" t="str">
        <f>"1ED-F5440-00JP"</f>
        <v>1ED-F5440-00JP</v>
      </c>
      <c r="E1236" s="1" t="s">
        <v>17</v>
      </c>
      <c r="F1236" s="1">
        <v>2</v>
      </c>
      <c r="G1236" s="1">
        <v>5820</v>
      </c>
      <c r="H1236" s="1">
        <v>11640</v>
      </c>
      <c r="I1236" s="1">
        <v>0</v>
      </c>
      <c r="J1236" s="1">
        <v>2</v>
      </c>
      <c r="K1236" s="1">
        <v>0</v>
      </c>
    </row>
    <row r="1237" spans="1:11" x14ac:dyDescent="0.2">
      <c r="A1237" s="1" t="s">
        <v>1156</v>
      </c>
      <c r="B1237" s="1" t="s">
        <v>1171</v>
      </c>
      <c r="C1237" s="1" t="str">
        <f>"10000041504"</f>
        <v>10000041504</v>
      </c>
      <c r="D1237" s="1" t="str">
        <f>"10000041504"</f>
        <v>10000041504</v>
      </c>
      <c r="E1237" s="1" t="s">
        <v>17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</row>
    <row r="1238" spans="1:11" ht="30" x14ac:dyDescent="0.2">
      <c r="A1238" s="1" t="s">
        <v>1156</v>
      </c>
      <c r="B1238" s="1" t="s">
        <v>1172</v>
      </c>
      <c r="C1238" s="1" t="str">
        <f>"JTR1316.41"</f>
        <v>JTR1316.41</v>
      </c>
      <c r="D1238" s="1" t="str">
        <f>"JTR1316.41"</f>
        <v>JTR1316.41</v>
      </c>
      <c r="E1238" s="1" t="s">
        <v>17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</row>
    <row r="1239" spans="1:11" x14ac:dyDescent="0.2">
      <c r="A1239" s="1" t="s">
        <v>1156</v>
      </c>
      <c r="B1239" s="1" t="s">
        <v>1173</v>
      </c>
      <c r="C1239" s="1" t="str">
        <f>"10000043014"</f>
        <v>10000043014</v>
      </c>
      <c r="D1239" s="1" t="str">
        <f>"10000043014"</f>
        <v>10000043014</v>
      </c>
      <c r="E1239" s="1" t="s">
        <v>17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</row>
    <row r="1240" spans="1:11" x14ac:dyDescent="0.2">
      <c r="A1240" s="1" t="s">
        <v>1156</v>
      </c>
      <c r="B1240" s="1" t="s">
        <v>1174</v>
      </c>
      <c r="C1240" s="1" t="str">
        <f>"66298836121204"</f>
        <v>66298836121204</v>
      </c>
      <c r="D1240" s="1" t="str">
        <f>"64511-30H00JP"</f>
        <v>64511-30H00JP</v>
      </c>
      <c r="E1240" s="1" t="s">
        <v>17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</row>
    <row r="1241" spans="1:11" x14ac:dyDescent="0.2">
      <c r="A1241" s="1" t="s">
        <v>1156</v>
      </c>
      <c r="B1241" s="1" t="s">
        <v>1175</v>
      </c>
      <c r="C1241" s="1" t="str">
        <f>"12189"</f>
        <v>12189</v>
      </c>
      <c r="D1241" s="1" t="str">
        <f>"12189"</f>
        <v>12189</v>
      </c>
      <c r="E1241" s="1" t="s">
        <v>17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</row>
    <row r="1242" spans="1:11" x14ac:dyDescent="0.2">
      <c r="A1242" s="1" t="s">
        <v>1156</v>
      </c>
      <c r="B1242" s="1" t="s">
        <v>1176</v>
      </c>
      <c r="C1242" s="1" t="str">
        <f>"U003C"</f>
        <v>U003C</v>
      </c>
      <c r="D1242" s="1" t="str">
        <f>"U003C"</f>
        <v>U003C</v>
      </c>
      <c r="E1242" s="1" t="s">
        <v>17</v>
      </c>
      <c r="F1242" s="1">
        <v>1</v>
      </c>
      <c r="G1242" s="1">
        <v>3400</v>
      </c>
      <c r="H1242" s="1">
        <v>3400</v>
      </c>
      <c r="I1242" s="1">
        <v>0</v>
      </c>
      <c r="J1242" s="1">
        <v>1</v>
      </c>
      <c r="K1242" s="1">
        <v>0</v>
      </c>
    </row>
    <row r="1243" spans="1:11" x14ac:dyDescent="0.2">
      <c r="A1243" s="1" t="s">
        <v>1156</v>
      </c>
      <c r="B1243" s="1" t="s">
        <v>1177</v>
      </c>
      <c r="C1243" s="1" t="str">
        <f>"10000041694"</f>
        <v>10000041694</v>
      </c>
      <c r="D1243" s="1" t="str">
        <f>"10000041694"</f>
        <v>10000041694</v>
      </c>
      <c r="E1243" s="1" t="s">
        <v>17</v>
      </c>
      <c r="F1243" s="1">
        <v>2</v>
      </c>
      <c r="G1243" s="1">
        <v>6252.1</v>
      </c>
      <c r="H1243" s="1">
        <v>12504</v>
      </c>
      <c r="I1243" s="1">
        <v>0</v>
      </c>
      <c r="J1243" s="1">
        <v>2</v>
      </c>
      <c r="K1243" s="1">
        <v>0</v>
      </c>
    </row>
    <row r="1244" spans="1:11" x14ac:dyDescent="0.2">
      <c r="A1244" s="1" t="s">
        <v>1156</v>
      </c>
      <c r="B1244" s="1" t="s">
        <v>1178</v>
      </c>
      <c r="C1244" s="1" t="str">
        <f>"66298836164796"</f>
        <v>66298836164796</v>
      </c>
      <c r="D1244" s="1" t="str">
        <f>"N008"</f>
        <v>N008</v>
      </c>
      <c r="E1244" s="1" t="s">
        <v>17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</row>
    <row r="1245" spans="1:11" ht="30" x14ac:dyDescent="0.2">
      <c r="A1245" s="1" t="s">
        <v>1156</v>
      </c>
      <c r="B1245" s="1" t="s">
        <v>1179</v>
      </c>
      <c r="C1245" s="1" t="str">
        <f>"66298836207120"</f>
        <v>66298836207120</v>
      </c>
      <c r="D1245" s="1" t="str">
        <f>"41200-KSP-B00JP"</f>
        <v>41200-KSP-B00JP</v>
      </c>
      <c r="E1245" s="1" t="s">
        <v>17</v>
      </c>
      <c r="F1245" s="1">
        <v>2</v>
      </c>
      <c r="G1245" s="1">
        <v>4714</v>
      </c>
      <c r="H1245" s="1">
        <v>9428</v>
      </c>
      <c r="I1245" s="1">
        <v>0</v>
      </c>
      <c r="J1245" s="1">
        <v>2</v>
      </c>
      <c r="K1245" s="1">
        <v>0</v>
      </c>
    </row>
    <row r="1246" spans="1:11" x14ac:dyDescent="0.2">
      <c r="A1246" s="1" t="s">
        <v>1156</v>
      </c>
      <c r="B1246" s="1" t="s">
        <v>1180</v>
      </c>
      <c r="C1246" s="1" t="str">
        <f>"66298836250003"</f>
        <v>66298836250003</v>
      </c>
      <c r="D1246" s="1" t="str">
        <f>"64511-32E00JP"</f>
        <v>64511-32E00JP</v>
      </c>
      <c r="E1246" s="1" t="s">
        <v>17</v>
      </c>
      <c r="F1246" s="1">
        <v>1</v>
      </c>
      <c r="G1246" s="1">
        <v>6440</v>
      </c>
      <c r="H1246" s="1">
        <v>6440</v>
      </c>
      <c r="I1246" s="1">
        <v>0</v>
      </c>
      <c r="J1246" s="1">
        <v>1</v>
      </c>
      <c r="K1246" s="1">
        <v>0</v>
      </c>
    </row>
    <row r="1247" spans="1:11" x14ac:dyDescent="0.2">
      <c r="A1247" s="1" t="s">
        <v>1156</v>
      </c>
      <c r="B1247" s="1" t="s">
        <v>1181</v>
      </c>
      <c r="C1247" s="1" t="str">
        <f>"66298836293252"</f>
        <v>66298836293252</v>
      </c>
      <c r="D1247" s="1" t="str">
        <f>"DX-1510-23JP"</f>
        <v>DX-1510-23JP</v>
      </c>
      <c r="E1247" s="1" t="s">
        <v>17</v>
      </c>
      <c r="F1247" s="1">
        <v>1</v>
      </c>
      <c r="G1247" s="1">
        <v>3566</v>
      </c>
      <c r="H1247" s="1">
        <v>3566</v>
      </c>
      <c r="I1247" s="1">
        <v>0</v>
      </c>
      <c r="J1247" s="1">
        <v>1</v>
      </c>
      <c r="K1247" s="1">
        <v>0</v>
      </c>
    </row>
    <row r="1248" spans="1:11" x14ac:dyDescent="0.2">
      <c r="A1248" s="1" t="s">
        <v>1156</v>
      </c>
      <c r="B1248" s="1" t="s">
        <v>1182</v>
      </c>
      <c r="C1248" s="1" t="str">
        <f>"66298836338595"</f>
        <v>66298836338595</v>
      </c>
      <c r="D1248" s="1" t="str">
        <f>"83187"</f>
        <v>83187</v>
      </c>
      <c r="E1248" s="1" t="s">
        <v>17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</row>
    <row r="1249" spans="1:11" x14ac:dyDescent="0.2">
      <c r="A1249" s="1" t="s">
        <v>1156</v>
      </c>
      <c r="B1249" s="1" t="s">
        <v>1183</v>
      </c>
      <c r="C1249" s="1" t="str">
        <f>"U024"</f>
        <v>U024</v>
      </c>
      <c r="D1249" s="1" t="str">
        <f>"U024"</f>
        <v>U024</v>
      </c>
      <c r="E1249" s="1" t="s">
        <v>17</v>
      </c>
      <c r="F1249" s="1">
        <v>1</v>
      </c>
      <c r="G1249" s="1">
        <v>4170</v>
      </c>
      <c r="H1249" s="1">
        <v>4170</v>
      </c>
      <c r="I1249" s="1">
        <v>0</v>
      </c>
      <c r="J1249" s="1">
        <v>1</v>
      </c>
      <c r="K1249" s="1">
        <v>0</v>
      </c>
    </row>
    <row r="1250" spans="1:11" x14ac:dyDescent="0.2">
      <c r="A1250" s="1" t="s">
        <v>1156</v>
      </c>
      <c r="B1250" s="1" t="s">
        <v>1184</v>
      </c>
      <c r="C1250" s="1" t="str">
        <f>"66298836381193"</f>
        <v>66298836381193</v>
      </c>
      <c r="D1250" s="1" t="str">
        <f>"40230"</f>
        <v>40230</v>
      </c>
      <c r="E1250" s="1" t="s">
        <v>17</v>
      </c>
      <c r="F1250" s="1">
        <v>2</v>
      </c>
      <c r="G1250" s="1">
        <v>4941</v>
      </c>
      <c r="H1250" s="1">
        <v>9882</v>
      </c>
      <c r="I1250" s="1">
        <v>0</v>
      </c>
      <c r="J1250" s="1">
        <v>2</v>
      </c>
      <c r="K1250" s="1">
        <v>0</v>
      </c>
    </row>
    <row r="1251" spans="1:11" x14ac:dyDescent="0.2">
      <c r="A1251" s="1" t="s">
        <v>1156</v>
      </c>
      <c r="B1251" s="1" t="s">
        <v>1184</v>
      </c>
      <c r="C1251" s="1" t="str">
        <f>"66298836423157"</f>
        <v>66298836423157</v>
      </c>
      <c r="D1251" s="1" t="str">
        <f>"41201-KVE-900JP"</f>
        <v>41201-KVE-900JP</v>
      </c>
      <c r="E1251" s="1" t="s">
        <v>17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</row>
    <row r="1252" spans="1:11" x14ac:dyDescent="0.2">
      <c r="A1252" s="1" t="s">
        <v>1156</v>
      </c>
      <c r="B1252" s="1" t="s">
        <v>1185</v>
      </c>
      <c r="C1252" s="1" t="str">
        <f>"66298836463867"</f>
        <v>66298836463867</v>
      </c>
      <c r="D1252" s="1" t="str">
        <f>"64511-32E20JP"</f>
        <v>64511-32E20JP</v>
      </c>
      <c r="E1252" s="1" t="s">
        <v>17</v>
      </c>
      <c r="F1252" s="1">
        <v>1</v>
      </c>
      <c r="G1252" s="1">
        <v>7905</v>
      </c>
      <c r="H1252" s="1">
        <v>7905</v>
      </c>
      <c r="I1252" s="1">
        <v>0</v>
      </c>
      <c r="J1252" s="1">
        <v>1</v>
      </c>
      <c r="K1252" s="1">
        <v>0</v>
      </c>
    </row>
    <row r="1253" spans="1:11" x14ac:dyDescent="0.2">
      <c r="A1253" s="1" t="s">
        <v>1156</v>
      </c>
      <c r="B1253" s="1" t="s">
        <v>1186</v>
      </c>
      <c r="C1253" s="1" t="str">
        <f>"64511-05310JP"</f>
        <v>64511-05310JP</v>
      </c>
      <c r="D1253" s="1" t="str">
        <f>"64511-05310JP"</f>
        <v>64511-05310JP</v>
      </c>
      <c r="E1253" s="1" t="s">
        <v>17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</row>
    <row r="1254" spans="1:11" x14ac:dyDescent="0.2">
      <c r="A1254" s="1" t="s">
        <v>1156</v>
      </c>
      <c r="B1254" s="1" t="s">
        <v>1187</v>
      </c>
      <c r="C1254" s="1" t="str">
        <f>"66298836505913"</f>
        <v>66298836505913</v>
      </c>
      <c r="D1254" s="1" t="str">
        <f>"504-43ST"</f>
        <v>504-43ST</v>
      </c>
      <c r="E1254" s="1" t="s">
        <v>17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</row>
    <row r="1255" spans="1:11" x14ac:dyDescent="0.2">
      <c r="A1255" s="1" t="s">
        <v>1156</v>
      </c>
      <c r="B1255" s="1" t="s">
        <v>1188</v>
      </c>
      <c r="C1255" s="1" t="str">
        <f>"JTR1876.43"</f>
        <v>JTR1876.43</v>
      </c>
      <c r="D1255" s="1" t="str">
        <f>"JTR1876.43"</f>
        <v>JTR1876.43</v>
      </c>
      <c r="E1255" s="1" t="s">
        <v>17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</row>
    <row r="1256" spans="1:11" x14ac:dyDescent="0.2">
      <c r="A1256" s="1" t="s">
        <v>1156</v>
      </c>
      <c r="B1256" s="1" t="s">
        <v>1189</v>
      </c>
      <c r="C1256" s="1" t="str">
        <f>"66298836542036"</f>
        <v>66298836542036</v>
      </c>
      <c r="D1256" s="1" t="str">
        <f>"41200-KBB-670JP"</f>
        <v>41200-KBB-670JP</v>
      </c>
      <c r="E1256" s="1" t="s">
        <v>17</v>
      </c>
      <c r="F1256" s="1">
        <v>3</v>
      </c>
      <c r="G1256" s="1">
        <v>4070</v>
      </c>
      <c r="H1256" s="1">
        <v>12210</v>
      </c>
      <c r="I1256" s="1">
        <v>0</v>
      </c>
      <c r="J1256" s="1">
        <v>3</v>
      </c>
      <c r="K1256" s="1">
        <v>0</v>
      </c>
    </row>
    <row r="1257" spans="1:11" x14ac:dyDescent="0.2">
      <c r="A1257" s="1" t="s">
        <v>1156</v>
      </c>
      <c r="B1257" s="1" t="s">
        <v>1190</v>
      </c>
      <c r="C1257" s="1" t="str">
        <f>"66298836581363"</f>
        <v>66298836581363</v>
      </c>
      <c r="D1257" s="1" t="str">
        <f>"41201-KGA-900JP"</f>
        <v>41201-KGA-900JP</v>
      </c>
      <c r="E1257" s="1" t="s">
        <v>17</v>
      </c>
      <c r="F1257" s="1">
        <v>1</v>
      </c>
      <c r="G1257" s="1">
        <v>4464</v>
      </c>
      <c r="H1257" s="1">
        <v>4464</v>
      </c>
      <c r="I1257" s="1">
        <v>0</v>
      </c>
      <c r="J1257" s="1">
        <v>1</v>
      </c>
      <c r="K1257" s="1">
        <v>0</v>
      </c>
    </row>
    <row r="1258" spans="1:11" x14ac:dyDescent="0.2">
      <c r="A1258" s="1" t="s">
        <v>1156</v>
      </c>
      <c r="B1258" s="1" t="s">
        <v>1191</v>
      </c>
      <c r="C1258" s="1" t="str">
        <f>"10000040383"</f>
        <v>10000040383</v>
      </c>
      <c r="D1258" s="1" t="str">
        <f>"10000040383"</f>
        <v>10000040383</v>
      </c>
      <c r="E1258" s="1" t="s">
        <v>17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</row>
    <row r="1259" spans="1:11" x14ac:dyDescent="0.2">
      <c r="A1259" s="1" t="s">
        <v>1156</v>
      </c>
      <c r="B1259" s="1" t="s">
        <v>1192</v>
      </c>
      <c r="C1259" s="1" t="str">
        <f>"5C9-F5444-00"</f>
        <v>5C9-F5444-00</v>
      </c>
      <c r="D1259" s="1" t="str">
        <f>"5C9-F5444-00"</f>
        <v>5C9-F5444-00</v>
      </c>
      <c r="E1259" s="1" t="s">
        <v>17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</row>
    <row r="1260" spans="1:11" x14ac:dyDescent="0.2">
      <c r="A1260" s="1" t="s">
        <v>1156</v>
      </c>
      <c r="B1260" s="1" t="s">
        <v>1193</v>
      </c>
      <c r="C1260" s="1" t="str">
        <f>"66298836660245"</f>
        <v>66298836660245</v>
      </c>
      <c r="D1260" s="1" t="str">
        <f>"85174"</f>
        <v>85174</v>
      </c>
      <c r="E1260" s="1" t="s">
        <v>17</v>
      </c>
      <c r="F1260" s="1">
        <v>5</v>
      </c>
      <c r="G1260" s="1">
        <v>3494</v>
      </c>
      <c r="H1260" s="1">
        <v>17470</v>
      </c>
      <c r="I1260" s="1">
        <v>0</v>
      </c>
      <c r="J1260" s="1">
        <v>5</v>
      </c>
      <c r="K1260" s="1">
        <v>0</v>
      </c>
    </row>
    <row r="1261" spans="1:11" ht="30" x14ac:dyDescent="0.2">
      <c r="A1261" s="1" t="s">
        <v>1156</v>
      </c>
      <c r="B1261" s="1" t="s">
        <v>1194</v>
      </c>
      <c r="C1261" s="1" t="str">
        <f>"66298836701228"</f>
        <v>66298836701228</v>
      </c>
      <c r="D1261" s="1" t="str">
        <f>"64511-42A01JP"</f>
        <v>64511-42A01JP</v>
      </c>
      <c r="E1261" s="1" t="s">
        <v>17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</row>
    <row r="1262" spans="1:11" x14ac:dyDescent="0.2">
      <c r="A1262" s="1" t="s">
        <v>1156</v>
      </c>
      <c r="B1262" s="1" t="s">
        <v>1195</v>
      </c>
      <c r="C1262" s="1" t="str">
        <f>"66298836738706"</f>
        <v>66298836738706</v>
      </c>
      <c r="D1262" s="1" t="str">
        <f>"64511-42A00VA"</f>
        <v>64511-42A00VA</v>
      </c>
      <c r="E1262" s="1" t="s">
        <v>17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</row>
    <row r="1263" spans="1:11" x14ac:dyDescent="0.2">
      <c r="A1263" s="1" t="s">
        <v>1156</v>
      </c>
      <c r="B1263" s="1" t="s">
        <v>1196</v>
      </c>
      <c r="C1263" s="1" t="str">
        <f>"10000041601"</f>
        <v>10000041601</v>
      </c>
      <c r="D1263" s="1" t="str">
        <f>"10000041601"</f>
        <v>10000041601</v>
      </c>
      <c r="E1263" s="1" t="s">
        <v>17</v>
      </c>
      <c r="F1263" s="1">
        <v>3</v>
      </c>
      <c r="G1263" s="1">
        <v>7210.08</v>
      </c>
      <c r="H1263" s="1">
        <v>21630</v>
      </c>
      <c r="I1263" s="1">
        <v>0</v>
      </c>
      <c r="J1263" s="1">
        <v>3</v>
      </c>
      <c r="K1263" s="1">
        <v>0</v>
      </c>
    </row>
    <row r="1264" spans="1:11" x14ac:dyDescent="0.2">
      <c r="A1264" s="1" t="s">
        <v>1156</v>
      </c>
      <c r="B1264" s="1" t="s">
        <v>1197</v>
      </c>
      <c r="C1264" s="1" t="str">
        <f>"10000043262"</f>
        <v>10000043262</v>
      </c>
      <c r="D1264" s="1" t="str">
        <f>"10000043262"</f>
        <v>10000043262</v>
      </c>
      <c r="E1264" s="1" t="s">
        <v>17</v>
      </c>
      <c r="F1264" s="1">
        <v>1</v>
      </c>
      <c r="G1264" s="1">
        <v>5495.8</v>
      </c>
      <c r="H1264" s="1">
        <v>5496</v>
      </c>
      <c r="I1264" s="1">
        <v>0</v>
      </c>
      <c r="J1264" s="1">
        <v>1</v>
      </c>
      <c r="K1264" s="1">
        <v>0</v>
      </c>
    </row>
    <row r="1265" spans="1:11" x14ac:dyDescent="0.2">
      <c r="A1265" s="1" t="s">
        <v>1156</v>
      </c>
      <c r="B1265" s="1" t="s">
        <v>1198</v>
      </c>
      <c r="C1265" s="1" t="str">
        <f>"10000043017"</f>
        <v>10000043017</v>
      </c>
      <c r="D1265" s="1" t="str">
        <f>"10000043017"</f>
        <v>10000043017</v>
      </c>
      <c r="E1265" s="1" t="s">
        <v>17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</row>
    <row r="1266" spans="1:11" x14ac:dyDescent="0.2">
      <c r="A1266" s="1" t="s">
        <v>1156</v>
      </c>
      <c r="B1266" s="1" t="s">
        <v>1199</v>
      </c>
      <c r="C1266" s="1" t="str">
        <f>"H6209"</f>
        <v>H6209</v>
      </c>
      <c r="D1266" s="1" t="str">
        <f>"H6209"</f>
        <v>H6209</v>
      </c>
      <c r="E1266" s="1" t="s">
        <v>17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</row>
    <row r="1267" spans="1:11" ht="30" x14ac:dyDescent="0.2">
      <c r="A1267" s="1" t="s">
        <v>1156</v>
      </c>
      <c r="B1267" s="1" t="s">
        <v>1200</v>
      </c>
      <c r="C1267" s="1" t="str">
        <f>"10000012580"</f>
        <v>10000012580</v>
      </c>
      <c r="D1267" s="1" t="str">
        <f>"10000012580"</f>
        <v>10000012580</v>
      </c>
      <c r="E1267" s="1" t="s">
        <v>17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</row>
    <row r="1268" spans="1:11" x14ac:dyDescent="0.2">
      <c r="A1268" s="1" t="s">
        <v>1156</v>
      </c>
      <c r="B1268" s="1" t="s">
        <v>1201</v>
      </c>
      <c r="C1268" s="1" t="str">
        <f>"U031"</f>
        <v>U031</v>
      </c>
      <c r="D1268" s="1" t="str">
        <f>"U031"</f>
        <v>U031</v>
      </c>
      <c r="E1268" s="1" t="s">
        <v>17</v>
      </c>
      <c r="F1268" s="1">
        <v>2</v>
      </c>
      <c r="G1268" s="1">
        <v>4820</v>
      </c>
      <c r="H1268" s="1">
        <v>9640</v>
      </c>
      <c r="I1268" s="1">
        <v>0</v>
      </c>
      <c r="J1268" s="1">
        <v>2</v>
      </c>
      <c r="K1268" s="1">
        <v>0</v>
      </c>
    </row>
    <row r="1269" spans="1:11" x14ac:dyDescent="0.2">
      <c r="A1269" s="1" t="s">
        <v>1156</v>
      </c>
      <c r="B1269" s="1" t="s">
        <v>1202</v>
      </c>
      <c r="C1269" s="1" t="str">
        <f>"66298836818680"</f>
        <v>66298836818680</v>
      </c>
      <c r="D1269" s="1" t="str">
        <f>"TX-20400-000"</f>
        <v>TX-20400-000</v>
      </c>
      <c r="E1269" s="1" t="s">
        <v>17</v>
      </c>
      <c r="F1269" s="1">
        <v>1</v>
      </c>
      <c r="G1269" s="1">
        <v>5385</v>
      </c>
      <c r="H1269" s="1">
        <v>5385</v>
      </c>
      <c r="I1269" s="1">
        <v>0</v>
      </c>
      <c r="J1269" s="1">
        <v>1</v>
      </c>
      <c r="K1269" s="1">
        <v>0</v>
      </c>
    </row>
    <row r="1270" spans="1:11" x14ac:dyDescent="0.2">
      <c r="A1270" s="1" t="s">
        <v>1156</v>
      </c>
      <c r="B1270" s="1" t="s">
        <v>1203</v>
      </c>
      <c r="C1270" s="1" t="str">
        <f>"66298836858546"</f>
        <v>66298836858546</v>
      </c>
      <c r="D1270" s="1" t="str">
        <f>"N9112570"</f>
        <v>N9112570</v>
      </c>
      <c r="E1270" s="1" t="s">
        <v>17</v>
      </c>
      <c r="F1270" s="1">
        <v>2</v>
      </c>
      <c r="G1270" s="1">
        <v>5670</v>
      </c>
      <c r="H1270" s="1">
        <v>11340</v>
      </c>
      <c r="I1270" s="1">
        <v>0</v>
      </c>
      <c r="J1270" s="1">
        <v>2</v>
      </c>
      <c r="K1270" s="1">
        <v>0</v>
      </c>
    </row>
    <row r="1271" spans="1:11" x14ac:dyDescent="0.2">
      <c r="A1271" s="1" t="s">
        <v>1156</v>
      </c>
      <c r="B1271" s="1" t="s">
        <v>1204</v>
      </c>
      <c r="C1271" s="1" t="str">
        <f>"66298836897112"</f>
        <v>66298836897112</v>
      </c>
      <c r="D1271" s="1" t="str">
        <f>"4B4-F5446-20JP"</f>
        <v>4B4-F5446-20JP</v>
      </c>
      <c r="E1271" s="1" t="s">
        <v>17</v>
      </c>
      <c r="F1271" s="1">
        <v>1</v>
      </c>
      <c r="G1271" s="1">
        <v>4419</v>
      </c>
      <c r="H1271" s="1">
        <v>4419</v>
      </c>
      <c r="I1271" s="1">
        <v>0</v>
      </c>
      <c r="J1271" s="1">
        <v>1</v>
      </c>
      <c r="K1271" s="1">
        <v>0</v>
      </c>
    </row>
    <row r="1272" spans="1:11" x14ac:dyDescent="0.2">
      <c r="A1272" s="1" t="s">
        <v>1156</v>
      </c>
      <c r="B1272" s="1" t="s">
        <v>1205</v>
      </c>
      <c r="C1272" s="1" t="str">
        <f>"66298836937635"</f>
        <v>66298836937635</v>
      </c>
      <c r="D1272" s="1" t="str">
        <f>"64511-27G00JP"</f>
        <v>64511-27G00JP</v>
      </c>
      <c r="E1272" s="1" t="s">
        <v>17</v>
      </c>
      <c r="F1272" s="1">
        <v>1</v>
      </c>
      <c r="G1272" s="1">
        <v>6975</v>
      </c>
      <c r="H1272" s="1">
        <v>6975</v>
      </c>
      <c r="I1272" s="1">
        <v>0</v>
      </c>
      <c r="J1272" s="1">
        <v>1</v>
      </c>
      <c r="K1272" s="1">
        <v>0</v>
      </c>
    </row>
    <row r="1273" spans="1:11" x14ac:dyDescent="0.2">
      <c r="A1273" s="1" t="s">
        <v>1156</v>
      </c>
      <c r="B1273" s="1" t="s">
        <v>1206</v>
      </c>
      <c r="C1273" s="1" t="str">
        <f>"66298836978114"</f>
        <v>66298836978114</v>
      </c>
      <c r="D1273" s="1" t="str">
        <f>"1CK-F5447-00VA"</f>
        <v>1CK-F5447-00VA</v>
      </c>
      <c r="E1273" s="1" t="s">
        <v>17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</row>
    <row r="1274" spans="1:11" x14ac:dyDescent="0.2">
      <c r="A1274" s="1" t="s">
        <v>1156</v>
      </c>
      <c r="B1274" s="1" t="s">
        <v>1207</v>
      </c>
      <c r="C1274" s="1" t="str">
        <f>"66298837020156"</f>
        <v>66298837020156</v>
      </c>
      <c r="D1274" s="1" t="str">
        <f>"64511-48048JP"</f>
        <v>64511-48048JP</v>
      </c>
      <c r="E1274" s="1" t="s">
        <v>17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</row>
    <row r="1275" spans="1:11" x14ac:dyDescent="0.2">
      <c r="A1275" s="1" t="s">
        <v>1156</v>
      </c>
      <c r="B1275" s="1" t="s">
        <v>1208</v>
      </c>
      <c r="C1275" s="1" t="str">
        <f>"10000040285"</f>
        <v>10000040285</v>
      </c>
      <c r="D1275" s="1" t="str">
        <f>"10000040285"</f>
        <v>10000040285</v>
      </c>
      <c r="E1275" s="1" t="s">
        <v>17</v>
      </c>
      <c r="F1275" s="1">
        <v>1</v>
      </c>
      <c r="G1275" s="1">
        <v>7310.92</v>
      </c>
      <c r="H1275" s="1">
        <v>7311</v>
      </c>
      <c r="I1275" s="1">
        <v>0</v>
      </c>
      <c r="J1275" s="1">
        <v>1</v>
      </c>
      <c r="K1275" s="1">
        <v>0</v>
      </c>
    </row>
    <row r="1276" spans="1:11" x14ac:dyDescent="0.2">
      <c r="A1276" s="1" t="s">
        <v>1156</v>
      </c>
      <c r="B1276" s="1" t="s">
        <v>1209</v>
      </c>
      <c r="C1276" s="1" t="str">
        <f>"10000041555"</f>
        <v>10000041555</v>
      </c>
      <c r="D1276" s="1" t="str">
        <f>"10000041555"</f>
        <v>10000041555</v>
      </c>
      <c r="E1276" s="1" t="s">
        <v>17</v>
      </c>
      <c r="F1276" s="1">
        <v>2</v>
      </c>
      <c r="G1276" s="1">
        <v>7008.4</v>
      </c>
      <c r="H1276" s="1">
        <v>14017</v>
      </c>
      <c r="I1276" s="1">
        <v>0</v>
      </c>
      <c r="J1276" s="1">
        <v>2</v>
      </c>
      <c r="K1276" s="1">
        <v>0</v>
      </c>
    </row>
    <row r="1277" spans="1:11" x14ac:dyDescent="0.2">
      <c r="A1277" s="1" t="s">
        <v>1156</v>
      </c>
      <c r="B1277" s="1" t="s">
        <v>1210</v>
      </c>
      <c r="C1277" s="1" t="str">
        <f>"N026"</f>
        <v>N026</v>
      </c>
      <c r="D1277" s="1" t="str">
        <f>"N026"</f>
        <v>N026</v>
      </c>
      <c r="E1277" s="1" t="s">
        <v>17</v>
      </c>
      <c r="F1277" s="1">
        <v>1</v>
      </c>
      <c r="G1277" s="1">
        <v>5202</v>
      </c>
      <c r="H1277" s="1">
        <v>5202</v>
      </c>
      <c r="I1277" s="1">
        <v>0</v>
      </c>
      <c r="J1277" s="1">
        <v>1</v>
      </c>
      <c r="K1277" s="1">
        <v>0</v>
      </c>
    </row>
    <row r="1278" spans="1:11" x14ac:dyDescent="0.2">
      <c r="A1278" s="1" t="s">
        <v>1156</v>
      </c>
      <c r="B1278" s="1" t="s">
        <v>1211</v>
      </c>
      <c r="C1278" s="1" t="str">
        <f>"U028"</f>
        <v>U028</v>
      </c>
      <c r="D1278" s="1" t="str">
        <f>"U028"</f>
        <v>U028</v>
      </c>
      <c r="E1278" s="1" t="s">
        <v>17</v>
      </c>
      <c r="F1278" s="1">
        <v>8</v>
      </c>
      <c r="G1278" s="1">
        <v>4600.96</v>
      </c>
      <c r="H1278" s="1">
        <v>36808</v>
      </c>
      <c r="I1278" s="1">
        <v>0</v>
      </c>
      <c r="J1278" s="1">
        <v>8</v>
      </c>
      <c r="K1278" s="1">
        <v>0</v>
      </c>
    </row>
    <row r="1279" spans="1:11" x14ac:dyDescent="0.2">
      <c r="A1279" s="1" t="s">
        <v>1156</v>
      </c>
      <c r="B1279" s="1" t="s">
        <v>1212</v>
      </c>
      <c r="C1279" s="1" t="str">
        <f>"66298837103503"</f>
        <v>66298837103503</v>
      </c>
      <c r="D1279" s="1" t="str">
        <f>"41201-KSM-900JP"</f>
        <v>41201-KSM-900JP</v>
      </c>
      <c r="E1279" s="1" t="s">
        <v>17</v>
      </c>
      <c r="F1279" s="1">
        <v>3</v>
      </c>
      <c r="G1279" s="1">
        <v>8890</v>
      </c>
      <c r="H1279" s="1">
        <v>26670</v>
      </c>
      <c r="I1279" s="1">
        <v>0</v>
      </c>
      <c r="J1279" s="1">
        <v>3</v>
      </c>
      <c r="K1279" s="1">
        <v>0</v>
      </c>
    </row>
    <row r="1280" spans="1:11" x14ac:dyDescent="0.2">
      <c r="A1280" s="1" t="s">
        <v>1213</v>
      </c>
      <c r="B1280" s="1" t="s">
        <v>1214</v>
      </c>
      <c r="C1280" s="1" t="str">
        <f>"66298837146341"</f>
        <v>66298837146341</v>
      </c>
      <c r="D1280" s="1" t="str">
        <f>"80479"</f>
        <v>80479</v>
      </c>
      <c r="E1280" s="1" t="s">
        <v>17</v>
      </c>
      <c r="F1280" s="1">
        <v>2</v>
      </c>
      <c r="G1280" s="1">
        <v>1228</v>
      </c>
      <c r="H1280" s="1">
        <v>2456</v>
      </c>
      <c r="I1280" s="1">
        <v>0</v>
      </c>
      <c r="J1280" s="1">
        <v>2</v>
      </c>
      <c r="K1280" s="1">
        <v>0</v>
      </c>
    </row>
    <row r="1281" spans="1:11" x14ac:dyDescent="0.2">
      <c r="A1281" s="1" t="s">
        <v>18</v>
      </c>
      <c r="B1281" s="1" t="s">
        <v>1215</v>
      </c>
      <c r="C1281" s="1" t="str">
        <f>"H108"</f>
        <v>H108</v>
      </c>
      <c r="D1281" s="1" t="str">
        <f>"H108"</f>
        <v>H108</v>
      </c>
      <c r="E1281" s="1" t="s">
        <v>17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</row>
    <row r="1282" spans="1:11" x14ac:dyDescent="0.2">
      <c r="A1282" s="1" t="s">
        <v>18</v>
      </c>
      <c r="B1282" s="1" t="s">
        <v>1215</v>
      </c>
      <c r="C1282" s="1" t="str">
        <f>"CEPILLO-UNIV"</f>
        <v>CEPILLO-UNIV</v>
      </c>
      <c r="D1282" s="1" t="str">
        <f>"CEPILLO-UNIV"</f>
        <v>CEPILLO-UNIV</v>
      </c>
      <c r="E1282" s="1" t="s">
        <v>17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</row>
    <row r="1283" spans="1:11" x14ac:dyDescent="0.2">
      <c r="A1283" s="1" t="s">
        <v>18</v>
      </c>
      <c r="B1283" s="1" t="s">
        <v>1215</v>
      </c>
      <c r="C1283" s="1" t="str">
        <f>"7258"</f>
        <v>7258</v>
      </c>
      <c r="D1283" s="1" t="str">
        <f>"7258"</f>
        <v>7258</v>
      </c>
      <c r="E1283" s="1" t="s">
        <v>17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</row>
    <row r="1284" spans="1:11" x14ac:dyDescent="0.2">
      <c r="A1284" s="1" t="s">
        <v>18</v>
      </c>
      <c r="B1284" s="1" t="s">
        <v>1215</v>
      </c>
      <c r="C1284" s="1" t="str">
        <f>"3764"</f>
        <v>3764</v>
      </c>
      <c r="D1284" s="1" t="str">
        <f>"3764"</f>
        <v>3764</v>
      </c>
      <c r="E1284" s="1" t="s">
        <v>17</v>
      </c>
      <c r="F1284" s="1">
        <v>53</v>
      </c>
      <c r="G1284" s="1">
        <v>926.37</v>
      </c>
      <c r="H1284" s="1">
        <v>49098</v>
      </c>
      <c r="I1284" s="1">
        <v>0</v>
      </c>
      <c r="J1284" s="1">
        <v>53</v>
      </c>
      <c r="K1284" s="1">
        <v>0</v>
      </c>
    </row>
    <row r="1285" spans="1:11" x14ac:dyDescent="0.2">
      <c r="A1285" s="1" t="s">
        <v>18</v>
      </c>
      <c r="B1285" s="1" t="s">
        <v>1216</v>
      </c>
      <c r="C1285" s="1" t="str">
        <f>"66298837186738"</f>
        <v>66298837186738</v>
      </c>
      <c r="D1285" s="1" t="str">
        <f>"H205"</f>
        <v>H205</v>
      </c>
      <c r="E1285" s="1" t="s">
        <v>17</v>
      </c>
      <c r="F1285" s="1">
        <v>35</v>
      </c>
      <c r="G1285" s="1">
        <v>316</v>
      </c>
      <c r="H1285" s="1">
        <v>11060</v>
      </c>
      <c r="I1285" s="1">
        <v>0</v>
      </c>
      <c r="J1285" s="1">
        <v>35</v>
      </c>
      <c r="K1285" s="1">
        <v>0</v>
      </c>
    </row>
    <row r="1286" spans="1:11" x14ac:dyDescent="0.2">
      <c r="A1286" s="1" t="s">
        <v>15</v>
      </c>
      <c r="B1286" s="1" t="s">
        <v>1217</v>
      </c>
      <c r="C1286" s="1" t="str">
        <f>"12145"</f>
        <v>12145</v>
      </c>
      <c r="D1286" s="1" t="str">
        <f>"12145"</f>
        <v>12145</v>
      </c>
      <c r="E1286" s="1" t="s">
        <v>17</v>
      </c>
      <c r="F1286" s="1">
        <v>4</v>
      </c>
      <c r="G1286" s="1">
        <v>2990</v>
      </c>
      <c r="H1286" s="1">
        <v>11960</v>
      </c>
      <c r="I1286" s="1">
        <v>0</v>
      </c>
      <c r="J1286" s="1">
        <v>4</v>
      </c>
      <c r="K1286" s="1">
        <v>0</v>
      </c>
    </row>
    <row r="1287" spans="1:11" x14ac:dyDescent="0.2">
      <c r="A1287" s="1" t="s">
        <v>1218</v>
      </c>
      <c r="B1287" s="1" t="s">
        <v>1219</v>
      </c>
      <c r="C1287" s="1" t="str">
        <f>"66298837226944"</f>
        <v>66298837226944</v>
      </c>
      <c r="D1287" s="1" t="str">
        <f>"XN-62321-000"</f>
        <v>XN-62321-000</v>
      </c>
      <c r="E1287" s="1" t="s">
        <v>17</v>
      </c>
      <c r="F1287" s="1">
        <v>6</v>
      </c>
      <c r="G1287" s="1">
        <v>2479</v>
      </c>
      <c r="H1287" s="1">
        <v>14874</v>
      </c>
      <c r="I1287" s="1">
        <v>0</v>
      </c>
      <c r="J1287" s="1">
        <v>6</v>
      </c>
      <c r="K1287" s="1">
        <v>0</v>
      </c>
    </row>
    <row r="1288" spans="1:11" x14ac:dyDescent="0.2">
      <c r="A1288" s="1" t="s">
        <v>1218</v>
      </c>
      <c r="B1288" s="1" t="s">
        <v>1220</v>
      </c>
      <c r="C1288" s="1" t="str">
        <f>"66298837265657"</f>
        <v>66298837265657</v>
      </c>
      <c r="D1288" s="1" t="str">
        <f>"TX-62321-000"</f>
        <v>TX-62321-000</v>
      </c>
      <c r="E1288" s="1" t="s">
        <v>17</v>
      </c>
      <c r="F1288" s="1">
        <v>6</v>
      </c>
      <c r="G1288" s="1">
        <v>3134</v>
      </c>
      <c r="H1288" s="1">
        <v>18804</v>
      </c>
      <c r="I1288" s="1">
        <v>0</v>
      </c>
      <c r="J1288" s="1">
        <v>6</v>
      </c>
      <c r="K1288" s="1">
        <v>0</v>
      </c>
    </row>
    <row r="1289" spans="1:11" x14ac:dyDescent="0.2">
      <c r="A1289" s="1" t="s">
        <v>1218</v>
      </c>
      <c r="B1289" s="1" t="s">
        <v>1221</v>
      </c>
      <c r="C1289" s="1" t="str">
        <f>"AB030"</f>
        <v>AB030</v>
      </c>
      <c r="D1289" s="1" t="str">
        <f>"AB030"</f>
        <v>AB030</v>
      </c>
      <c r="E1289" s="1" t="s">
        <v>17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</row>
    <row r="1290" spans="1:11" x14ac:dyDescent="0.2">
      <c r="A1290" s="1" t="s">
        <v>1218</v>
      </c>
      <c r="B1290" s="1" t="s">
        <v>1222</v>
      </c>
      <c r="C1290" s="1" t="str">
        <f>"66298837313196"</f>
        <v>66298837313196</v>
      </c>
      <c r="D1290" s="1" t="str">
        <f>"37110-23500HB"</f>
        <v>37110-23500HB</v>
      </c>
      <c r="E1290" s="1" t="s">
        <v>17</v>
      </c>
      <c r="F1290" s="1">
        <v>7</v>
      </c>
      <c r="G1290" s="1">
        <v>2176</v>
      </c>
      <c r="H1290" s="1">
        <v>15232</v>
      </c>
      <c r="I1290" s="1">
        <v>0</v>
      </c>
      <c r="J1290" s="1">
        <v>7</v>
      </c>
      <c r="K1290" s="1">
        <v>0</v>
      </c>
    </row>
    <row r="1291" spans="1:11" x14ac:dyDescent="0.2">
      <c r="A1291" s="1" t="s">
        <v>1218</v>
      </c>
      <c r="B1291" s="1" t="s">
        <v>1222</v>
      </c>
      <c r="C1291" s="1" t="str">
        <f>"66298837319449"</f>
        <v>66298837319449</v>
      </c>
      <c r="D1291" s="1" t="str">
        <f>"37110-461F0HB"</f>
        <v>37110-461F0HB</v>
      </c>
      <c r="E1291" s="1" t="s">
        <v>17</v>
      </c>
      <c r="F1291" s="1">
        <v>1</v>
      </c>
      <c r="G1291" s="1">
        <v>2599</v>
      </c>
      <c r="H1291" s="1">
        <v>2599</v>
      </c>
      <c r="I1291" s="1">
        <v>0</v>
      </c>
      <c r="J1291" s="1">
        <v>1</v>
      </c>
      <c r="K1291" s="1">
        <v>0</v>
      </c>
    </row>
    <row r="1292" spans="1:11" x14ac:dyDescent="0.2">
      <c r="A1292" s="1" t="s">
        <v>1218</v>
      </c>
      <c r="B1292" s="1" t="s">
        <v>1222</v>
      </c>
      <c r="C1292" s="1" t="str">
        <f>"66298837324460"</f>
        <v>66298837324460</v>
      </c>
      <c r="D1292" s="1" t="str">
        <f>"CHAPA-AX"</f>
        <v>CHAPA-AX</v>
      </c>
      <c r="E1292" s="1" t="s">
        <v>17</v>
      </c>
      <c r="F1292" s="1">
        <v>1</v>
      </c>
      <c r="G1292" s="1">
        <v>979</v>
      </c>
      <c r="H1292" s="1">
        <v>979</v>
      </c>
      <c r="I1292" s="1">
        <v>0</v>
      </c>
      <c r="J1292" s="1">
        <v>1</v>
      </c>
      <c r="K1292" s="1">
        <v>0</v>
      </c>
    </row>
    <row r="1293" spans="1:11" x14ac:dyDescent="0.2">
      <c r="A1293" s="1" t="s">
        <v>1218</v>
      </c>
      <c r="B1293" s="1" t="s">
        <v>1223</v>
      </c>
      <c r="C1293" s="1" t="str">
        <f>"66298837387498"</f>
        <v>66298837387498</v>
      </c>
      <c r="D1293" s="1" t="str">
        <f>"JZ-2326-00HB"</f>
        <v>JZ-2326-00HB</v>
      </c>
      <c r="E1293" s="1" t="s">
        <v>17</v>
      </c>
      <c r="F1293" s="1">
        <v>3</v>
      </c>
      <c r="G1293" s="1">
        <v>4995</v>
      </c>
      <c r="H1293" s="1">
        <v>14985</v>
      </c>
      <c r="I1293" s="1">
        <v>0</v>
      </c>
      <c r="J1293" s="1">
        <v>3</v>
      </c>
      <c r="K1293" s="1">
        <v>0</v>
      </c>
    </row>
    <row r="1294" spans="1:11" x14ac:dyDescent="0.2">
      <c r="A1294" s="1" t="s">
        <v>1218</v>
      </c>
      <c r="B1294" s="1" t="s">
        <v>1224</v>
      </c>
      <c r="C1294" s="1" t="str">
        <f>"66298837426740"</f>
        <v>66298837426740</v>
      </c>
      <c r="D1294" s="1" t="str">
        <f>"DZ-1810-04HB"</f>
        <v>DZ-1810-04HB</v>
      </c>
      <c r="E1294" s="1" t="s">
        <v>17</v>
      </c>
      <c r="F1294" s="1">
        <v>14</v>
      </c>
      <c r="G1294" s="1">
        <v>3191</v>
      </c>
      <c r="H1294" s="1">
        <v>44674</v>
      </c>
      <c r="I1294" s="1">
        <v>0</v>
      </c>
      <c r="J1294" s="1">
        <v>14</v>
      </c>
      <c r="K1294" s="1">
        <v>0</v>
      </c>
    </row>
    <row r="1295" spans="1:11" x14ac:dyDescent="0.2">
      <c r="A1295" s="1" t="s">
        <v>1218</v>
      </c>
      <c r="B1295" s="1" t="s">
        <v>1225</v>
      </c>
      <c r="C1295" s="1" t="str">
        <f>"66298838020248"</f>
        <v>66298838020248</v>
      </c>
      <c r="D1295" s="1" t="str">
        <f>"37100-20G00HB"</f>
        <v>37100-20G00HB</v>
      </c>
      <c r="E1295" s="1" t="s">
        <v>17</v>
      </c>
      <c r="F1295" s="1">
        <v>6</v>
      </c>
      <c r="G1295" s="1">
        <v>5384</v>
      </c>
      <c r="H1295" s="1">
        <v>32304</v>
      </c>
      <c r="I1295" s="1">
        <v>0</v>
      </c>
      <c r="J1295" s="1">
        <v>6</v>
      </c>
      <c r="K1295" s="1">
        <v>0</v>
      </c>
    </row>
    <row r="1296" spans="1:11" x14ac:dyDescent="0.2">
      <c r="A1296" s="1" t="s">
        <v>1218</v>
      </c>
      <c r="B1296" s="1" t="s">
        <v>1226</v>
      </c>
      <c r="C1296" s="1" t="str">
        <f>"66298837466651"</f>
        <v>66298837466651</v>
      </c>
      <c r="D1296" s="1" t="str">
        <f>"DU-2010-67HB"</f>
        <v>DU-2010-67HB</v>
      </c>
      <c r="E1296" s="1" t="s">
        <v>17</v>
      </c>
      <c r="F1296" s="1">
        <v>4</v>
      </c>
      <c r="G1296" s="1">
        <v>3973</v>
      </c>
      <c r="H1296" s="1">
        <v>15892</v>
      </c>
      <c r="I1296" s="1">
        <v>0</v>
      </c>
      <c r="J1296" s="1">
        <v>4</v>
      </c>
      <c r="K1296" s="1">
        <v>0</v>
      </c>
    </row>
    <row r="1297" spans="1:11" x14ac:dyDescent="0.2">
      <c r="A1297" s="1" t="s">
        <v>1218</v>
      </c>
      <c r="B1297" s="1" t="s">
        <v>1227</v>
      </c>
      <c r="C1297" s="1" t="str">
        <f>"AB015"</f>
        <v>AB015</v>
      </c>
      <c r="D1297" s="1" t="str">
        <f>"AB015"</f>
        <v>AB015</v>
      </c>
      <c r="E1297" s="1" t="s">
        <v>17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</row>
    <row r="1298" spans="1:11" ht="30" x14ac:dyDescent="0.2">
      <c r="A1298" s="1" t="s">
        <v>1218</v>
      </c>
      <c r="B1298" s="1" t="s">
        <v>1228</v>
      </c>
      <c r="C1298" s="1" t="str">
        <f>"AB012"</f>
        <v>AB012</v>
      </c>
      <c r="D1298" s="1" t="str">
        <f>"AB012"</f>
        <v>AB012</v>
      </c>
      <c r="E1298" s="1" t="s">
        <v>17</v>
      </c>
      <c r="F1298" s="1">
        <v>4</v>
      </c>
      <c r="G1298" s="1">
        <v>4730.1000000000004</v>
      </c>
      <c r="H1298" s="1">
        <v>18920</v>
      </c>
      <c r="I1298" s="1">
        <v>0</v>
      </c>
      <c r="J1298" s="1">
        <v>4</v>
      </c>
      <c r="K1298" s="1">
        <v>0</v>
      </c>
    </row>
    <row r="1299" spans="1:11" x14ac:dyDescent="0.2">
      <c r="A1299" s="1" t="s">
        <v>1218</v>
      </c>
      <c r="B1299" s="1" t="s">
        <v>1229</v>
      </c>
      <c r="C1299" s="1" t="str">
        <f>"AB007"</f>
        <v>AB007</v>
      </c>
      <c r="D1299" s="1" t="str">
        <f>"AB007"</f>
        <v>AB007</v>
      </c>
      <c r="E1299" s="1" t="s">
        <v>17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</row>
    <row r="1300" spans="1:11" x14ac:dyDescent="0.2">
      <c r="A1300" s="1" t="s">
        <v>1218</v>
      </c>
      <c r="B1300" s="1" t="s">
        <v>1230</v>
      </c>
      <c r="C1300" s="1" t="str">
        <f>"66298837506294"</f>
        <v>66298837506294</v>
      </c>
      <c r="D1300" s="1" t="str">
        <f>"401046"</f>
        <v>401046</v>
      </c>
      <c r="E1300" s="1" t="s">
        <v>17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</row>
    <row r="1301" spans="1:11" x14ac:dyDescent="0.2">
      <c r="A1301" s="1" t="s">
        <v>1218</v>
      </c>
      <c r="B1301" s="1" t="s">
        <v>1231</v>
      </c>
      <c r="C1301" s="1" t="str">
        <f>"66298837542502"</f>
        <v>66298837542502</v>
      </c>
      <c r="D1301" s="1" t="str">
        <f>"37100-42A01HB"</f>
        <v>37100-42A01HB</v>
      </c>
      <c r="E1301" s="1" t="s">
        <v>17</v>
      </c>
      <c r="F1301" s="1">
        <v>10</v>
      </c>
      <c r="G1301" s="1">
        <v>1691</v>
      </c>
      <c r="H1301" s="1">
        <v>16910</v>
      </c>
      <c r="I1301" s="1">
        <v>0</v>
      </c>
      <c r="J1301" s="1">
        <v>10</v>
      </c>
      <c r="K1301" s="1">
        <v>0</v>
      </c>
    </row>
    <row r="1302" spans="1:11" x14ac:dyDescent="0.2">
      <c r="A1302" s="1" t="s">
        <v>1218</v>
      </c>
      <c r="B1302" s="1" t="s">
        <v>1232</v>
      </c>
      <c r="C1302" s="1" t="str">
        <f>"AB013"</f>
        <v>AB013</v>
      </c>
      <c r="D1302" s="1" t="str">
        <f>"AB013"</f>
        <v>AB013</v>
      </c>
      <c r="E1302" s="1" t="s">
        <v>17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</row>
    <row r="1303" spans="1:11" x14ac:dyDescent="0.2">
      <c r="A1303" s="1" t="s">
        <v>1218</v>
      </c>
      <c r="B1303" s="1" t="s">
        <v>1233</v>
      </c>
      <c r="C1303" s="1" t="str">
        <f>"AB008"</f>
        <v>AB008</v>
      </c>
      <c r="D1303" s="1" t="str">
        <f>"AB008"</f>
        <v>AB008</v>
      </c>
      <c r="E1303" s="1" t="s">
        <v>17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</row>
    <row r="1304" spans="1:11" x14ac:dyDescent="0.2">
      <c r="A1304" s="1" t="s">
        <v>1218</v>
      </c>
      <c r="B1304" s="1" t="s">
        <v>1234</v>
      </c>
      <c r="C1304" s="1" t="str">
        <f>"37100-45F00"</f>
        <v>37100-45F00</v>
      </c>
      <c r="D1304" s="1" t="str">
        <f>"37100-45F00"</f>
        <v>37100-45F00</v>
      </c>
      <c r="E1304" s="1" t="s">
        <v>17</v>
      </c>
      <c r="F1304" s="1">
        <v>4</v>
      </c>
      <c r="G1304" s="1">
        <v>7390</v>
      </c>
      <c r="H1304" s="1">
        <v>29560</v>
      </c>
      <c r="I1304" s="1">
        <v>0</v>
      </c>
      <c r="J1304" s="1">
        <v>4</v>
      </c>
      <c r="K1304" s="1">
        <v>0</v>
      </c>
    </row>
    <row r="1305" spans="1:11" x14ac:dyDescent="0.2">
      <c r="A1305" s="1" t="s">
        <v>1218</v>
      </c>
      <c r="B1305" s="1" t="s">
        <v>1235</v>
      </c>
      <c r="C1305" s="1" t="str">
        <f>"66298837582456"</f>
        <v>66298837582456</v>
      </c>
      <c r="D1305" s="1" t="str">
        <f>"C131"</f>
        <v>C131</v>
      </c>
      <c r="E1305" s="1" t="s">
        <v>17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</row>
    <row r="1306" spans="1:11" x14ac:dyDescent="0.2">
      <c r="A1306" s="1" t="s">
        <v>1218</v>
      </c>
      <c r="B1306" s="1" t="s">
        <v>1236</v>
      </c>
      <c r="C1306" s="1" t="str">
        <f>"CH-CON-GXT"</f>
        <v>CH-CON-GXT</v>
      </c>
      <c r="D1306" s="1" t="str">
        <f>"CH-CON-GXT"</f>
        <v>CH-CON-GXT</v>
      </c>
      <c r="E1306" s="1" t="s">
        <v>17</v>
      </c>
      <c r="F1306" s="1">
        <v>3</v>
      </c>
      <c r="G1306" s="1">
        <v>997.58</v>
      </c>
      <c r="H1306" s="1">
        <v>2993</v>
      </c>
      <c r="I1306" s="1">
        <v>0</v>
      </c>
      <c r="J1306" s="1">
        <v>3</v>
      </c>
      <c r="K1306" s="1">
        <v>0</v>
      </c>
    </row>
    <row r="1307" spans="1:11" x14ac:dyDescent="0.2">
      <c r="A1307" s="1" t="s">
        <v>1218</v>
      </c>
      <c r="B1307" s="1" t="s">
        <v>1237</v>
      </c>
      <c r="C1307" s="1" t="str">
        <f>"66298837621877"</f>
        <v>66298837621877</v>
      </c>
      <c r="D1307" s="1" t="str">
        <f>"CHAPA-GY/WX125"</f>
        <v>CHAPA-GY/WX125</v>
      </c>
      <c r="E1307" s="1" t="s">
        <v>17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</row>
    <row r="1308" spans="1:11" x14ac:dyDescent="0.2">
      <c r="A1308" s="1" t="s">
        <v>1218</v>
      </c>
      <c r="B1308" s="1" t="s">
        <v>1238</v>
      </c>
      <c r="C1308" s="1" t="str">
        <f>"66298837662846"</f>
        <v>66298837662846</v>
      </c>
      <c r="D1308" s="1" t="str">
        <f>"M108"</f>
        <v>M108</v>
      </c>
      <c r="E1308" s="1" t="s">
        <v>17</v>
      </c>
      <c r="F1308" s="1">
        <v>2</v>
      </c>
      <c r="G1308" s="1">
        <v>1780</v>
      </c>
      <c r="H1308" s="1">
        <v>3560</v>
      </c>
      <c r="I1308" s="1">
        <v>0</v>
      </c>
      <c r="J1308" s="1">
        <v>2</v>
      </c>
      <c r="K1308" s="1">
        <v>0</v>
      </c>
    </row>
    <row r="1309" spans="1:11" x14ac:dyDescent="0.2">
      <c r="A1309" s="1" t="s">
        <v>1218</v>
      </c>
      <c r="B1309" s="1" t="s">
        <v>1239</v>
      </c>
      <c r="C1309" s="1" t="str">
        <f>"66298837699039"</f>
        <v>66298837699039</v>
      </c>
      <c r="D1309" s="1" t="str">
        <f>"37100H2F030H000"</f>
        <v>37100H2F030H000</v>
      </c>
      <c r="E1309" s="1" t="s">
        <v>17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</row>
    <row r="1310" spans="1:11" x14ac:dyDescent="0.2">
      <c r="A1310" s="1" t="s">
        <v>1218</v>
      </c>
      <c r="B1310" s="1" t="s">
        <v>1240</v>
      </c>
      <c r="C1310" s="1" t="str">
        <f>"JB-4014-02"</f>
        <v>JB-4014-02</v>
      </c>
      <c r="D1310" s="1" t="str">
        <f>"JB-4014-02"</f>
        <v>JB-4014-02</v>
      </c>
      <c r="E1310" s="1" t="s">
        <v>17</v>
      </c>
      <c r="F1310" s="1">
        <v>5</v>
      </c>
      <c r="G1310" s="1">
        <v>6500</v>
      </c>
      <c r="H1310" s="1">
        <v>32500</v>
      </c>
      <c r="I1310" s="1">
        <v>0</v>
      </c>
      <c r="J1310" s="1">
        <v>5</v>
      </c>
      <c r="K1310" s="1">
        <v>0</v>
      </c>
    </row>
    <row r="1311" spans="1:11" x14ac:dyDescent="0.2">
      <c r="A1311" s="1" t="s">
        <v>1218</v>
      </c>
      <c r="B1311" s="1" t="s">
        <v>1241</v>
      </c>
      <c r="C1311" s="1" t="str">
        <f>"66298837745134"</f>
        <v>66298837745134</v>
      </c>
      <c r="D1311" s="1" t="str">
        <f>"82656"</f>
        <v>82656</v>
      </c>
      <c r="E1311" s="1" t="s">
        <v>17</v>
      </c>
      <c r="F1311" s="1">
        <v>2</v>
      </c>
      <c r="G1311" s="1">
        <v>3977</v>
      </c>
      <c r="H1311" s="1">
        <v>7954</v>
      </c>
      <c r="I1311" s="1">
        <v>0</v>
      </c>
      <c r="J1311" s="1">
        <v>2</v>
      </c>
      <c r="K1311" s="1">
        <v>0</v>
      </c>
    </row>
    <row r="1312" spans="1:11" x14ac:dyDescent="0.2">
      <c r="A1312" s="1" t="s">
        <v>1218</v>
      </c>
      <c r="B1312" s="1" t="s">
        <v>1241</v>
      </c>
      <c r="C1312" s="1" t="str">
        <f>"66298837753329"</f>
        <v>66298837753329</v>
      </c>
      <c r="D1312" s="1" t="str">
        <f>"JL-1510-23HB"</f>
        <v>JL-1510-23HB</v>
      </c>
      <c r="E1312" s="1" t="s">
        <v>17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</row>
    <row r="1313" spans="1:11" x14ac:dyDescent="0.2">
      <c r="A1313" s="1" t="s">
        <v>1218</v>
      </c>
      <c r="B1313" s="1" t="s">
        <v>1242</v>
      </c>
      <c r="C1313" s="1" t="str">
        <f>"AB003"</f>
        <v>AB003</v>
      </c>
      <c r="D1313" s="1" t="str">
        <f>"AB003"</f>
        <v>AB003</v>
      </c>
      <c r="E1313" s="1" t="s">
        <v>17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</row>
    <row r="1314" spans="1:11" x14ac:dyDescent="0.2">
      <c r="A1314" s="1" t="s">
        <v>1218</v>
      </c>
      <c r="B1314" s="1" t="s">
        <v>1243</v>
      </c>
      <c r="C1314" s="1" t="str">
        <f>"66298837849002"</f>
        <v>66298837849002</v>
      </c>
      <c r="D1314" s="1" t="str">
        <f>"H2116"</f>
        <v>H2116</v>
      </c>
      <c r="E1314" s="1" t="s">
        <v>17</v>
      </c>
      <c r="F1314" s="1">
        <v>2</v>
      </c>
      <c r="G1314" s="1">
        <v>5860</v>
      </c>
      <c r="H1314" s="1">
        <v>11720</v>
      </c>
      <c r="I1314" s="1">
        <v>0</v>
      </c>
      <c r="J1314" s="1">
        <v>2</v>
      </c>
      <c r="K1314" s="1">
        <v>0</v>
      </c>
    </row>
    <row r="1315" spans="1:11" x14ac:dyDescent="0.2">
      <c r="A1315" s="1" t="s">
        <v>1218</v>
      </c>
      <c r="B1315" s="1" t="s">
        <v>1244</v>
      </c>
      <c r="C1315" s="1" t="str">
        <f>"66298837891003"</f>
        <v>66298837891003</v>
      </c>
      <c r="D1315" s="1" t="str">
        <f>"3AY-H2501-V0"</f>
        <v>3AY-H2501-V0</v>
      </c>
      <c r="E1315" s="1" t="s">
        <v>17</v>
      </c>
      <c r="F1315" s="1">
        <v>7</v>
      </c>
      <c r="G1315" s="1">
        <v>3932</v>
      </c>
      <c r="H1315" s="1">
        <v>27524</v>
      </c>
      <c r="I1315" s="1">
        <v>0</v>
      </c>
      <c r="J1315" s="1">
        <v>7</v>
      </c>
      <c r="K1315" s="1">
        <v>0</v>
      </c>
    </row>
    <row r="1316" spans="1:11" x14ac:dyDescent="0.2">
      <c r="A1316" s="1" t="s">
        <v>1218</v>
      </c>
      <c r="B1316" s="1" t="s">
        <v>1245</v>
      </c>
      <c r="C1316" s="1" t="str">
        <f>"AB001"</f>
        <v>AB001</v>
      </c>
      <c r="D1316" s="1" t="str">
        <f>"AB001"</f>
        <v>AB001</v>
      </c>
      <c r="E1316" s="1" t="s">
        <v>17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</row>
    <row r="1317" spans="1:11" x14ac:dyDescent="0.2">
      <c r="A1317" s="1" t="s">
        <v>1218</v>
      </c>
      <c r="B1317" s="1" t="s">
        <v>1246</v>
      </c>
      <c r="C1317" s="1" t="str">
        <f>"66298837968282"</f>
        <v>66298837968282</v>
      </c>
      <c r="D1317" s="1" t="str">
        <f>"400062"</f>
        <v>400062</v>
      </c>
      <c r="E1317" s="1" t="s">
        <v>17</v>
      </c>
      <c r="F1317" s="1">
        <v>4</v>
      </c>
      <c r="G1317" s="1">
        <v>827</v>
      </c>
      <c r="H1317" s="1">
        <v>3308</v>
      </c>
      <c r="I1317" s="1">
        <v>0</v>
      </c>
      <c r="J1317" s="1">
        <v>4</v>
      </c>
      <c r="K1317" s="1">
        <v>0</v>
      </c>
    </row>
    <row r="1318" spans="1:11" x14ac:dyDescent="0.2">
      <c r="A1318" s="1" t="s">
        <v>1218</v>
      </c>
      <c r="B1318" s="1" t="s">
        <v>1247</v>
      </c>
      <c r="C1318" s="1" t="str">
        <f>"66298837929383"</f>
        <v>66298837929383</v>
      </c>
      <c r="D1318" s="1" t="str">
        <f>"80804"</f>
        <v>80804</v>
      </c>
      <c r="E1318" s="1" t="s">
        <v>17</v>
      </c>
      <c r="F1318" s="1">
        <v>5</v>
      </c>
      <c r="G1318" s="1">
        <v>800</v>
      </c>
      <c r="H1318" s="1">
        <v>4000</v>
      </c>
      <c r="I1318" s="1">
        <v>0</v>
      </c>
      <c r="J1318" s="1">
        <v>5</v>
      </c>
      <c r="K1318" s="1">
        <v>0</v>
      </c>
    </row>
    <row r="1319" spans="1:11" x14ac:dyDescent="0.2">
      <c r="A1319" s="1" t="s">
        <v>1218</v>
      </c>
      <c r="B1319" s="1" t="s">
        <v>1248</v>
      </c>
      <c r="C1319" s="1" t="str">
        <f>"66298838071423"</f>
        <v>66298838071423</v>
      </c>
      <c r="D1319" s="1" t="str">
        <f>"AB014-1"</f>
        <v>AB014-1</v>
      </c>
      <c r="E1319" s="1" t="s">
        <v>17</v>
      </c>
      <c r="F1319" s="1">
        <v>3</v>
      </c>
      <c r="G1319" s="1">
        <v>4824</v>
      </c>
      <c r="H1319" s="1">
        <v>14472</v>
      </c>
      <c r="I1319" s="1">
        <v>0</v>
      </c>
      <c r="J1319" s="1">
        <v>3</v>
      </c>
      <c r="K1319" s="1">
        <v>0</v>
      </c>
    </row>
    <row r="1320" spans="1:11" x14ac:dyDescent="0.2">
      <c r="A1320" s="1" t="s">
        <v>1218</v>
      </c>
      <c r="B1320" s="1" t="s">
        <v>1249</v>
      </c>
      <c r="C1320" s="1" t="str">
        <f>"AB021"</f>
        <v>AB021</v>
      </c>
      <c r="D1320" s="1" t="str">
        <f>"AB021"</f>
        <v>AB021</v>
      </c>
      <c r="E1320" s="1" t="s">
        <v>17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</row>
    <row r="1321" spans="1:11" x14ac:dyDescent="0.2">
      <c r="A1321" s="1" t="s">
        <v>1218</v>
      </c>
      <c r="B1321" s="1" t="s">
        <v>1250</v>
      </c>
      <c r="C1321" s="1" t="str">
        <f>"AB009"</f>
        <v>AB009</v>
      </c>
      <c r="D1321" s="1" t="str">
        <f>"AB009"</f>
        <v>AB009</v>
      </c>
      <c r="E1321" s="1" t="s">
        <v>17</v>
      </c>
      <c r="F1321" s="1">
        <v>2</v>
      </c>
      <c r="G1321" s="1">
        <v>4298</v>
      </c>
      <c r="H1321" s="1">
        <v>8596</v>
      </c>
      <c r="I1321" s="1">
        <v>0</v>
      </c>
      <c r="J1321" s="1">
        <v>2</v>
      </c>
      <c r="K1321" s="1">
        <v>0</v>
      </c>
    </row>
    <row r="1322" spans="1:11" x14ac:dyDescent="0.2">
      <c r="A1322" s="1" t="s">
        <v>1218</v>
      </c>
      <c r="B1322" s="1" t="s">
        <v>1251</v>
      </c>
      <c r="C1322" s="1" t="str">
        <f>"AB010"</f>
        <v>AB010</v>
      </c>
      <c r="D1322" s="1" t="str">
        <f>"AB010"</f>
        <v>AB010</v>
      </c>
      <c r="E1322" s="1" t="s">
        <v>17</v>
      </c>
      <c r="F1322" s="1">
        <v>4</v>
      </c>
      <c r="G1322" s="1">
        <v>4298.21</v>
      </c>
      <c r="H1322" s="1">
        <v>17193</v>
      </c>
      <c r="I1322" s="1">
        <v>0</v>
      </c>
      <c r="J1322" s="1">
        <v>4</v>
      </c>
      <c r="K1322" s="1">
        <v>0</v>
      </c>
    </row>
    <row r="1323" spans="1:11" x14ac:dyDescent="0.2">
      <c r="A1323" s="1" t="s">
        <v>1218</v>
      </c>
      <c r="B1323" s="1" t="s">
        <v>1252</v>
      </c>
      <c r="C1323" s="1" t="str">
        <f>"66298838108327"</f>
        <v>66298838108327</v>
      </c>
      <c r="D1323" s="1" t="str">
        <f>"4VP-H2501-03"</f>
        <v>4VP-H2501-03</v>
      </c>
      <c r="E1323" s="1" t="s">
        <v>17</v>
      </c>
      <c r="F1323" s="1">
        <v>1</v>
      </c>
      <c r="G1323" s="1">
        <v>6172</v>
      </c>
      <c r="H1323" s="1">
        <v>6172</v>
      </c>
      <c r="I1323" s="1">
        <v>0</v>
      </c>
      <c r="J1323" s="1">
        <v>1</v>
      </c>
      <c r="K1323" s="1">
        <v>0</v>
      </c>
    </row>
    <row r="1324" spans="1:11" x14ac:dyDescent="0.2">
      <c r="A1324" s="1" t="s">
        <v>1218</v>
      </c>
      <c r="B1324" s="1" t="s">
        <v>1253</v>
      </c>
      <c r="C1324" s="1" t="str">
        <f>"66298838155743"</f>
        <v>66298838155743</v>
      </c>
      <c r="D1324" s="1" t="str">
        <f>"5S9-H2501-00"</f>
        <v>5S9-H2501-00</v>
      </c>
      <c r="E1324" s="1" t="s">
        <v>17</v>
      </c>
      <c r="F1324" s="1">
        <v>3</v>
      </c>
      <c r="G1324" s="1">
        <v>8489</v>
      </c>
      <c r="H1324" s="1">
        <v>25467</v>
      </c>
      <c r="I1324" s="1">
        <v>0</v>
      </c>
      <c r="J1324" s="1">
        <v>3</v>
      </c>
      <c r="K1324" s="1">
        <v>0</v>
      </c>
    </row>
    <row r="1325" spans="1:11" x14ac:dyDescent="0.2">
      <c r="A1325" s="1" t="s">
        <v>1254</v>
      </c>
      <c r="B1325" s="1" t="s">
        <v>1255</v>
      </c>
      <c r="C1325" s="1" t="str">
        <f>"129012-D1"</f>
        <v>129012-D1</v>
      </c>
      <c r="D1325" s="1" t="str">
        <f>"129012-D1"</f>
        <v>129012-D1</v>
      </c>
      <c r="E1325" s="1" t="s">
        <v>17</v>
      </c>
      <c r="F1325" s="1">
        <v>1</v>
      </c>
      <c r="G1325" s="1">
        <v>2993.81</v>
      </c>
      <c r="H1325" s="1">
        <v>2994</v>
      </c>
      <c r="I1325" s="1">
        <v>0</v>
      </c>
      <c r="J1325" s="1">
        <v>1</v>
      </c>
      <c r="K1325" s="1">
        <v>0</v>
      </c>
    </row>
    <row r="1326" spans="1:11" x14ac:dyDescent="0.2">
      <c r="A1326" s="1" t="s">
        <v>1254</v>
      </c>
      <c r="B1326" s="1" t="s">
        <v>1256</v>
      </c>
      <c r="C1326" s="1" t="str">
        <f>"66298838221359"</f>
        <v>66298838221359</v>
      </c>
      <c r="D1326" s="1" t="str">
        <f>"400479"</f>
        <v>400479</v>
      </c>
      <c r="E1326" s="1" t="s">
        <v>17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</row>
    <row r="1327" spans="1:11" x14ac:dyDescent="0.2">
      <c r="A1327" s="1" t="s">
        <v>1254</v>
      </c>
      <c r="B1327" s="1" t="s">
        <v>1257</v>
      </c>
      <c r="C1327" s="1" t="str">
        <f>"66298838267664"</f>
        <v>66298838267664</v>
      </c>
      <c r="D1327" s="1" t="str">
        <f>"400482-D"</f>
        <v>400482-D</v>
      </c>
      <c r="E1327" s="1" t="s">
        <v>17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</row>
    <row r="1328" spans="1:11" x14ac:dyDescent="0.2">
      <c r="A1328" s="1" t="s">
        <v>1254</v>
      </c>
      <c r="B1328" s="1" t="s">
        <v>1258</v>
      </c>
      <c r="C1328" s="1" t="str">
        <f>"QF015"</f>
        <v>QF015</v>
      </c>
      <c r="D1328" s="1" t="str">
        <f>"QF015"</f>
        <v>QF015</v>
      </c>
      <c r="E1328" s="1" t="s">
        <v>17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</row>
    <row r="1329" spans="1:11" x14ac:dyDescent="0.2">
      <c r="A1329" s="1" t="s">
        <v>1254</v>
      </c>
      <c r="B1329" s="1" t="s">
        <v>1259</v>
      </c>
      <c r="C1329" s="1" t="str">
        <f>"66298838314330"</f>
        <v>66298838314330</v>
      </c>
      <c r="D1329" s="1" t="str">
        <f>"82645"</f>
        <v>82645</v>
      </c>
      <c r="E1329" s="1" t="s">
        <v>17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</row>
    <row r="1330" spans="1:11" x14ac:dyDescent="0.2">
      <c r="A1330" s="1" t="s">
        <v>1254</v>
      </c>
      <c r="B1330" s="1" t="s">
        <v>1260</v>
      </c>
      <c r="C1330" s="1" t="str">
        <f>"EMHJ52102"</f>
        <v>EMHJ52102</v>
      </c>
      <c r="D1330" s="1" t="str">
        <f>"EMHJ52102"</f>
        <v>EMHJ52102</v>
      </c>
      <c r="E1330" s="1" t="s">
        <v>17</v>
      </c>
      <c r="F1330" s="1">
        <v>1</v>
      </c>
      <c r="G1330" s="1">
        <v>12436.8</v>
      </c>
      <c r="H1330" s="1">
        <v>12437</v>
      </c>
      <c r="I1330" s="1">
        <v>0</v>
      </c>
      <c r="J1330" s="1">
        <v>1</v>
      </c>
      <c r="K1330" s="1">
        <v>0</v>
      </c>
    </row>
    <row r="1331" spans="1:11" x14ac:dyDescent="0.2">
      <c r="A1331" s="1" t="s">
        <v>1254</v>
      </c>
      <c r="B1331" s="1" t="s">
        <v>1261</v>
      </c>
      <c r="C1331" s="1" t="str">
        <f>"QF005"</f>
        <v>QF005</v>
      </c>
      <c r="D1331" s="1" t="str">
        <f>"QF005"</f>
        <v>QF005</v>
      </c>
      <c r="E1331" s="1" t="s">
        <v>17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</row>
    <row r="1332" spans="1:11" x14ac:dyDescent="0.2">
      <c r="A1332" s="1" t="s">
        <v>1254</v>
      </c>
      <c r="B1332" s="1" t="s">
        <v>1262</v>
      </c>
      <c r="C1332" s="1" t="str">
        <f>"66298838355635"</f>
        <v>66298838355635</v>
      </c>
      <c r="D1332" s="1" t="str">
        <f>"QF022-A"</f>
        <v>QF022-A</v>
      </c>
      <c r="E1332" s="1" t="s">
        <v>17</v>
      </c>
      <c r="F1332" s="1">
        <v>1</v>
      </c>
      <c r="G1332" s="1">
        <v>2906</v>
      </c>
      <c r="H1332" s="1">
        <v>2906</v>
      </c>
      <c r="I1332" s="1">
        <v>0</v>
      </c>
      <c r="J1332" s="1">
        <v>1</v>
      </c>
      <c r="K1332" s="1">
        <v>0</v>
      </c>
    </row>
    <row r="1333" spans="1:11" x14ac:dyDescent="0.2">
      <c r="A1333" s="1" t="s">
        <v>1254</v>
      </c>
      <c r="B1333" s="1" t="s">
        <v>1263</v>
      </c>
      <c r="C1333" s="1" t="str">
        <f>"EMHJ52459"</f>
        <v>EMHJ52459</v>
      </c>
      <c r="D1333" s="1" t="str">
        <f>"EMHJ52459"</f>
        <v>EMHJ52459</v>
      </c>
      <c r="E1333" s="1" t="s">
        <v>17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</row>
    <row r="1334" spans="1:11" x14ac:dyDescent="0.2">
      <c r="A1334" s="1" t="s">
        <v>1254</v>
      </c>
      <c r="B1334" s="1" t="s">
        <v>1264</v>
      </c>
      <c r="C1334" s="1" t="str">
        <f>"66298838397501"</f>
        <v>66298838397501</v>
      </c>
      <c r="D1334" s="1" t="str">
        <f>"JL401405"</f>
        <v>JL401405</v>
      </c>
      <c r="E1334" s="1" t="s">
        <v>17</v>
      </c>
      <c r="F1334" s="1">
        <v>1</v>
      </c>
      <c r="G1334" s="1">
        <v>9700</v>
      </c>
      <c r="H1334" s="1">
        <v>9700</v>
      </c>
      <c r="I1334" s="1">
        <v>0</v>
      </c>
      <c r="J1334" s="1">
        <v>1</v>
      </c>
      <c r="K1334" s="1">
        <v>0</v>
      </c>
    </row>
    <row r="1335" spans="1:11" x14ac:dyDescent="0.2">
      <c r="A1335" s="1" t="s">
        <v>1254</v>
      </c>
      <c r="B1335" s="1" t="s">
        <v>1265</v>
      </c>
      <c r="C1335" s="1" t="str">
        <f>"66298838440383"</f>
        <v>66298838440383</v>
      </c>
      <c r="D1335" s="1" t="str">
        <f>"401037"</f>
        <v>401037</v>
      </c>
      <c r="E1335" s="1" t="s">
        <v>17</v>
      </c>
      <c r="F1335" s="1">
        <v>12</v>
      </c>
      <c r="G1335" s="1">
        <v>6805</v>
      </c>
      <c r="H1335" s="1">
        <v>81660</v>
      </c>
      <c r="I1335" s="1">
        <v>0</v>
      </c>
      <c r="J1335" s="1">
        <v>12</v>
      </c>
      <c r="K1335" s="1">
        <v>0</v>
      </c>
    </row>
    <row r="1336" spans="1:11" x14ac:dyDescent="0.2">
      <c r="A1336" s="1" t="s">
        <v>1254</v>
      </c>
      <c r="B1336" s="1" t="s">
        <v>1266</v>
      </c>
      <c r="C1336" s="1" t="str">
        <f>"83183"</f>
        <v>83183</v>
      </c>
      <c r="D1336" s="1" t="str">
        <f>"83183"</f>
        <v>83183</v>
      </c>
      <c r="E1336" s="1" t="s">
        <v>17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</row>
    <row r="1337" spans="1:11" x14ac:dyDescent="0.2">
      <c r="A1337" s="1" t="s">
        <v>1218</v>
      </c>
      <c r="B1337" s="1" t="s">
        <v>1267</v>
      </c>
      <c r="C1337" s="1" t="str">
        <f>"QF007"</f>
        <v>QF007</v>
      </c>
      <c r="D1337" s="1" t="str">
        <f>"QF007"</f>
        <v>QF007</v>
      </c>
      <c r="E1337" s="1" t="s">
        <v>17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</row>
    <row r="1338" spans="1:11" x14ac:dyDescent="0.2">
      <c r="A1338" s="1" t="s">
        <v>1254</v>
      </c>
      <c r="B1338" s="1" t="s">
        <v>1268</v>
      </c>
      <c r="C1338" s="1" t="str">
        <f>"104012-D1"</f>
        <v>104012-D1</v>
      </c>
      <c r="D1338" s="1" t="str">
        <f>"104012-D1"</f>
        <v>104012-D1</v>
      </c>
      <c r="E1338" s="1" t="s">
        <v>17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</row>
    <row r="1339" spans="1:11" x14ac:dyDescent="0.2">
      <c r="A1339" s="1" t="s">
        <v>1254</v>
      </c>
      <c r="B1339" s="1" t="s">
        <v>1268</v>
      </c>
      <c r="C1339" s="1" t="str">
        <f>"104012-D2"</f>
        <v>104012-D2</v>
      </c>
      <c r="D1339" s="1" t="str">
        <f>"104012-D2"</f>
        <v>104012-D2</v>
      </c>
      <c r="E1339" s="1" t="s">
        <v>17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</row>
    <row r="1340" spans="1:11" x14ac:dyDescent="0.2">
      <c r="A1340" s="1" t="s">
        <v>1254</v>
      </c>
      <c r="B1340" s="1" t="s">
        <v>1268</v>
      </c>
      <c r="C1340" s="1" t="str">
        <f>"QF001"</f>
        <v>QF001</v>
      </c>
      <c r="D1340" s="1" t="str">
        <f>"QF001"</f>
        <v>QF001</v>
      </c>
      <c r="E1340" s="1" t="s">
        <v>17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</row>
    <row r="1341" spans="1:11" x14ac:dyDescent="0.2">
      <c r="A1341" s="1" t="s">
        <v>1254</v>
      </c>
      <c r="B1341" s="1" t="s">
        <v>1268</v>
      </c>
      <c r="C1341" s="1" t="str">
        <f>"QF003"</f>
        <v>QF003</v>
      </c>
      <c r="D1341" s="1" t="str">
        <f>"QF003"</f>
        <v>QF003</v>
      </c>
      <c r="E1341" s="1" t="s">
        <v>17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 x14ac:dyDescent="0.2">
      <c r="A1342" s="1" t="s">
        <v>1254</v>
      </c>
      <c r="B1342" s="1" t="s">
        <v>1269</v>
      </c>
      <c r="C1342" s="1" t="str">
        <f>"66298838479165"</f>
        <v>66298838479165</v>
      </c>
      <c r="D1342" s="1" t="str">
        <f>"QF017"</f>
        <v>QF017</v>
      </c>
      <c r="E1342" s="1" t="s">
        <v>17</v>
      </c>
      <c r="F1342" s="1">
        <v>2</v>
      </c>
      <c r="G1342" s="1">
        <v>3934</v>
      </c>
      <c r="H1342" s="1">
        <v>7868</v>
      </c>
      <c r="I1342" s="1">
        <v>0</v>
      </c>
      <c r="J1342" s="1">
        <v>2</v>
      </c>
      <c r="K1342" s="1">
        <v>0</v>
      </c>
    </row>
    <row r="1343" spans="1:11" x14ac:dyDescent="0.2">
      <c r="A1343" s="1" t="s">
        <v>1254</v>
      </c>
      <c r="B1343" s="1" t="s">
        <v>1270</v>
      </c>
      <c r="C1343" s="1" t="str">
        <f>"66298838520272"</f>
        <v>66298838520272</v>
      </c>
      <c r="D1343" s="1" t="str">
        <f>"80964"</f>
        <v>80964</v>
      </c>
      <c r="E1343" s="1" t="s">
        <v>17</v>
      </c>
      <c r="F1343" s="1">
        <v>9</v>
      </c>
      <c r="G1343" s="1">
        <v>1276</v>
      </c>
      <c r="H1343" s="1">
        <v>11484</v>
      </c>
      <c r="I1343" s="1">
        <v>0</v>
      </c>
      <c r="J1343" s="1">
        <v>9</v>
      </c>
      <c r="K1343" s="1">
        <v>0</v>
      </c>
    </row>
    <row r="1344" spans="1:11" x14ac:dyDescent="0.2">
      <c r="A1344" s="1" t="s">
        <v>1254</v>
      </c>
      <c r="B1344" s="1" t="s">
        <v>1271</v>
      </c>
      <c r="C1344" s="1" t="str">
        <f>"66298838602825"</f>
        <v>66298838602825</v>
      </c>
      <c r="D1344" s="1" t="str">
        <f>"80963"</f>
        <v>80963</v>
      </c>
      <c r="E1344" s="1" t="s">
        <v>17</v>
      </c>
      <c r="F1344" s="1">
        <v>2</v>
      </c>
      <c r="G1344" s="1">
        <v>1029</v>
      </c>
      <c r="H1344" s="1">
        <v>2058</v>
      </c>
      <c r="I1344" s="1">
        <v>0</v>
      </c>
      <c r="J1344" s="1">
        <v>2</v>
      </c>
      <c r="K1344" s="1">
        <v>0</v>
      </c>
    </row>
    <row r="1345" spans="1:11" x14ac:dyDescent="0.2">
      <c r="A1345" s="1" t="s">
        <v>1254</v>
      </c>
      <c r="B1345" s="1" t="s">
        <v>1272</v>
      </c>
      <c r="C1345" s="1" t="str">
        <f>"66298838562557"</f>
        <v>66298838562557</v>
      </c>
      <c r="D1345" s="1" t="str">
        <f>"80965"</f>
        <v>80965</v>
      </c>
      <c r="E1345" s="1" t="s">
        <v>17</v>
      </c>
      <c r="F1345" s="1">
        <v>9</v>
      </c>
      <c r="G1345" s="1">
        <v>1254</v>
      </c>
      <c r="H1345" s="1">
        <v>11286</v>
      </c>
      <c r="I1345" s="1">
        <v>0</v>
      </c>
      <c r="J1345" s="1">
        <v>9</v>
      </c>
      <c r="K1345" s="1">
        <v>0</v>
      </c>
    </row>
    <row r="1346" spans="1:11" x14ac:dyDescent="0.2">
      <c r="A1346" s="1" t="s">
        <v>1254</v>
      </c>
      <c r="B1346" s="1" t="s">
        <v>1273</v>
      </c>
      <c r="C1346" s="1" t="str">
        <f>"66298838643614"</f>
        <v>66298838643614</v>
      </c>
      <c r="D1346" s="1" t="str">
        <f>"80853"</f>
        <v>80853</v>
      </c>
      <c r="E1346" s="1" t="s">
        <v>17</v>
      </c>
      <c r="F1346" s="1">
        <v>8</v>
      </c>
      <c r="G1346" s="1">
        <v>1302</v>
      </c>
      <c r="H1346" s="1">
        <v>10416</v>
      </c>
      <c r="I1346" s="1">
        <v>0</v>
      </c>
      <c r="J1346" s="1">
        <v>8</v>
      </c>
      <c r="K1346" s="1">
        <v>0</v>
      </c>
    </row>
    <row r="1347" spans="1:11" x14ac:dyDescent="0.2">
      <c r="A1347" s="1" t="s">
        <v>1254</v>
      </c>
      <c r="B1347" s="1" t="s">
        <v>1274</v>
      </c>
      <c r="C1347" s="1" t="str">
        <f>"66298838683576"</f>
        <v>66298838683576</v>
      </c>
      <c r="D1347" s="1" t="str">
        <f>"80959"</f>
        <v>80959</v>
      </c>
      <c r="E1347" s="1" t="s">
        <v>17</v>
      </c>
      <c r="F1347" s="1">
        <v>5</v>
      </c>
      <c r="G1347" s="1">
        <v>1144</v>
      </c>
      <c r="H1347" s="1">
        <v>5720</v>
      </c>
      <c r="I1347" s="1">
        <v>0</v>
      </c>
      <c r="J1347" s="1">
        <v>5</v>
      </c>
      <c r="K1347" s="1">
        <v>0</v>
      </c>
    </row>
    <row r="1348" spans="1:11" x14ac:dyDescent="0.2">
      <c r="A1348" s="1" t="s">
        <v>1254</v>
      </c>
      <c r="B1348" s="1" t="s">
        <v>1275</v>
      </c>
      <c r="C1348" s="1" t="str">
        <f>"66298838722454"</f>
        <v>66298838722454</v>
      </c>
      <c r="D1348" s="1" t="str">
        <f>"80960"</f>
        <v>80960</v>
      </c>
      <c r="E1348" s="1" t="s">
        <v>17</v>
      </c>
      <c r="F1348" s="1">
        <v>5</v>
      </c>
      <c r="G1348" s="1">
        <v>1442</v>
      </c>
      <c r="H1348" s="1">
        <v>7210</v>
      </c>
      <c r="I1348" s="1">
        <v>0</v>
      </c>
      <c r="J1348" s="1">
        <v>5</v>
      </c>
      <c r="K1348" s="1">
        <v>0</v>
      </c>
    </row>
    <row r="1349" spans="1:11" x14ac:dyDescent="0.2">
      <c r="A1349" s="1" t="s">
        <v>1254</v>
      </c>
      <c r="B1349" s="1" t="s">
        <v>1276</v>
      </c>
      <c r="C1349" s="1" t="str">
        <f>"66298838769049"</f>
        <v>66298838769049</v>
      </c>
      <c r="D1349" s="1" t="str">
        <f>"80859"</f>
        <v>80859</v>
      </c>
      <c r="E1349" s="1" t="s">
        <v>17</v>
      </c>
      <c r="F1349" s="1">
        <v>6</v>
      </c>
      <c r="G1349" s="1">
        <v>1282</v>
      </c>
      <c r="H1349" s="1">
        <v>7692</v>
      </c>
      <c r="I1349" s="1">
        <v>0</v>
      </c>
      <c r="J1349" s="1">
        <v>6</v>
      </c>
      <c r="K1349" s="1">
        <v>0</v>
      </c>
    </row>
    <row r="1350" spans="1:11" x14ac:dyDescent="0.2">
      <c r="A1350" s="1" t="s">
        <v>1254</v>
      </c>
      <c r="B1350" s="1" t="s">
        <v>1277</v>
      </c>
      <c r="C1350" s="1" t="str">
        <f>"129012-IZ1"</f>
        <v>129012-IZ1</v>
      </c>
      <c r="D1350" s="1" t="str">
        <f>"129012-IZ1"</f>
        <v>129012-IZ1</v>
      </c>
      <c r="E1350" s="1" t="s">
        <v>17</v>
      </c>
      <c r="F1350" s="1">
        <v>2</v>
      </c>
      <c r="G1350" s="1">
        <v>2993.81</v>
      </c>
      <c r="H1350" s="1">
        <v>5988</v>
      </c>
      <c r="I1350" s="1">
        <v>0</v>
      </c>
      <c r="J1350" s="1">
        <v>2</v>
      </c>
      <c r="K1350" s="1">
        <v>0</v>
      </c>
    </row>
    <row r="1351" spans="1:11" x14ac:dyDescent="0.2">
      <c r="A1351" s="1" t="s">
        <v>1254</v>
      </c>
      <c r="B1351" s="1" t="s">
        <v>1278</v>
      </c>
      <c r="C1351" s="1" t="str">
        <f>"66298838808371"</f>
        <v>66298838808371</v>
      </c>
      <c r="D1351" s="1" t="str">
        <f>"400481"</f>
        <v>400481</v>
      </c>
      <c r="E1351" s="1" t="s">
        <v>17</v>
      </c>
      <c r="F1351" s="1">
        <v>28</v>
      </c>
      <c r="G1351" s="1">
        <v>2226</v>
      </c>
      <c r="H1351" s="1">
        <v>62328</v>
      </c>
      <c r="I1351" s="1">
        <v>0</v>
      </c>
      <c r="J1351" s="1">
        <v>28</v>
      </c>
      <c r="K1351" s="1">
        <v>0</v>
      </c>
    </row>
    <row r="1352" spans="1:11" x14ac:dyDescent="0.2">
      <c r="A1352" s="1" t="s">
        <v>1254</v>
      </c>
      <c r="B1352" s="1" t="s">
        <v>1279</v>
      </c>
      <c r="C1352" s="1" t="str">
        <f>"66298838852043"</f>
        <v>66298838852043</v>
      </c>
      <c r="D1352" s="1" t="str">
        <f>"400482-I"</f>
        <v>400482-I</v>
      </c>
      <c r="E1352" s="1" t="s">
        <v>17</v>
      </c>
      <c r="F1352" s="1">
        <v>26</v>
      </c>
      <c r="G1352" s="1">
        <v>2385</v>
      </c>
      <c r="H1352" s="1">
        <v>62010</v>
      </c>
      <c r="I1352" s="1">
        <v>0</v>
      </c>
      <c r="J1352" s="1">
        <v>26</v>
      </c>
      <c r="K1352" s="1">
        <v>0</v>
      </c>
    </row>
    <row r="1353" spans="1:11" x14ac:dyDescent="0.2">
      <c r="A1353" s="1" t="s">
        <v>1254</v>
      </c>
      <c r="B1353" s="1" t="s">
        <v>1280</v>
      </c>
      <c r="C1353" s="1" t="str">
        <f>"QF014"</f>
        <v>QF014</v>
      </c>
      <c r="D1353" s="1" t="str">
        <f>"QF014"</f>
        <v>QF014</v>
      </c>
      <c r="E1353" s="1" t="s">
        <v>17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</row>
    <row r="1354" spans="1:11" x14ac:dyDescent="0.2">
      <c r="A1354" s="1" t="s">
        <v>1254</v>
      </c>
      <c r="B1354" s="1" t="s">
        <v>1281</v>
      </c>
      <c r="C1354" s="1" t="str">
        <f>"66298838893211"</f>
        <v>66298838893211</v>
      </c>
      <c r="D1354" s="1" t="str">
        <f>"CHA-IZQ-GS"</f>
        <v>CHA-IZQ-GS</v>
      </c>
      <c r="E1354" s="1" t="s">
        <v>17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</row>
    <row r="1355" spans="1:11" x14ac:dyDescent="0.2">
      <c r="A1355" s="1" t="s">
        <v>1254</v>
      </c>
      <c r="B1355" s="1" t="s">
        <v>1282</v>
      </c>
      <c r="C1355" s="1" t="str">
        <f>"66298838930371"</f>
        <v>66298838930371</v>
      </c>
      <c r="D1355" s="1" t="str">
        <f>"82644"</f>
        <v>82644</v>
      </c>
      <c r="E1355" s="1" t="s">
        <v>17</v>
      </c>
      <c r="F1355" s="1">
        <v>3</v>
      </c>
      <c r="G1355" s="1">
        <v>2556</v>
      </c>
      <c r="H1355" s="1">
        <v>7668</v>
      </c>
      <c r="I1355" s="1">
        <v>0</v>
      </c>
      <c r="J1355" s="1">
        <v>3</v>
      </c>
      <c r="K1355" s="1">
        <v>0</v>
      </c>
    </row>
    <row r="1356" spans="1:11" x14ac:dyDescent="0.2">
      <c r="A1356" s="1" t="s">
        <v>1254</v>
      </c>
      <c r="B1356" s="1" t="s">
        <v>1283</v>
      </c>
      <c r="C1356" s="1" t="str">
        <f>"66298838973708"</f>
        <v>66298838973708</v>
      </c>
      <c r="D1356" s="1" t="str">
        <f>"JL150GY3-F3-24"</f>
        <v>JL150GY3-F3-24</v>
      </c>
      <c r="E1356" s="1" t="s">
        <v>17</v>
      </c>
      <c r="F1356" s="1">
        <v>1</v>
      </c>
      <c r="G1356" s="1">
        <v>4076</v>
      </c>
      <c r="H1356" s="1">
        <v>4076</v>
      </c>
      <c r="I1356" s="1">
        <v>0</v>
      </c>
      <c r="J1356" s="1">
        <v>1</v>
      </c>
      <c r="K1356" s="1">
        <v>0</v>
      </c>
    </row>
    <row r="1357" spans="1:11" x14ac:dyDescent="0.2">
      <c r="A1357" s="1" t="s">
        <v>1254</v>
      </c>
      <c r="B1357" s="1" t="s">
        <v>1284</v>
      </c>
      <c r="C1357" s="1" t="str">
        <f>"66298839018884"</f>
        <v>66298839018884</v>
      </c>
      <c r="D1357" s="1" t="str">
        <f>"JL250A-F18-4"</f>
        <v>JL250A-F18-4</v>
      </c>
      <c r="E1357" s="1" t="s">
        <v>17</v>
      </c>
      <c r="F1357" s="1">
        <v>1</v>
      </c>
      <c r="G1357" s="1">
        <v>6641</v>
      </c>
      <c r="H1357" s="1">
        <v>6641</v>
      </c>
      <c r="I1357" s="1">
        <v>0</v>
      </c>
      <c r="J1357" s="1">
        <v>1</v>
      </c>
      <c r="K1357" s="1">
        <v>0</v>
      </c>
    </row>
    <row r="1358" spans="1:11" x14ac:dyDescent="0.2">
      <c r="A1358" s="1" t="s">
        <v>1254</v>
      </c>
      <c r="B1358" s="1" t="s">
        <v>1285</v>
      </c>
      <c r="C1358" s="1" t="str">
        <f>"66298839059487"</f>
        <v>66298839059487</v>
      </c>
      <c r="D1358" s="1" t="str">
        <f>"37400H2A001H000"</f>
        <v>37400H2A001H000</v>
      </c>
      <c r="E1358" s="1" t="s">
        <v>17</v>
      </c>
      <c r="F1358" s="1">
        <v>2</v>
      </c>
      <c r="G1358" s="1">
        <v>8335</v>
      </c>
      <c r="H1358" s="1">
        <v>16670</v>
      </c>
      <c r="I1358" s="1">
        <v>0</v>
      </c>
      <c r="J1358" s="1">
        <v>2</v>
      </c>
      <c r="K1358" s="1">
        <v>0</v>
      </c>
    </row>
    <row r="1359" spans="1:11" x14ac:dyDescent="0.2">
      <c r="A1359" s="1" t="s">
        <v>1254</v>
      </c>
      <c r="B1359" s="1" t="s">
        <v>1286</v>
      </c>
      <c r="C1359" s="1" t="str">
        <f>"66298839099213"</f>
        <v>66298839099213</v>
      </c>
      <c r="D1359" s="1" t="str">
        <f>"37400H40100H000"</f>
        <v>37400H40100H000</v>
      </c>
      <c r="E1359" s="1" t="s">
        <v>17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</row>
    <row r="1360" spans="1:11" x14ac:dyDescent="0.2">
      <c r="A1360" s="1" t="s">
        <v>1254</v>
      </c>
      <c r="B1360" s="1" t="s">
        <v>1287</v>
      </c>
      <c r="C1360" s="1" t="str">
        <f>"66298839146136"</f>
        <v>66298839146136</v>
      </c>
      <c r="D1360" s="1" t="str">
        <f>"35200-MCG-771BR"</f>
        <v>35200-MCG-771BR</v>
      </c>
      <c r="E1360" s="1" t="s">
        <v>17</v>
      </c>
      <c r="F1360" s="1">
        <v>2</v>
      </c>
      <c r="G1360" s="1">
        <v>11635</v>
      </c>
      <c r="H1360" s="1">
        <v>23270</v>
      </c>
      <c r="I1360" s="1">
        <v>0</v>
      </c>
      <c r="J1360" s="1">
        <v>2</v>
      </c>
      <c r="K1360" s="1">
        <v>0</v>
      </c>
    </row>
    <row r="1361" spans="1:11" x14ac:dyDescent="0.2">
      <c r="A1361" s="1" t="s">
        <v>1254</v>
      </c>
      <c r="B1361" s="1" t="s">
        <v>1288</v>
      </c>
      <c r="C1361" s="1" t="str">
        <f>"66298839184316"</f>
        <v>66298839184316</v>
      </c>
      <c r="D1361" s="1" t="str">
        <f>"80966"</f>
        <v>80966</v>
      </c>
      <c r="E1361" s="1" t="s">
        <v>17</v>
      </c>
      <c r="F1361" s="1">
        <v>4</v>
      </c>
      <c r="G1361" s="1">
        <v>1364</v>
      </c>
      <c r="H1361" s="1">
        <v>5456</v>
      </c>
      <c r="I1361" s="1">
        <v>0</v>
      </c>
      <c r="J1361" s="1">
        <v>4</v>
      </c>
      <c r="K1361" s="1">
        <v>0</v>
      </c>
    </row>
    <row r="1362" spans="1:11" x14ac:dyDescent="0.2">
      <c r="A1362" s="1" t="s">
        <v>1254</v>
      </c>
      <c r="B1362" s="1" t="s">
        <v>1289</v>
      </c>
      <c r="C1362" s="1" t="str">
        <f>"66298839228557"</f>
        <v>66298839228557</v>
      </c>
      <c r="D1362" s="1" t="str">
        <f>"80863"</f>
        <v>80863</v>
      </c>
      <c r="E1362" s="1" t="s">
        <v>17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</row>
    <row r="1363" spans="1:11" x14ac:dyDescent="0.2">
      <c r="A1363" s="1" t="s">
        <v>1254</v>
      </c>
      <c r="B1363" s="1" t="s">
        <v>1290</v>
      </c>
      <c r="C1363" s="1" t="str">
        <f>"66298839267498"</f>
        <v>66298839267498</v>
      </c>
      <c r="D1363" s="1" t="str">
        <f>"401044"</f>
        <v>401044</v>
      </c>
      <c r="E1363" s="1" t="s">
        <v>17</v>
      </c>
      <c r="F1363" s="1">
        <v>27</v>
      </c>
      <c r="G1363" s="1">
        <v>7372</v>
      </c>
      <c r="H1363" s="1">
        <v>199044</v>
      </c>
      <c r="I1363" s="1">
        <v>0</v>
      </c>
      <c r="J1363" s="1">
        <v>27</v>
      </c>
      <c r="K1363" s="1">
        <v>0</v>
      </c>
    </row>
    <row r="1364" spans="1:11" x14ac:dyDescent="0.2">
      <c r="A1364" s="1" t="s">
        <v>1254</v>
      </c>
      <c r="B1364" s="1" t="s">
        <v>1291</v>
      </c>
      <c r="C1364" s="1" t="str">
        <f>"QF008"</f>
        <v>QF008</v>
      </c>
      <c r="D1364" s="1" t="str">
        <f>"QF008"</f>
        <v>QF008</v>
      </c>
      <c r="E1364" s="1" t="s">
        <v>17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</row>
    <row r="1365" spans="1:11" x14ac:dyDescent="0.2">
      <c r="A1365" s="1" t="s">
        <v>1254</v>
      </c>
      <c r="B1365" s="1" t="s">
        <v>1292</v>
      </c>
      <c r="C1365" s="1" t="str">
        <f>"QF006"</f>
        <v>QF006</v>
      </c>
      <c r="D1365" s="1" t="str">
        <f>"QF006"</f>
        <v>QF006</v>
      </c>
      <c r="E1365" s="1" t="s">
        <v>17</v>
      </c>
      <c r="F1365" s="1">
        <v>2</v>
      </c>
      <c r="G1365" s="1">
        <v>1748</v>
      </c>
      <c r="H1365" s="1">
        <v>3496</v>
      </c>
      <c r="I1365" s="1">
        <v>0</v>
      </c>
      <c r="J1365" s="1">
        <v>2</v>
      </c>
      <c r="K1365" s="1">
        <v>0</v>
      </c>
    </row>
    <row r="1366" spans="1:11" x14ac:dyDescent="0.2">
      <c r="A1366" s="1" t="s">
        <v>1254</v>
      </c>
      <c r="B1366" s="1" t="s">
        <v>1293</v>
      </c>
      <c r="C1366" s="1" t="str">
        <f>"66298839350248"</f>
        <v>66298839350248</v>
      </c>
      <c r="D1366" s="1" t="str">
        <f>"80856"</f>
        <v>80856</v>
      </c>
      <c r="E1366" s="1" t="s">
        <v>17</v>
      </c>
      <c r="F1366" s="1">
        <v>1</v>
      </c>
      <c r="G1366" s="1">
        <v>1478</v>
      </c>
      <c r="H1366" s="1">
        <v>1478</v>
      </c>
      <c r="I1366" s="1">
        <v>0</v>
      </c>
      <c r="J1366" s="1">
        <v>1</v>
      </c>
      <c r="K1366" s="1">
        <v>0</v>
      </c>
    </row>
    <row r="1367" spans="1:11" x14ac:dyDescent="0.2">
      <c r="A1367" s="1" t="s">
        <v>1254</v>
      </c>
      <c r="B1367" s="1" t="s">
        <v>1294</v>
      </c>
      <c r="C1367" s="1" t="str">
        <f>"66298839391049"</f>
        <v>66298839391049</v>
      </c>
      <c r="D1367" s="1" t="str">
        <f>"80855"</f>
        <v>80855</v>
      </c>
      <c r="E1367" s="1" t="s">
        <v>17</v>
      </c>
      <c r="F1367" s="1">
        <v>1</v>
      </c>
      <c r="G1367" s="1">
        <v>1260</v>
      </c>
      <c r="H1367" s="1">
        <v>1260</v>
      </c>
      <c r="I1367" s="1">
        <v>0</v>
      </c>
      <c r="J1367" s="1">
        <v>1</v>
      </c>
      <c r="K1367" s="1">
        <v>0</v>
      </c>
    </row>
    <row r="1368" spans="1:11" x14ac:dyDescent="0.2">
      <c r="A1368" s="1" t="s">
        <v>1254</v>
      </c>
      <c r="B1368" s="1" t="s">
        <v>1295</v>
      </c>
      <c r="C1368" s="1" t="str">
        <f>"66298839429114"</f>
        <v>66298839429114</v>
      </c>
      <c r="D1368" s="1" t="str">
        <f>"80862"</f>
        <v>80862</v>
      </c>
      <c r="E1368" s="1" t="s">
        <v>17</v>
      </c>
      <c r="F1368" s="1">
        <v>6</v>
      </c>
      <c r="G1368" s="1">
        <v>1348</v>
      </c>
      <c r="H1368" s="1">
        <v>8088</v>
      </c>
      <c r="I1368" s="1">
        <v>0</v>
      </c>
      <c r="J1368" s="1">
        <v>6</v>
      </c>
      <c r="K1368" s="1">
        <v>0</v>
      </c>
    </row>
    <row r="1369" spans="1:11" x14ac:dyDescent="0.2">
      <c r="A1369" s="1" t="s">
        <v>1254</v>
      </c>
      <c r="B1369" s="1" t="s">
        <v>1296</v>
      </c>
      <c r="C1369" s="1" t="str">
        <f>"66298839468329"</f>
        <v>66298839468329</v>
      </c>
      <c r="D1369" s="1" t="str">
        <f>"JL401400"</f>
        <v>JL401400</v>
      </c>
      <c r="E1369" s="1" t="s">
        <v>17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</row>
    <row r="1370" spans="1:11" x14ac:dyDescent="0.2">
      <c r="A1370" s="1" t="s">
        <v>1254</v>
      </c>
      <c r="B1370" s="1" t="s">
        <v>1296</v>
      </c>
      <c r="C1370" s="1" t="str">
        <f>"104012-IZ1"</f>
        <v>104012-IZ1</v>
      </c>
      <c r="D1370" s="1" t="str">
        <f>"104012-IZ1"</f>
        <v>104012-IZ1</v>
      </c>
      <c r="E1370" s="1" t="s">
        <v>17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</row>
    <row r="1371" spans="1:11" x14ac:dyDescent="0.2">
      <c r="A1371" s="1" t="s">
        <v>1254</v>
      </c>
      <c r="B1371" s="1" t="s">
        <v>1296</v>
      </c>
      <c r="C1371" s="1" t="str">
        <f>"104012-IZ2"</f>
        <v>104012-IZ2</v>
      </c>
      <c r="D1371" s="1" t="str">
        <f>"104012-IZ2"</f>
        <v>104012-IZ2</v>
      </c>
      <c r="E1371" s="1" t="s">
        <v>17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</row>
    <row r="1372" spans="1:11" x14ac:dyDescent="0.2">
      <c r="A1372" s="1" t="s">
        <v>1254</v>
      </c>
      <c r="B1372" s="1" t="s">
        <v>1296</v>
      </c>
      <c r="C1372" s="1" t="str">
        <f>"QF002"</f>
        <v>QF002</v>
      </c>
      <c r="D1372" s="1" t="str">
        <f>"QF002"</f>
        <v>QF002</v>
      </c>
      <c r="E1372" s="1" t="s">
        <v>17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</row>
    <row r="1373" spans="1:11" x14ac:dyDescent="0.2">
      <c r="A1373" s="1" t="s">
        <v>1254</v>
      </c>
      <c r="B1373" s="1" t="s">
        <v>1296</v>
      </c>
      <c r="C1373" s="1" t="str">
        <f>"QF004"</f>
        <v>QF004</v>
      </c>
      <c r="D1373" s="1" t="str">
        <f>"QF004"</f>
        <v>QF004</v>
      </c>
      <c r="E1373" s="1" t="s">
        <v>17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</row>
    <row r="1374" spans="1:11" x14ac:dyDescent="0.2">
      <c r="A1374" s="1" t="s">
        <v>1254</v>
      </c>
      <c r="B1374" s="1" t="s">
        <v>1297</v>
      </c>
      <c r="C1374" s="1" t="str">
        <f>"66298839514686"</f>
        <v>66298839514686</v>
      </c>
      <c r="D1374" s="1" t="str">
        <f>"80968"</f>
        <v>80968</v>
      </c>
      <c r="E1374" s="1" t="s">
        <v>17</v>
      </c>
      <c r="F1374" s="1">
        <v>2</v>
      </c>
      <c r="G1374" s="1">
        <v>1401</v>
      </c>
      <c r="H1374" s="1">
        <v>2802</v>
      </c>
      <c r="I1374" s="1">
        <v>0</v>
      </c>
      <c r="J1374" s="1">
        <v>2</v>
      </c>
      <c r="K1374" s="1">
        <v>0</v>
      </c>
    </row>
    <row r="1375" spans="1:11" x14ac:dyDescent="0.2">
      <c r="A1375" s="1" t="s">
        <v>1254</v>
      </c>
      <c r="B1375" s="1" t="s">
        <v>1297</v>
      </c>
      <c r="C1375" s="1" t="str">
        <f>"66298839520419"</f>
        <v>66298839520419</v>
      </c>
      <c r="D1375" s="1" t="str">
        <f>"80864"</f>
        <v>80864</v>
      </c>
      <c r="E1375" s="1" t="s">
        <v>17</v>
      </c>
      <c r="F1375" s="1">
        <v>2</v>
      </c>
      <c r="G1375" s="1">
        <v>1680</v>
      </c>
      <c r="H1375" s="1">
        <v>3360</v>
      </c>
      <c r="I1375" s="1">
        <v>0</v>
      </c>
      <c r="J1375" s="1">
        <v>2</v>
      </c>
      <c r="K1375" s="1">
        <v>0</v>
      </c>
    </row>
    <row r="1376" spans="1:11" x14ac:dyDescent="0.2">
      <c r="A1376" s="1" t="s">
        <v>1254</v>
      </c>
      <c r="B1376" s="1" t="s">
        <v>1298</v>
      </c>
      <c r="C1376" s="1" t="str">
        <f>"66298839576695"</f>
        <v>66298839576695</v>
      </c>
      <c r="D1376" s="1" t="str">
        <f>"QF020"</f>
        <v>QF020</v>
      </c>
      <c r="E1376" s="1" t="s">
        <v>17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</row>
    <row r="1377" spans="1:11" x14ac:dyDescent="0.2">
      <c r="A1377" s="1" t="s">
        <v>1254</v>
      </c>
      <c r="B1377" s="1" t="s">
        <v>1299</v>
      </c>
      <c r="C1377" s="1" t="str">
        <f>"66298839616216"</f>
        <v>66298839616216</v>
      </c>
      <c r="D1377" s="1" t="str">
        <f>"80961"</f>
        <v>80961</v>
      </c>
      <c r="E1377" s="1" t="s">
        <v>17</v>
      </c>
      <c r="F1377" s="1">
        <v>1</v>
      </c>
      <c r="G1377" s="1">
        <v>1204</v>
      </c>
      <c r="H1377" s="1">
        <v>1204</v>
      </c>
      <c r="I1377" s="1">
        <v>0</v>
      </c>
      <c r="J1377" s="1">
        <v>1</v>
      </c>
      <c r="K1377" s="1">
        <v>0</v>
      </c>
    </row>
    <row r="1378" spans="1:11" x14ac:dyDescent="0.2">
      <c r="A1378" s="1" t="s">
        <v>1254</v>
      </c>
      <c r="B1378" s="1" t="s">
        <v>1300</v>
      </c>
      <c r="C1378" s="1" t="str">
        <f>"66298839657215"</f>
        <v>66298839657215</v>
      </c>
      <c r="D1378" s="1" t="str">
        <f>"400480"</f>
        <v>400480</v>
      </c>
      <c r="E1378" s="1" t="s">
        <v>17</v>
      </c>
      <c r="F1378" s="1">
        <v>23</v>
      </c>
      <c r="G1378" s="1">
        <v>2090</v>
      </c>
      <c r="H1378" s="1">
        <v>48070</v>
      </c>
      <c r="I1378" s="1">
        <v>0</v>
      </c>
      <c r="J1378" s="1">
        <v>23</v>
      </c>
      <c r="K1378" s="1">
        <v>0</v>
      </c>
    </row>
    <row r="1379" spans="1:11" x14ac:dyDescent="0.2">
      <c r="A1379" s="1" t="s">
        <v>1254</v>
      </c>
      <c r="B1379" s="1" t="s">
        <v>1301</v>
      </c>
      <c r="C1379" s="1" t="str">
        <f>"QF009-DER"</f>
        <v>QF009-DER</v>
      </c>
      <c r="D1379" s="1" t="str">
        <f>"QF009-DER"</f>
        <v>QF009-DER</v>
      </c>
      <c r="E1379" s="1" t="s">
        <v>17</v>
      </c>
      <c r="F1379" s="1">
        <v>4</v>
      </c>
      <c r="G1379" s="1">
        <v>4444.21</v>
      </c>
      <c r="H1379" s="1">
        <v>17777</v>
      </c>
      <c r="I1379" s="1">
        <v>0</v>
      </c>
      <c r="J1379" s="1">
        <v>4</v>
      </c>
      <c r="K1379" s="1">
        <v>0</v>
      </c>
    </row>
    <row r="1380" spans="1:11" x14ac:dyDescent="0.2">
      <c r="A1380" s="1" t="s">
        <v>1254</v>
      </c>
      <c r="B1380" s="1" t="s">
        <v>1302</v>
      </c>
      <c r="C1380" s="1" t="str">
        <f>"QF009-IZQ"</f>
        <v>QF009-IZQ</v>
      </c>
      <c r="D1380" s="1" t="str">
        <f>"QF009-IZQ"</f>
        <v>QF009-IZQ</v>
      </c>
      <c r="E1380" s="1" t="s">
        <v>17</v>
      </c>
      <c r="F1380" s="1">
        <v>4</v>
      </c>
      <c r="G1380" s="1">
        <v>4444.21</v>
      </c>
      <c r="H1380" s="1">
        <v>17777</v>
      </c>
      <c r="I1380" s="1">
        <v>0</v>
      </c>
      <c r="J1380" s="1">
        <v>4</v>
      </c>
      <c r="K1380" s="1">
        <v>0</v>
      </c>
    </row>
    <row r="1381" spans="1:11" x14ac:dyDescent="0.2">
      <c r="A1381" s="1" t="s">
        <v>1254</v>
      </c>
      <c r="B1381" s="1" t="s">
        <v>1303</v>
      </c>
      <c r="C1381" s="1" t="str">
        <f>"QF010-DER"</f>
        <v>QF010-DER</v>
      </c>
      <c r="D1381" s="1" t="str">
        <f>"QF010-DER"</f>
        <v>QF010-DER</v>
      </c>
      <c r="E1381" s="1" t="s">
        <v>17</v>
      </c>
      <c r="F1381" s="1">
        <v>2</v>
      </c>
      <c r="G1381" s="1">
        <v>4702.51</v>
      </c>
      <c r="H1381" s="1">
        <v>9405</v>
      </c>
      <c r="I1381" s="1">
        <v>0</v>
      </c>
      <c r="J1381" s="1">
        <v>2</v>
      </c>
      <c r="K1381" s="1">
        <v>0</v>
      </c>
    </row>
    <row r="1382" spans="1:11" x14ac:dyDescent="0.2">
      <c r="A1382" s="1" t="s">
        <v>1254</v>
      </c>
      <c r="B1382" s="1" t="s">
        <v>1304</v>
      </c>
      <c r="C1382" s="1" t="str">
        <f>"QF010-IZQ"</f>
        <v>QF010-IZQ</v>
      </c>
      <c r="D1382" s="1" t="str">
        <f>"QF010-IZQ"</f>
        <v>QF010-IZQ</v>
      </c>
      <c r="E1382" s="1" t="s">
        <v>17</v>
      </c>
      <c r="F1382" s="1">
        <v>4</v>
      </c>
      <c r="G1382" s="1">
        <v>4702.51</v>
      </c>
      <c r="H1382" s="1">
        <v>18810</v>
      </c>
      <c r="I1382" s="1">
        <v>0</v>
      </c>
      <c r="J1382" s="1">
        <v>4</v>
      </c>
      <c r="K1382" s="1">
        <v>0</v>
      </c>
    </row>
    <row r="1383" spans="1:11" x14ac:dyDescent="0.2">
      <c r="A1383" s="1" t="s">
        <v>1254</v>
      </c>
      <c r="B1383" s="1" t="s">
        <v>1305</v>
      </c>
      <c r="C1383" s="1" t="str">
        <f>"66298839699038"</f>
        <v>66298839699038</v>
      </c>
      <c r="D1383" s="1" t="str">
        <f>"QG010"</f>
        <v>QG010</v>
      </c>
      <c r="E1383" s="1" t="s">
        <v>17</v>
      </c>
      <c r="F1383" s="1">
        <v>5</v>
      </c>
      <c r="G1383" s="1">
        <v>1646</v>
      </c>
      <c r="H1383" s="1">
        <v>8230</v>
      </c>
      <c r="I1383" s="1">
        <v>0</v>
      </c>
      <c r="J1383" s="1">
        <v>5</v>
      </c>
      <c r="K1383" s="1">
        <v>0</v>
      </c>
    </row>
    <row r="1384" spans="1:11" x14ac:dyDescent="0.2">
      <c r="A1384" s="1" t="s">
        <v>1306</v>
      </c>
      <c r="B1384" s="1" t="s">
        <v>1307</v>
      </c>
      <c r="C1384" s="1" t="str">
        <f>"31800-15501JP"</f>
        <v>31800-15501JP</v>
      </c>
      <c r="D1384" s="1" t="str">
        <f>"31800-15501JP"</f>
        <v>31800-15501JP</v>
      </c>
      <c r="E1384" s="1" t="s">
        <v>17</v>
      </c>
      <c r="F1384" s="1">
        <v>3</v>
      </c>
      <c r="G1384" s="1">
        <v>5775</v>
      </c>
      <c r="H1384" s="1">
        <v>17325</v>
      </c>
      <c r="I1384" s="1">
        <v>0</v>
      </c>
      <c r="J1384" s="1">
        <v>3</v>
      </c>
      <c r="K1384" s="1">
        <v>0</v>
      </c>
    </row>
    <row r="1385" spans="1:11" x14ac:dyDescent="0.2">
      <c r="A1385" s="1" t="s">
        <v>1306</v>
      </c>
      <c r="B1385" s="1" t="s">
        <v>1308</v>
      </c>
      <c r="C1385" s="1" t="str">
        <f>"VC011"</f>
        <v>VC011</v>
      </c>
      <c r="D1385" s="1" t="str">
        <f>"VC011"</f>
        <v>VC011</v>
      </c>
      <c r="E1385" s="1" t="s">
        <v>17</v>
      </c>
      <c r="F1385" s="1">
        <v>2</v>
      </c>
      <c r="G1385" s="1">
        <v>3141</v>
      </c>
      <c r="H1385" s="1">
        <v>6282</v>
      </c>
      <c r="I1385" s="1">
        <v>0</v>
      </c>
      <c r="J1385" s="1">
        <v>2</v>
      </c>
      <c r="K1385" s="1">
        <v>0</v>
      </c>
    </row>
    <row r="1386" spans="1:11" x14ac:dyDescent="0.2">
      <c r="A1386" s="1" t="s">
        <v>1306</v>
      </c>
      <c r="B1386" s="1" t="s">
        <v>1309</v>
      </c>
      <c r="C1386" s="1" t="str">
        <f>"VC001"</f>
        <v>VC001</v>
      </c>
      <c r="D1386" s="1" t="str">
        <f>"VC001"</f>
        <v>VC001</v>
      </c>
      <c r="E1386" s="1" t="s">
        <v>17</v>
      </c>
      <c r="F1386" s="1">
        <v>9</v>
      </c>
      <c r="G1386" s="1">
        <v>3375</v>
      </c>
      <c r="H1386" s="1">
        <v>30375</v>
      </c>
      <c r="I1386" s="1">
        <v>0</v>
      </c>
      <c r="J1386" s="1">
        <v>9</v>
      </c>
      <c r="K1386" s="1">
        <v>0</v>
      </c>
    </row>
    <row r="1387" spans="1:11" x14ac:dyDescent="0.2">
      <c r="A1387" s="1" t="s">
        <v>1306</v>
      </c>
      <c r="B1387" s="1" t="s">
        <v>1310</v>
      </c>
      <c r="C1387" s="1" t="str">
        <f>"VC007"</f>
        <v>VC007</v>
      </c>
      <c r="D1387" s="1" t="str">
        <f>"VC007"</f>
        <v>VC007</v>
      </c>
      <c r="E1387" s="1" t="s">
        <v>17</v>
      </c>
      <c r="F1387" s="1">
        <v>4</v>
      </c>
      <c r="G1387" s="1">
        <v>3708</v>
      </c>
      <c r="H1387" s="1">
        <v>14832</v>
      </c>
      <c r="I1387" s="1">
        <v>0</v>
      </c>
      <c r="J1387" s="1">
        <v>4</v>
      </c>
      <c r="K1387" s="1">
        <v>0</v>
      </c>
    </row>
    <row r="1388" spans="1:11" x14ac:dyDescent="0.2">
      <c r="A1388" s="1" t="s">
        <v>1306</v>
      </c>
      <c r="B1388" s="1" t="s">
        <v>1311</v>
      </c>
      <c r="C1388" s="1" t="str">
        <f>"66298839735530"</f>
        <v>66298839735530</v>
      </c>
      <c r="D1388" s="1" t="str">
        <f>"83180"</f>
        <v>83180</v>
      </c>
      <c r="E1388" s="1" t="s">
        <v>17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</row>
    <row r="1389" spans="1:11" x14ac:dyDescent="0.2">
      <c r="A1389" s="1" t="s">
        <v>1306</v>
      </c>
      <c r="B1389" s="1" t="s">
        <v>1312</v>
      </c>
      <c r="C1389" s="1" t="str">
        <f>"CHA-UNIV"</f>
        <v>CHA-UNIV</v>
      </c>
      <c r="D1389" s="1" t="str">
        <f>"CHA-UNIV"</f>
        <v>CHA-UNIV</v>
      </c>
      <c r="E1389" s="1" t="s">
        <v>17</v>
      </c>
      <c r="F1389" s="1">
        <v>12</v>
      </c>
      <c r="G1389" s="1">
        <v>1556.71</v>
      </c>
      <c r="H1389" s="1">
        <v>18681</v>
      </c>
      <c r="I1389" s="1">
        <v>0</v>
      </c>
      <c r="J1389" s="1">
        <v>12</v>
      </c>
      <c r="K1389" s="1">
        <v>0</v>
      </c>
    </row>
    <row r="1390" spans="1:11" x14ac:dyDescent="0.2">
      <c r="A1390" s="1" t="s">
        <v>1306</v>
      </c>
      <c r="B1390" s="1" t="s">
        <v>1313</v>
      </c>
      <c r="C1390" s="1" t="str">
        <f>"2518"</f>
        <v>2518</v>
      </c>
      <c r="D1390" s="1" t="str">
        <f>"2518"</f>
        <v>2518</v>
      </c>
      <c r="E1390" s="1" t="s">
        <v>17</v>
      </c>
      <c r="F1390" s="1">
        <v>17</v>
      </c>
      <c r="G1390" s="1">
        <v>1840.26</v>
      </c>
      <c r="H1390" s="1">
        <v>31284</v>
      </c>
      <c r="I1390" s="1">
        <v>0</v>
      </c>
      <c r="J1390" s="1">
        <v>17</v>
      </c>
      <c r="K1390" s="1">
        <v>0</v>
      </c>
    </row>
    <row r="1391" spans="1:11" x14ac:dyDescent="0.2">
      <c r="A1391" s="1" t="s">
        <v>1306</v>
      </c>
      <c r="B1391" s="1" t="s">
        <v>1314</v>
      </c>
      <c r="C1391" s="1" t="str">
        <f>"66298839778166"</f>
        <v>66298839778166</v>
      </c>
      <c r="D1391" s="1" t="str">
        <f>"400071"</f>
        <v>400071</v>
      </c>
      <c r="E1391" s="1" t="s">
        <v>17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</row>
    <row r="1392" spans="1:11" x14ac:dyDescent="0.2">
      <c r="A1392" s="1" t="s">
        <v>1306</v>
      </c>
      <c r="B1392" s="1" t="s">
        <v>1315</v>
      </c>
      <c r="C1392" s="1" t="str">
        <f>"66298839822072"</f>
        <v>66298839822072</v>
      </c>
      <c r="D1392" s="1" t="str">
        <f>"400144"</f>
        <v>400144</v>
      </c>
      <c r="E1392" s="1" t="s">
        <v>17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</row>
    <row r="1393" spans="1:11" x14ac:dyDescent="0.2">
      <c r="A1393" s="1" t="s">
        <v>1306</v>
      </c>
      <c r="B1393" s="1" t="s">
        <v>1316</v>
      </c>
      <c r="C1393" s="1" t="str">
        <f>"66298839862328"</f>
        <v>66298839862328</v>
      </c>
      <c r="D1393" s="1" t="str">
        <f>"AP-2010-29HB"</f>
        <v>AP-2010-29HB</v>
      </c>
      <c r="E1393" s="1" t="s">
        <v>17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</row>
    <row r="1394" spans="1:11" x14ac:dyDescent="0.2">
      <c r="A1394" s="1" t="s">
        <v>1306</v>
      </c>
      <c r="B1394" s="1" t="s">
        <v>1317</v>
      </c>
      <c r="C1394" s="1" t="str">
        <f>"1052-S"</f>
        <v>1052-S</v>
      </c>
      <c r="D1394" s="1" t="str">
        <f>"1052-S"</f>
        <v>1052-S</v>
      </c>
      <c r="E1394" s="1" t="s">
        <v>17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</row>
    <row r="1395" spans="1:11" x14ac:dyDescent="0.2">
      <c r="A1395" s="1" t="s">
        <v>1306</v>
      </c>
      <c r="B1395" s="1" t="s">
        <v>1318</v>
      </c>
      <c r="C1395" s="1" t="str">
        <f>"66298839903308"</f>
        <v>66298839903308</v>
      </c>
      <c r="D1395" s="1" t="str">
        <f>"80367"</f>
        <v>80367</v>
      </c>
      <c r="E1395" s="1" t="s">
        <v>17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</row>
    <row r="1396" spans="1:11" x14ac:dyDescent="0.2">
      <c r="A1396" s="1" t="s">
        <v>1306</v>
      </c>
      <c r="B1396" s="1" t="s">
        <v>1318</v>
      </c>
      <c r="C1396" s="1" t="str">
        <f>"VC006"</f>
        <v>VC006</v>
      </c>
      <c r="D1396" s="1" t="str">
        <f>"VC006"</f>
        <v>VC006</v>
      </c>
      <c r="E1396" s="1" t="s">
        <v>17</v>
      </c>
      <c r="F1396" s="1">
        <v>8</v>
      </c>
      <c r="G1396" s="1">
        <v>3708.38</v>
      </c>
      <c r="H1396" s="1">
        <v>29667</v>
      </c>
      <c r="I1396" s="1">
        <v>0</v>
      </c>
      <c r="J1396" s="1">
        <v>8</v>
      </c>
      <c r="K1396" s="1">
        <v>0</v>
      </c>
    </row>
    <row r="1397" spans="1:11" x14ac:dyDescent="0.2">
      <c r="A1397" s="1" t="s">
        <v>1218</v>
      </c>
      <c r="B1397" s="1" t="s">
        <v>1319</v>
      </c>
      <c r="C1397" s="1" t="str">
        <f>"49CC27"</f>
        <v>49CC27</v>
      </c>
      <c r="D1397" s="1" t="str">
        <f>"49CC27"</f>
        <v>49CC27</v>
      </c>
      <c r="E1397" s="1" t="s">
        <v>17</v>
      </c>
      <c r="F1397" s="1">
        <v>3</v>
      </c>
      <c r="G1397" s="1">
        <v>4986</v>
      </c>
      <c r="H1397" s="1">
        <v>14958</v>
      </c>
      <c r="I1397" s="1">
        <v>0</v>
      </c>
      <c r="J1397" s="1">
        <v>3</v>
      </c>
      <c r="K1397" s="1">
        <v>0</v>
      </c>
    </row>
    <row r="1398" spans="1:11" x14ac:dyDescent="0.2">
      <c r="A1398" s="1" t="s">
        <v>1218</v>
      </c>
      <c r="B1398" s="1" t="s">
        <v>1320</v>
      </c>
      <c r="C1398" s="1" t="str">
        <f>"66298839985467"</f>
        <v>66298839985467</v>
      </c>
      <c r="D1398" s="1" t="str">
        <f>"11717"</f>
        <v>11717</v>
      </c>
      <c r="E1398" s="1" t="s">
        <v>17</v>
      </c>
      <c r="F1398" s="1">
        <v>1</v>
      </c>
      <c r="G1398" s="1">
        <v>5823</v>
      </c>
      <c r="H1398" s="1">
        <v>5823</v>
      </c>
      <c r="I1398" s="1">
        <v>0</v>
      </c>
      <c r="J1398" s="1">
        <v>1</v>
      </c>
      <c r="K1398" s="1">
        <v>0</v>
      </c>
    </row>
    <row r="1399" spans="1:11" x14ac:dyDescent="0.2">
      <c r="A1399" s="1" t="s">
        <v>1218</v>
      </c>
      <c r="B1399" s="1" t="s">
        <v>1321</v>
      </c>
      <c r="C1399" s="1" t="str">
        <f>"AC007"</f>
        <v>AC007</v>
      </c>
      <c r="D1399" s="1" t="str">
        <f>"AC007"</f>
        <v>AC007</v>
      </c>
      <c r="E1399" s="1" t="s">
        <v>17</v>
      </c>
      <c r="F1399" s="1">
        <v>1</v>
      </c>
      <c r="G1399" s="1">
        <v>13586.36</v>
      </c>
      <c r="H1399" s="1">
        <v>13586</v>
      </c>
      <c r="I1399" s="1">
        <v>0</v>
      </c>
      <c r="J1399" s="1">
        <v>1</v>
      </c>
      <c r="K1399" s="1">
        <v>0</v>
      </c>
    </row>
    <row r="1400" spans="1:11" x14ac:dyDescent="0.2">
      <c r="A1400" s="1" t="s">
        <v>1218</v>
      </c>
      <c r="B1400" s="1" t="s">
        <v>1322</v>
      </c>
      <c r="C1400" s="1" t="str">
        <f>"AC004"</f>
        <v>AC004</v>
      </c>
      <c r="D1400" s="1" t="str">
        <f>"AC004"</f>
        <v>AC004</v>
      </c>
      <c r="E1400" s="1" t="s">
        <v>17</v>
      </c>
      <c r="F1400" s="1">
        <v>2</v>
      </c>
      <c r="G1400" s="1">
        <v>9147.57</v>
      </c>
      <c r="H1400" s="1">
        <v>18295</v>
      </c>
      <c r="I1400" s="1">
        <v>0</v>
      </c>
      <c r="J1400" s="1">
        <v>2</v>
      </c>
      <c r="K1400" s="1">
        <v>0</v>
      </c>
    </row>
    <row r="1401" spans="1:11" x14ac:dyDescent="0.2">
      <c r="A1401" s="1" t="s">
        <v>1218</v>
      </c>
      <c r="B1401" s="1" t="s">
        <v>1323</v>
      </c>
      <c r="C1401" s="1" t="str">
        <f>"66298840028405"</f>
        <v>66298840028405</v>
      </c>
      <c r="D1401" s="1" t="str">
        <f>"M109"</f>
        <v>M109</v>
      </c>
      <c r="E1401" s="1" t="s">
        <v>17</v>
      </c>
      <c r="F1401" s="1">
        <v>1</v>
      </c>
      <c r="G1401" s="1">
        <v>1690</v>
      </c>
      <c r="H1401" s="1">
        <v>1690</v>
      </c>
      <c r="I1401" s="1">
        <v>0</v>
      </c>
      <c r="J1401" s="1">
        <v>1</v>
      </c>
      <c r="K1401" s="1">
        <v>0</v>
      </c>
    </row>
    <row r="1402" spans="1:11" x14ac:dyDescent="0.2">
      <c r="A1402" s="1" t="s">
        <v>1218</v>
      </c>
      <c r="B1402" s="1" t="s">
        <v>1324</v>
      </c>
      <c r="C1402" s="1" t="str">
        <f>"AC011"</f>
        <v>AC011</v>
      </c>
      <c r="D1402" s="1" t="str">
        <f>"AC011"</f>
        <v>AC011</v>
      </c>
      <c r="E1402" s="1" t="s">
        <v>17</v>
      </c>
      <c r="F1402" s="1">
        <v>2</v>
      </c>
      <c r="G1402" s="1">
        <v>8585.9699999999993</v>
      </c>
      <c r="H1402" s="1">
        <v>17172</v>
      </c>
      <c r="I1402" s="1">
        <v>0</v>
      </c>
      <c r="J1402" s="1">
        <v>2</v>
      </c>
      <c r="K1402" s="1">
        <v>0</v>
      </c>
    </row>
    <row r="1403" spans="1:11" x14ac:dyDescent="0.2">
      <c r="A1403" s="1" t="s">
        <v>1218</v>
      </c>
      <c r="B1403" s="1" t="s">
        <v>1325</v>
      </c>
      <c r="C1403" s="1" t="str">
        <f>"AB020"</f>
        <v>AB020</v>
      </c>
      <c r="D1403" s="1" t="str">
        <f>"AB020"</f>
        <v>AB020</v>
      </c>
      <c r="E1403" s="1" t="s">
        <v>17</v>
      </c>
      <c r="F1403" s="1">
        <v>2</v>
      </c>
      <c r="G1403" s="1">
        <v>11318.44</v>
      </c>
      <c r="H1403" s="1">
        <v>22637</v>
      </c>
      <c r="I1403" s="1">
        <v>0</v>
      </c>
      <c r="J1403" s="1">
        <v>2</v>
      </c>
      <c r="K1403" s="1">
        <v>0</v>
      </c>
    </row>
    <row r="1404" spans="1:11" x14ac:dyDescent="0.2">
      <c r="A1404" s="1" t="s">
        <v>1218</v>
      </c>
      <c r="B1404" s="1" t="s">
        <v>1326</v>
      </c>
      <c r="C1404" s="1" t="str">
        <f>"66298840067193"</f>
        <v>66298840067193</v>
      </c>
      <c r="D1404" s="1" t="str">
        <f>"37000-34860"</f>
        <v>37000-34860</v>
      </c>
      <c r="E1404" s="1" t="s">
        <v>17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</row>
    <row r="1405" spans="1:11" x14ac:dyDescent="0.2">
      <c r="A1405" s="1" t="s">
        <v>1218</v>
      </c>
      <c r="B1405" s="1" t="s">
        <v>1327</v>
      </c>
      <c r="C1405" s="1" t="str">
        <f>"66298840105724"</f>
        <v>66298840105724</v>
      </c>
      <c r="D1405" s="1" t="str">
        <f>"AC003"</f>
        <v>AC003</v>
      </c>
      <c r="E1405" s="1" t="s">
        <v>17</v>
      </c>
      <c r="F1405" s="1">
        <v>1</v>
      </c>
      <c r="G1405" s="1">
        <v>8324</v>
      </c>
      <c r="H1405" s="1">
        <v>8324</v>
      </c>
      <c r="I1405" s="1">
        <v>0</v>
      </c>
      <c r="J1405" s="1">
        <v>1</v>
      </c>
      <c r="K1405" s="1">
        <v>0</v>
      </c>
    </row>
    <row r="1406" spans="1:11" x14ac:dyDescent="0.2">
      <c r="A1406" s="1" t="s">
        <v>1218</v>
      </c>
      <c r="B1406" s="1" t="s">
        <v>1328</v>
      </c>
      <c r="C1406" s="1" t="str">
        <f>"66298840144771"</f>
        <v>66298840144771</v>
      </c>
      <c r="D1406" s="1" t="str">
        <f>"37011H2F00BH000"</f>
        <v>37011H2F00BH000</v>
      </c>
      <c r="E1406" s="1" t="s">
        <v>17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 x14ac:dyDescent="0.2">
      <c r="A1407" s="1" t="s">
        <v>1218</v>
      </c>
      <c r="B1407" s="1" t="s">
        <v>1329</v>
      </c>
      <c r="C1407" s="1" t="str">
        <f>"KT-2152KZ"</f>
        <v>KT-2152KZ</v>
      </c>
      <c r="D1407" s="1" t="str">
        <f>"KT-2152KZ"</f>
        <v>KT-2152KZ</v>
      </c>
      <c r="E1407" s="1" t="s">
        <v>17</v>
      </c>
      <c r="F1407" s="1">
        <v>1</v>
      </c>
      <c r="G1407" s="1">
        <v>13235.29</v>
      </c>
      <c r="H1407" s="1">
        <v>13235</v>
      </c>
      <c r="I1407" s="1">
        <v>0</v>
      </c>
      <c r="J1407" s="1">
        <v>1</v>
      </c>
      <c r="K1407" s="1">
        <v>0</v>
      </c>
    </row>
    <row r="1408" spans="1:11" x14ac:dyDescent="0.2">
      <c r="A1408" s="1" t="s">
        <v>1218</v>
      </c>
      <c r="B1408" s="1" t="s">
        <v>1330</v>
      </c>
      <c r="C1408" s="1" t="str">
        <f>"AC009"</f>
        <v>AC009</v>
      </c>
      <c r="D1408" s="1" t="str">
        <f>"AC009"</f>
        <v>AC009</v>
      </c>
      <c r="E1408" s="1" t="s">
        <v>17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</row>
    <row r="1409" spans="1:11" x14ac:dyDescent="0.2">
      <c r="A1409" s="1" t="s">
        <v>1218</v>
      </c>
      <c r="B1409" s="1" t="s">
        <v>1331</v>
      </c>
      <c r="C1409" s="1" t="str">
        <f>"66298840222925"</f>
        <v>66298840222925</v>
      </c>
      <c r="D1409" s="1" t="str">
        <f>"84595"</f>
        <v>84595</v>
      </c>
      <c r="E1409" s="1" t="s">
        <v>17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</row>
    <row r="1410" spans="1:11" x14ac:dyDescent="0.2">
      <c r="A1410" s="1" t="s">
        <v>1218</v>
      </c>
      <c r="B1410" s="1" t="s">
        <v>1332</v>
      </c>
      <c r="C1410" s="1" t="str">
        <f>"66298840183132"</f>
        <v>66298840183132</v>
      </c>
      <c r="D1410" s="1" t="str">
        <f>"AC005"</f>
        <v>AC005</v>
      </c>
      <c r="E1410" s="1" t="s">
        <v>17</v>
      </c>
      <c r="F1410" s="1">
        <v>3</v>
      </c>
      <c r="G1410" s="1">
        <v>10444</v>
      </c>
      <c r="H1410" s="1">
        <v>31332</v>
      </c>
      <c r="I1410" s="1">
        <v>0</v>
      </c>
      <c r="J1410" s="1">
        <v>3</v>
      </c>
      <c r="K1410" s="1">
        <v>0</v>
      </c>
    </row>
    <row r="1411" spans="1:11" x14ac:dyDescent="0.2">
      <c r="A1411" s="1" t="s">
        <v>1333</v>
      </c>
      <c r="B1411" s="1" t="s">
        <v>1334</v>
      </c>
      <c r="C1411" s="1" t="str">
        <f>"AC002"</f>
        <v>AC002</v>
      </c>
      <c r="D1411" s="1" t="str">
        <f>"AC002"</f>
        <v>AC002</v>
      </c>
      <c r="E1411" s="1" t="s">
        <v>17</v>
      </c>
      <c r="F1411" s="1">
        <v>2</v>
      </c>
      <c r="G1411" s="1">
        <v>10764</v>
      </c>
      <c r="H1411" s="1">
        <v>21528</v>
      </c>
      <c r="I1411" s="1">
        <v>0</v>
      </c>
      <c r="J1411" s="1">
        <v>2</v>
      </c>
      <c r="K1411" s="1">
        <v>0</v>
      </c>
    </row>
    <row r="1412" spans="1:11" x14ac:dyDescent="0.2">
      <c r="A1412" s="1" t="s">
        <v>1218</v>
      </c>
      <c r="B1412" s="1" t="s">
        <v>1335</v>
      </c>
      <c r="C1412" s="1" t="str">
        <f>"11183"</f>
        <v>11183</v>
      </c>
      <c r="D1412" s="1" t="str">
        <f>"11183"</f>
        <v>11183</v>
      </c>
      <c r="E1412" s="1" t="s">
        <v>17</v>
      </c>
      <c r="F1412" s="1">
        <v>3</v>
      </c>
      <c r="G1412" s="1">
        <v>20117.650000000001</v>
      </c>
      <c r="H1412" s="1">
        <v>60353</v>
      </c>
      <c r="I1412" s="1">
        <v>0</v>
      </c>
      <c r="J1412" s="1">
        <v>3</v>
      </c>
      <c r="K1412" s="1">
        <v>0</v>
      </c>
    </row>
    <row r="1413" spans="1:11" x14ac:dyDescent="0.2">
      <c r="A1413" s="1" t="s">
        <v>1218</v>
      </c>
      <c r="B1413" s="1" t="s">
        <v>1336</v>
      </c>
      <c r="C1413" s="1" t="str">
        <f>"AC010"</f>
        <v>AC010</v>
      </c>
      <c r="D1413" s="1" t="str">
        <f>"AC010"</f>
        <v>AC010</v>
      </c>
      <c r="E1413" s="1" t="s">
        <v>17</v>
      </c>
      <c r="F1413" s="1">
        <v>3</v>
      </c>
      <c r="G1413" s="1">
        <v>8801.9699999999993</v>
      </c>
      <c r="H1413" s="1">
        <v>26406</v>
      </c>
      <c r="I1413" s="1">
        <v>0</v>
      </c>
      <c r="J1413" s="1">
        <v>3</v>
      </c>
      <c r="K1413" s="1">
        <v>0</v>
      </c>
    </row>
    <row r="1414" spans="1:11" x14ac:dyDescent="0.2">
      <c r="A1414" s="1" t="s">
        <v>1337</v>
      </c>
      <c r="B1414" s="1" t="s">
        <v>1338</v>
      </c>
      <c r="C1414" s="1" t="str">
        <f>"66298840263719"</f>
        <v>66298840263719</v>
      </c>
      <c r="D1414" s="1" t="str">
        <f>"B096"</f>
        <v>B096</v>
      </c>
      <c r="E1414" s="1" t="s">
        <v>17</v>
      </c>
      <c r="F1414" s="1">
        <v>17</v>
      </c>
      <c r="G1414" s="1">
        <v>130</v>
      </c>
      <c r="H1414" s="1">
        <v>2210</v>
      </c>
      <c r="I1414" s="1">
        <v>0</v>
      </c>
      <c r="J1414" s="1">
        <v>17</v>
      </c>
      <c r="K1414" s="1">
        <v>0</v>
      </c>
    </row>
    <row r="1415" spans="1:11" x14ac:dyDescent="0.2">
      <c r="A1415" s="1" t="s">
        <v>98</v>
      </c>
      <c r="B1415" s="1" t="s">
        <v>1339</v>
      </c>
      <c r="C1415" s="1" t="str">
        <f>"66298840314866"</f>
        <v>66298840314866</v>
      </c>
      <c r="D1415" s="1" t="str">
        <f>"H221"</f>
        <v>H221</v>
      </c>
      <c r="E1415" s="1" t="s">
        <v>17</v>
      </c>
      <c r="F1415" s="1">
        <v>1</v>
      </c>
      <c r="G1415" s="1">
        <v>4585</v>
      </c>
      <c r="H1415" s="1">
        <v>4585</v>
      </c>
      <c r="I1415" s="1">
        <v>0</v>
      </c>
      <c r="J1415" s="1">
        <v>1</v>
      </c>
      <c r="K1415" s="1">
        <v>0</v>
      </c>
    </row>
    <row r="1416" spans="1:11" x14ac:dyDescent="0.2">
      <c r="A1416" s="1" t="s">
        <v>1337</v>
      </c>
      <c r="B1416" s="1" t="s">
        <v>1340</v>
      </c>
      <c r="C1416" s="1" t="str">
        <f>"DG009"</f>
        <v>DG009</v>
      </c>
      <c r="D1416" s="1" t="str">
        <f>"DG009"</f>
        <v>DG009</v>
      </c>
      <c r="E1416" s="1" t="s">
        <v>17</v>
      </c>
      <c r="F1416" s="1">
        <v>1</v>
      </c>
      <c r="G1416" s="1">
        <v>23822.99</v>
      </c>
      <c r="H1416" s="1">
        <v>23823</v>
      </c>
      <c r="I1416" s="1">
        <v>0</v>
      </c>
      <c r="J1416" s="1">
        <v>1</v>
      </c>
      <c r="K1416" s="1">
        <v>0</v>
      </c>
    </row>
    <row r="1417" spans="1:11" x14ac:dyDescent="0.2">
      <c r="A1417" s="1" t="s">
        <v>1337</v>
      </c>
      <c r="B1417" s="1" t="s">
        <v>1341</v>
      </c>
      <c r="C1417" s="1" t="str">
        <f>"66298840352827"</f>
        <v>66298840352827</v>
      </c>
      <c r="D1417" s="1" t="str">
        <f>"DG007"</f>
        <v>DG007</v>
      </c>
      <c r="E1417" s="1" t="s">
        <v>17</v>
      </c>
      <c r="F1417" s="1">
        <v>4</v>
      </c>
      <c r="G1417" s="1">
        <v>25575</v>
      </c>
      <c r="H1417" s="1">
        <v>102300</v>
      </c>
      <c r="I1417" s="1">
        <v>0</v>
      </c>
      <c r="J1417" s="1">
        <v>4</v>
      </c>
      <c r="K1417" s="1">
        <v>0</v>
      </c>
    </row>
    <row r="1418" spans="1:11" x14ac:dyDescent="0.2">
      <c r="A1418" s="1" t="s">
        <v>1337</v>
      </c>
      <c r="B1418" s="1" t="s">
        <v>1342</v>
      </c>
      <c r="C1418" s="1" t="str">
        <f>"66298840391916"</f>
        <v>66298840391916</v>
      </c>
      <c r="D1418" s="1" t="str">
        <f>"83976"</f>
        <v>83976</v>
      </c>
      <c r="E1418" s="1" t="s">
        <v>17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</row>
    <row r="1419" spans="1:11" x14ac:dyDescent="0.2">
      <c r="A1419" s="1" t="s">
        <v>1337</v>
      </c>
      <c r="B1419" s="1" t="s">
        <v>1343</v>
      </c>
      <c r="C1419" s="1" t="str">
        <f>"DG011"</f>
        <v>DG011</v>
      </c>
      <c r="D1419" s="1" t="str">
        <f>"DG011"</f>
        <v>DG011</v>
      </c>
      <c r="E1419" s="1" t="s">
        <v>17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</row>
    <row r="1420" spans="1:11" x14ac:dyDescent="0.2">
      <c r="A1420" s="1" t="s">
        <v>1337</v>
      </c>
      <c r="B1420" s="1" t="s">
        <v>1344</v>
      </c>
      <c r="C1420" s="1" t="str">
        <f>"DG013"</f>
        <v>DG013</v>
      </c>
      <c r="D1420" s="1" t="str">
        <f>"DG013"</f>
        <v>DG013</v>
      </c>
      <c r="E1420" s="1" t="s">
        <v>17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</row>
    <row r="1421" spans="1:11" x14ac:dyDescent="0.2">
      <c r="A1421" s="1" t="s">
        <v>1337</v>
      </c>
      <c r="B1421" s="1" t="s">
        <v>1345</v>
      </c>
      <c r="C1421" s="1" t="str">
        <f>"66298840432572"</f>
        <v>66298840432572</v>
      </c>
      <c r="D1421" s="1" t="str">
        <f>"DG003"</f>
        <v>DG003</v>
      </c>
      <c r="E1421" s="1" t="s">
        <v>17</v>
      </c>
      <c r="F1421" s="1">
        <v>1</v>
      </c>
      <c r="G1421" s="1">
        <v>11123</v>
      </c>
      <c r="H1421" s="1">
        <v>11123</v>
      </c>
      <c r="I1421" s="1">
        <v>0</v>
      </c>
      <c r="J1421" s="1">
        <v>1</v>
      </c>
      <c r="K1421" s="1">
        <v>0</v>
      </c>
    </row>
    <row r="1422" spans="1:11" x14ac:dyDescent="0.2">
      <c r="A1422" s="1" t="s">
        <v>1337</v>
      </c>
      <c r="B1422" s="1" t="s">
        <v>1346</v>
      </c>
      <c r="C1422" s="1" t="str">
        <f>"DG008"</f>
        <v>DG008</v>
      </c>
      <c r="D1422" s="1" t="str">
        <f>"DG008"</f>
        <v>DG008</v>
      </c>
      <c r="E1422" s="1" t="s">
        <v>17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</row>
    <row r="1423" spans="1:11" x14ac:dyDescent="0.2">
      <c r="A1423" s="1" t="s">
        <v>1337</v>
      </c>
      <c r="B1423" s="1" t="s">
        <v>1347</v>
      </c>
      <c r="C1423" s="1" t="str">
        <f>"DG006"</f>
        <v>DG006</v>
      </c>
      <c r="D1423" s="1" t="str">
        <f>"DG006"</f>
        <v>DG006</v>
      </c>
      <c r="E1423" s="1" t="s">
        <v>17</v>
      </c>
      <c r="F1423" s="1">
        <v>1</v>
      </c>
      <c r="G1423" s="1">
        <v>19465</v>
      </c>
      <c r="H1423" s="1">
        <v>19465</v>
      </c>
      <c r="I1423" s="1">
        <v>0</v>
      </c>
      <c r="J1423" s="1">
        <v>1</v>
      </c>
      <c r="K1423" s="1">
        <v>0</v>
      </c>
    </row>
    <row r="1424" spans="1:11" x14ac:dyDescent="0.2">
      <c r="A1424" s="1" t="s">
        <v>1348</v>
      </c>
      <c r="B1424" s="1" t="s">
        <v>1349</v>
      </c>
      <c r="C1424" s="1" t="str">
        <f>"66298840481598"</f>
        <v>66298840481598</v>
      </c>
      <c r="D1424" s="1" t="str">
        <f>"80267"</f>
        <v>80267</v>
      </c>
      <c r="E1424" s="1" t="s">
        <v>17</v>
      </c>
      <c r="F1424" s="1">
        <v>1</v>
      </c>
      <c r="G1424" s="1">
        <v>8622</v>
      </c>
      <c r="H1424" s="1">
        <v>8622</v>
      </c>
      <c r="I1424" s="1">
        <v>0</v>
      </c>
      <c r="J1424" s="1">
        <v>1</v>
      </c>
      <c r="K1424" s="1">
        <v>0</v>
      </c>
    </row>
    <row r="1425" spans="1:11" x14ac:dyDescent="0.2">
      <c r="A1425" s="1" t="s">
        <v>1348</v>
      </c>
      <c r="B1425" s="1" t="s">
        <v>1350</v>
      </c>
      <c r="C1425" s="1" t="str">
        <f>"66298840520747"</f>
        <v>66298840520747</v>
      </c>
      <c r="D1425" s="1" t="str">
        <f>"80271"</f>
        <v>80271</v>
      </c>
      <c r="E1425" s="1" t="s">
        <v>17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</row>
    <row r="1426" spans="1:11" x14ac:dyDescent="0.2">
      <c r="A1426" s="1" t="s">
        <v>1351</v>
      </c>
      <c r="B1426" s="1" t="s">
        <v>1352</v>
      </c>
      <c r="C1426" s="1" t="str">
        <f>"66298840563231"</f>
        <v>66298840563231</v>
      </c>
      <c r="D1426" s="1" t="str">
        <f>"TB004-AMARILLO"</f>
        <v>TB004-AMARILLO</v>
      </c>
      <c r="E1426" s="1" t="s">
        <v>17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</row>
    <row r="1427" spans="1:11" x14ac:dyDescent="0.2">
      <c r="A1427" s="1" t="s">
        <v>1351</v>
      </c>
      <c r="B1427" s="1" t="s">
        <v>1353</v>
      </c>
      <c r="C1427" s="1" t="str">
        <f>"66298840602495"</f>
        <v>66298840602495</v>
      </c>
      <c r="D1427" s="1" t="str">
        <f>"TB004-AZUL"</f>
        <v>TB004-AZUL</v>
      </c>
      <c r="E1427" s="1" t="s">
        <v>17</v>
      </c>
      <c r="F1427" s="1">
        <v>3</v>
      </c>
      <c r="G1427" s="1">
        <v>3832</v>
      </c>
      <c r="H1427" s="1">
        <v>11496</v>
      </c>
      <c r="I1427" s="1">
        <v>0</v>
      </c>
      <c r="J1427" s="1">
        <v>3</v>
      </c>
      <c r="K1427" s="1">
        <v>0</v>
      </c>
    </row>
    <row r="1428" spans="1:11" x14ac:dyDescent="0.2">
      <c r="A1428" s="1" t="s">
        <v>1351</v>
      </c>
      <c r="B1428" s="1" t="s">
        <v>1354</v>
      </c>
      <c r="C1428" s="1" t="str">
        <f>"66298840641803"</f>
        <v>66298840641803</v>
      </c>
      <c r="D1428" s="1" t="str">
        <f>"TB001-A-BEIGE"</f>
        <v>TB001-A-BEIGE</v>
      </c>
      <c r="E1428" s="1" t="s">
        <v>17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</row>
    <row r="1429" spans="1:11" x14ac:dyDescent="0.2">
      <c r="A1429" s="1" t="s">
        <v>1351</v>
      </c>
      <c r="B1429" s="1" t="s">
        <v>1355</v>
      </c>
      <c r="C1429" s="1" t="str">
        <f>"66298840681107"</f>
        <v>66298840681107</v>
      </c>
      <c r="D1429" s="1" t="str">
        <f>"TB004-BLANCO"</f>
        <v>TB004-BLANCO</v>
      </c>
      <c r="E1429" s="1" t="s">
        <v>17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</row>
    <row r="1430" spans="1:11" x14ac:dyDescent="0.2">
      <c r="A1430" s="1" t="s">
        <v>1351</v>
      </c>
      <c r="B1430" s="1" t="s">
        <v>1356</v>
      </c>
      <c r="C1430" s="1" t="str">
        <f>"66298840723726"</f>
        <v>66298840723726</v>
      </c>
      <c r="D1430" s="1" t="str">
        <f>"TB004-ROJO"</f>
        <v>TB004-ROJO</v>
      </c>
      <c r="E1430" s="1" t="s">
        <v>17</v>
      </c>
      <c r="F1430" s="1">
        <v>4</v>
      </c>
      <c r="G1430" s="1">
        <v>3832</v>
      </c>
      <c r="H1430" s="1">
        <v>15328</v>
      </c>
      <c r="I1430" s="1">
        <v>0</v>
      </c>
      <c r="J1430" s="1">
        <v>4</v>
      </c>
      <c r="K1430" s="1">
        <v>0</v>
      </c>
    </row>
    <row r="1431" spans="1:11" x14ac:dyDescent="0.2">
      <c r="A1431" s="1" t="s">
        <v>18</v>
      </c>
      <c r="B1431" s="1" t="s">
        <v>1357</v>
      </c>
      <c r="C1431" s="1" t="str">
        <f>"TB004"</f>
        <v>TB004</v>
      </c>
      <c r="D1431" s="1" t="str">
        <f>"TB004"</f>
        <v>TB004</v>
      </c>
      <c r="E1431" s="1" t="s">
        <v>17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</row>
    <row r="1432" spans="1:11" x14ac:dyDescent="0.2">
      <c r="A1432" s="1" t="s">
        <v>1351</v>
      </c>
      <c r="B1432" s="1" t="s">
        <v>1358</v>
      </c>
      <c r="C1432" s="1" t="str">
        <f>"66298840763610"</f>
        <v>66298840763610</v>
      </c>
      <c r="D1432" s="1" t="str">
        <f>"18233-437-000BR"</f>
        <v>18233-437-000BR</v>
      </c>
      <c r="E1432" s="1" t="s">
        <v>17</v>
      </c>
      <c r="F1432" s="1">
        <v>2</v>
      </c>
      <c r="G1432" s="1">
        <v>941</v>
      </c>
      <c r="H1432" s="1">
        <v>1882</v>
      </c>
      <c r="I1432" s="1">
        <v>0</v>
      </c>
      <c r="J1432" s="1">
        <v>2</v>
      </c>
      <c r="K1432" s="1">
        <v>0</v>
      </c>
    </row>
    <row r="1433" spans="1:11" x14ac:dyDescent="0.2">
      <c r="A1433" s="1" t="s">
        <v>1359</v>
      </c>
      <c r="B1433" s="1" t="s">
        <v>1360</v>
      </c>
      <c r="C1433" s="1" t="str">
        <f>"66298840804671"</f>
        <v>66298840804671</v>
      </c>
      <c r="D1433" s="1" t="str">
        <f>"BH007"</f>
        <v>BH007</v>
      </c>
      <c r="E1433" s="1" t="s">
        <v>17</v>
      </c>
      <c r="F1433" s="1">
        <v>3</v>
      </c>
      <c r="G1433" s="1">
        <v>124</v>
      </c>
      <c r="H1433" s="1">
        <v>372</v>
      </c>
      <c r="I1433" s="1">
        <v>0</v>
      </c>
      <c r="J1433" s="1">
        <v>3</v>
      </c>
      <c r="K1433" s="1">
        <v>0</v>
      </c>
    </row>
    <row r="1434" spans="1:11" x14ac:dyDescent="0.2">
      <c r="A1434" s="1" t="s">
        <v>1361</v>
      </c>
      <c r="B1434" s="1" t="s">
        <v>1362</v>
      </c>
      <c r="C1434" s="1" t="str">
        <f>"BH003"</f>
        <v>BH003</v>
      </c>
      <c r="D1434" s="1" t="str">
        <f>"BH003"</f>
        <v>BH003</v>
      </c>
      <c r="E1434" s="1" t="s">
        <v>17</v>
      </c>
      <c r="F1434" s="1">
        <v>10</v>
      </c>
      <c r="G1434" s="1">
        <v>378</v>
      </c>
      <c r="H1434" s="1">
        <v>3780</v>
      </c>
      <c r="I1434" s="1">
        <v>0</v>
      </c>
      <c r="J1434" s="1">
        <v>10</v>
      </c>
      <c r="K1434" s="1">
        <v>0</v>
      </c>
    </row>
    <row r="1435" spans="1:11" x14ac:dyDescent="0.2">
      <c r="A1435" s="1" t="s">
        <v>1359</v>
      </c>
      <c r="B1435" s="1" t="s">
        <v>1363</v>
      </c>
      <c r="C1435" s="1" t="str">
        <f>"66298840844927"</f>
        <v>66298840844927</v>
      </c>
      <c r="D1435" s="1" t="str">
        <f>"BH010"</f>
        <v>BH010</v>
      </c>
      <c r="E1435" s="1" t="s">
        <v>17</v>
      </c>
      <c r="F1435" s="1">
        <v>1</v>
      </c>
      <c r="G1435" s="1">
        <v>124</v>
      </c>
      <c r="H1435" s="1">
        <v>124</v>
      </c>
      <c r="I1435" s="1">
        <v>0</v>
      </c>
      <c r="J1435" s="1">
        <v>1</v>
      </c>
      <c r="K1435" s="1">
        <v>0</v>
      </c>
    </row>
    <row r="1436" spans="1:11" x14ac:dyDescent="0.2">
      <c r="A1436" s="1" t="s">
        <v>1359</v>
      </c>
      <c r="B1436" s="1" t="s">
        <v>1364</v>
      </c>
      <c r="C1436" s="1" t="str">
        <f>"66298840887030"</f>
        <v>66298840887030</v>
      </c>
      <c r="D1436" s="1" t="str">
        <f>"BH005"</f>
        <v>BH005</v>
      </c>
      <c r="E1436" s="1" t="s">
        <v>17</v>
      </c>
      <c r="F1436" s="1">
        <v>5</v>
      </c>
      <c r="G1436" s="1">
        <v>270</v>
      </c>
      <c r="H1436" s="1">
        <v>1350</v>
      </c>
      <c r="I1436" s="1">
        <v>0</v>
      </c>
      <c r="J1436" s="1">
        <v>5</v>
      </c>
      <c r="K1436" s="1">
        <v>0</v>
      </c>
    </row>
    <row r="1437" spans="1:11" x14ac:dyDescent="0.2">
      <c r="A1437" s="1" t="s">
        <v>1359</v>
      </c>
      <c r="B1437" s="1" t="s">
        <v>1365</v>
      </c>
      <c r="C1437" s="1" t="str">
        <f>"66298840928723"</f>
        <v>66298840928723</v>
      </c>
      <c r="D1437" s="1" t="str">
        <f>"HH030"</f>
        <v>HH030</v>
      </c>
      <c r="E1437" s="1" t="s">
        <v>17</v>
      </c>
      <c r="F1437" s="1">
        <v>14</v>
      </c>
      <c r="G1437" s="1">
        <v>3105</v>
      </c>
      <c r="H1437" s="1">
        <v>43470</v>
      </c>
      <c r="I1437" s="1">
        <v>0</v>
      </c>
      <c r="J1437" s="1">
        <v>14</v>
      </c>
      <c r="K1437" s="1">
        <v>0</v>
      </c>
    </row>
    <row r="1438" spans="1:11" x14ac:dyDescent="0.2">
      <c r="A1438" s="1" t="s">
        <v>18</v>
      </c>
      <c r="B1438" s="1" t="s">
        <v>1366</v>
      </c>
      <c r="C1438" s="1" t="str">
        <f>"2402"</f>
        <v>2402</v>
      </c>
      <c r="D1438" s="1" t="str">
        <f>"2402"</f>
        <v>2402</v>
      </c>
      <c r="E1438" s="1" t="s">
        <v>17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</row>
    <row r="1439" spans="1:11" ht="30" x14ac:dyDescent="0.2">
      <c r="A1439" s="1" t="s">
        <v>1367</v>
      </c>
      <c r="B1439" s="1" t="s">
        <v>1368</v>
      </c>
      <c r="C1439" s="1" t="str">
        <f>"66298841010613"</f>
        <v>66298841010613</v>
      </c>
      <c r="D1439" s="1" t="str">
        <f>"400034"</f>
        <v>400034</v>
      </c>
      <c r="E1439" s="1" t="s">
        <v>17</v>
      </c>
      <c r="F1439" s="1">
        <v>8</v>
      </c>
      <c r="G1439" s="1">
        <v>2266</v>
      </c>
      <c r="H1439" s="1">
        <v>18128</v>
      </c>
      <c r="I1439" s="1">
        <v>0</v>
      </c>
      <c r="J1439" s="1">
        <v>8</v>
      </c>
      <c r="K1439" s="1">
        <v>0</v>
      </c>
    </row>
    <row r="1440" spans="1:11" ht="30" x14ac:dyDescent="0.2">
      <c r="A1440" s="1" t="s">
        <v>1367</v>
      </c>
      <c r="B1440" s="1" t="s">
        <v>1369</v>
      </c>
      <c r="C1440" s="1" t="str">
        <f>"66298840971812"</f>
        <v>66298840971812</v>
      </c>
      <c r="D1440" s="1" t="str">
        <f>"ND002"</f>
        <v>ND002</v>
      </c>
      <c r="E1440" s="1" t="s">
        <v>17</v>
      </c>
      <c r="F1440" s="1">
        <v>1</v>
      </c>
      <c r="G1440" s="1">
        <v>2381</v>
      </c>
      <c r="H1440" s="1">
        <v>2381</v>
      </c>
      <c r="I1440" s="1">
        <v>0</v>
      </c>
      <c r="J1440" s="1">
        <v>1</v>
      </c>
      <c r="K1440" s="1">
        <v>0</v>
      </c>
    </row>
    <row r="1441" spans="1:11" ht="30" x14ac:dyDescent="0.2">
      <c r="A1441" s="1" t="s">
        <v>1367</v>
      </c>
      <c r="B1441" s="1" t="s">
        <v>1369</v>
      </c>
      <c r="C1441" s="1" t="str">
        <f>"743-20-30JP"</f>
        <v>743-20-30JP</v>
      </c>
      <c r="D1441" s="1" t="str">
        <f>"743-20-30JP"</f>
        <v>743-20-30JP</v>
      </c>
      <c r="E1441" s="1" t="s">
        <v>17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</row>
    <row r="1442" spans="1:11" ht="30" x14ac:dyDescent="0.2">
      <c r="A1442" s="1" t="s">
        <v>1367</v>
      </c>
      <c r="B1442" s="1" t="s">
        <v>1370</v>
      </c>
      <c r="C1442" s="1" t="str">
        <f>"66298841350918"</f>
        <v>66298841350918</v>
      </c>
      <c r="D1442" s="1" t="str">
        <f>"4VP-17641-00JP"</f>
        <v>4VP-17641-00JP</v>
      </c>
      <c r="E1442" s="1" t="s">
        <v>17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</row>
    <row r="1443" spans="1:11" ht="30" x14ac:dyDescent="0.2">
      <c r="A1443" s="1" t="s">
        <v>1367</v>
      </c>
      <c r="B1443" s="1" t="s">
        <v>1371</v>
      </c>
      <c r="C1443" s="1" t="str">
        <f>"66298841055209"</f>
        <v>66298841055209</v>
      </c>
      <c r="D1443" s="1" t="str">
        <f>"23100-KEC4-900JP"</f>
        <v>23100-KEC4-900JP</v>
      </c>
      <c r="E1443" s="1" t="s">
        <v>17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</row>
    <row r="1444" spans="1:11" ht="30" x14ac:dyDescent="0.2">
      <c r="A1444" s="1" t="s">
        <v>1367</v>
      </c>
      <c r="B1444" s="1" t="s">
        <v>1372</v>
      </c>
      <c r="C1444" s="1" t="str">
        <f>"66298841523617"</f>
        <v>66298841523617</v>
      </c>
      <c r="D1444" s="1" t="str">
        <f>"5S9-E7641-00JP"</f>
        <v>5S9-E7641-00JP</v>
      </c>
      <c r="E1444" s="1" t="s">
        <v>17</v>
      </c>
      <c r="F1444" s="1">
        <v>1</v>
      </c>
      <c r="G1444" s="1">
        <v>5305</v>
      </c>
      <c r="H1444" s="1">
        <v>5305</v>
      </c>
      <c r="I1444" s="1">
        <v>0</v>
      </c>
      <c r="J1444" s="1">
        <v>1</v>
      </c>
      <c r="K1444" s="1">
        <v>0</v>
      </c>
    </row>
    <row r="1445" spans="1:11" ht="30" x14ac:dyDescent="0.2">
      <c r="A1445" s="1" t="s">
        <v>1367</v>
      </c>
      <c r="B1445" s="1" t="s">
        <v>1373</v>
      </c>
      <c r="C1445" s="1" t="str">
        <f>"66298841272975"</f>
        <v>66298841272975</v>
      </c>
      <c r="D1445" s="1" t="str">
        <f>"5TL-E7641-01JP"</f>
        <v>5TL-E7641-01JP</v>
      </c>
      <c r="E1445" s="1" t="s">
        <v>17</v>
      </c>
      <c r="F1445" s="1">
        <v>9</v>
      </c>
      <c r="G1445" s="1">
        <v>2514</v>
      </c>
      <c r="H1445" s="1">
        <v>22626</v>
      </c>
      <c r="I1445" s="1">
        <v>0</v>
      </c>
      <c r="J1445" s="1">
        <v>9</v>
      </c>
      <c r="K1445" s="1">
        <v>0</v>
      </c>
    </row>
    <row r="1446" spans="1:11" ht="30" x14ac:dyDescent="0.2">
      <c r="A1446" s="1" t="s">
        <v>1367</v>
      </c>
      <c r="B1446" s="1" t="s">
        <v>1374</v>
      </c>
      <c r="C1446" s="1" t="str">
        <f>"66298841093672"</f>
        <v>66298841093672</v>
      </c>
      <c r="D1446" s="1" t="str">
        <f>"400035"</f>
        <v>400035</v>
      </c>
      <c r="E1446" s="1" t="s">
        <v>17</v>
      </c>
      <c r="F1446" s="1">
        <v>6</v>
      </c>
      <c r="G1446" s="1">
        <v>2227</v>
      </c>
      <c r="H1446" s="1">
        <v>13362</v>
      </c>
      <c r="I1446" s="1">
        <v>0</v>
      </c>
      <c r="J1446" s="1">
        <v>6</v>
      </c>
      <c r="K1446" s="1">
        <v>0</v>
      </c>
    </row>
    <row r="1447" spans="1:11" ht="30" x14ac:dyDescent="0.2">
      <c r="A1447" s="1" t="s">
        <v>1367</v>
      </c>
      <c r="B1447" s="1" t="s">
        <v>1375</v>
      </c>
      <c r="C1447" s="1" t="str">
        <f>"835-20-30JPNPC"</f>
        <v>835-20-30JPNPC</v>
      </c>
      <c r="D1447" s="1" t="str">
        <f>"835-20-30JPNPC"</f>
        <v>835-20-30JPNPC</v>
      </c>
      <c r="E1447" s="1" t="s">
        <v>17</v>
      </c>
      <c r="F1447" s="1">
        <v>4</v>
      </c>
      <c r="G1447" s="1">
        <v>7860</v>
      </c>
      <c r="H1447" s="1">
        <v>31440</v>
      </c>
      <c r="I1447" s="1">
        <v>0</v>
      </c>
      <c r="J1447" s="1">
        <v>4</v>
      </c>
      <c r="K1447" s="1">
        <v>0</v>
      </c>
    </row>
    <row r="1448" spans="1:11" ht="30" x14ac:dyDescent="0.2">
      <c r="A1448" s="1" t="s">
        <v>1367</v>
      </c>
      <c r="B1448" s="1" t="s">
        <v>1376</v>
      </c>
      <c r="C1448" s="1" t="str">
        <f>"66298841198249"</f>
        <v>66298841198249</v>
      </c>
      <c r="D1448" s="1" t="str">
        <f>"400036"</f>
        <v>400036</v>
      </c>
      <c r="E1448" s="1" t="s">
        <v>17</v>
      </c>
      <c r="F1448" s="1">
        <v>16</v>
      </c>
      <c r="G1448" s="1">
        <v>2989</v>
      </c>
      <c r="H1448" s="1">
        <v>47824</v>
      </c>
      <c r="I1448" s="1">
        <v>0</v>
      </c>
      <c r="J1448" s="1">
        <v>16</v>
      </c>
      <c r="K1448" s="1">
        <v>0</v>
      </c>
    </row>
    <row r="1449" spans="1:11" ht="30" x14ac:dyDescent="0.2">
      <c r="A1449" s="1" t="s">
        <v>1367</v>
      </c>
      <c r="B1449" s="1" t="s">
        <v>1377</v>
      </c>
      <c r="C1449" s="1" t="str">
        <f>"66298841137489"</f>
        <v>66298841137489</v>
      </c>
      <c r="D1449" s="1" t="str">
        <f>"842-20-30JP"</f>
        <v>842-20-30JP</v>
      </c>
      <c r="E1449" s="1" t="s">
        <v>17</v>
      </c>
      <c r="F1449" s="1">
        <v>3</v>
      </c>
      <c r="G1449" s="1">
        <v>3611</v>
      </c>
      <c r="H1449" s="1">
        <v>10833</v>
      </c>
      <c r="I1449" s="1">
        <v>0</v>
      </c>
      <c r="J1449" s="1">
        <v>3</v>
      </c>
      <c r="K1449" s="1">
        <v>0</v>
      </c>
    </row>
    <row r="1450" spans="1:11" ht="30" x14ac:dyDescent="0.2">
      <c r="A1450" s="1" t="s">
        <v>1367</v>
      </c>
      <c r="B1450" s="1" t="s">
        <v>1377</v>
      </c>
      <c r="C1450" s="1" t="str">
        <f>"66298841145150"</f>
        <v>66298841145150</v>
      </c>
      <c r="D1450" s="1" t="str">
        <f>"ND001"</f>
        <v>ND001</v>
      </c>
      <c r="E1450" s="1" t="s">
        <v>17</v>
      </c>
      <c r="F1450" s="1">
        <v>4</v>
      </c>
      <c r="G1450" s="1">
        <v>2771</v>
      </c>
      <c r="H1450" s="1">
        <v>11084</v>
      </c>
      <c r="I1450" s="1">
        <v>0</v>
      </c>
      <c r="J1450" s="1">
        <v>4</v>
      </c>
      <c r="K1450" s="1">
        <v>0</v>
      </c>
    </row>
    <row r="1451" spans="1:11" ht="30" x14ac:dyDescent="0.2">
      <c r="A1451" s="1" t="s">
        <v>1367</v>
      </c>
      <c r="B1451" s="1" t="s">
        <v>1378</v>
      </c>
      <c r="C1451" s="1" t="str">
        <f>"ND006"</f>
        <v>ND006</v>
      </c>
      <c r="D1451" s="1" t="str">
        <f>"ND006"</f>
        <v>ND006</v>
      </c>
      <c r="E1451" s="1" t="s">
        <v>17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 ht="30" x14ac:dyDescent="0.2">
      <c r="A1452" s="1" t="s">
        <v>1367</v>
      </c>
      <c r="B1452" s="1" t="s">
        <v>1379</v>
      </c>
      <c r="C1452" s="1" t="str">
        <f>"66298841234708"</f>
        <v>66298841234708</v>
      </c>
      <c r="D1452" s="1" t="str">
        <f>"400099"</f>
        <v>400099</v>
      </c>
      <c r="E1452" s="1" t="s">
        <v>17</v>
      </c>
      <c r="F1452" s="1">
        <v>13</v>
      </c>
      <c r="G1452" s="1">
        <v>2421</v>
      </c>
      <c r="H1452" s="1">
        <v>31473</v>
      </c>
      <c r="I1452" s="1">
        <v>0</v>
      </c>
      <c r="J1452" s="1">
        <v>13</v>
      </c>
      <c r="K1452" s="1">
        <v>0</v>
      </c>
    </row>
    <row r="1453" spans="1:11" ht="30" x14ac:dyDescent="0.2">
      <c r="A1453" s="1" t="s">
        <v>1367</v>
      </c>
      <c r="B1453" s="1" t="s">
        <v>1380</v>
      </c>
      <c r="C1453" s="1" t="str">
        <f>"12787"</f>
        <v>12787</v>
      </c>
      <c r="D1453" s="1" t="str">
        <f>"12787"</f>
        <v>12787</v>
      </c>
      <c r="E1453" s="1" t="s">
        <v>17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</row>
    <row r="1454" spans="1:11" ht="30" x14ac:dyDescent="0.2">
      <c r="A1454" s="1" t="s">
        <v>1367</v>
      </c>
      <c r="B1454" s="1" t="s">
        <v>1381</v>
      </c>
      <c r="C1454" s="1" t="str">
        <f>"66298841312524"</f>
        <v>66298841312524</v>
      </c>
      <c r="D1454" s="1" t="str">
        <f>"27601-21J10-000"</f>
        <v>27601-21J10-000</v>
      </c>
      <c r="E1454" s="1" t="s">
        <v>17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</row>
    <row r="1455" spans="1:11" ht="30" x14ac:dyDescent="0.2">
      <c r="A1455" s="1" t="s">
        <v>1367</v>
      </c>
      <c r="B1455" s="1" t="s">
        <v>1382</v>
      </c>
      <c r="C1455" s="1" t="str">
        <f>"66298841470841"</f>
        <v>66298841470841</v>
      </c>
      <c r="D1455" s="1" t="str">
        <f>"400754"</f>
        <v>400754</v>
      </c>
      <c r="E1455" s="1" t="s">
        <v>17</v>
      </c>
      <c r="F1455" s="1">
        <v>30</v>
      </c>
      <c r="G1455" s="1">
        <v>2839</v>
      </c>
      <c r="H1455" s="1">
        <v>85170</v>
      </c>
      <c r="I1455" s="1">
        <v>0</v>
      </c>
      <c r="J1455" s="1">
        <v>30</v>
      </c>
      <c r="K1455" s="1">
        <v>0</v>
      </c>
    </row>
    <row r="1456" spans="1:11" ht="30" x14ac:dyDescent="0.2">
      <c r="A1456" s="1" t="s">
        <v>1367</v>
      </c>
      <c r="B1456" s="1" t="s">
        <v>1383</v>
      </c>
      <c r="C1456" s="1" t="str">
        <f>"66298841397852"</f>
        <v>66298841397852</v>
      </c>
      <c r="D1456" s="1" t="str">
        <f>"ND005"</f>
        <v>ND005</v>
      </c>
      <c r="E1456" s="1" t="s">
        <v>17</v>
      </c>
      <c r="F1456" s="1">
        <v>3</v>
      </c>
      <c r="G1456" s="1">
        <v>3376</v>
      </c>
      <c r="H1456" s="1">
        <v>10128</v>
      </c>
      <c r="I1456" s="1">
        <v>0</v>
      </c>
      <c r="J1456" s="1">
        <v>3</v>
      </c>
      <c r="K1456" s="1">
        <v>0</v>
      </c>
    </row>
    <row r="1457" spans="1:11" x14ac:dyDescent="0.2">
      <c r="A1457" s="1" t="s">
        <v>1384</v>
      </c>
      <c r="B1457" s="1" t="s">
        <v>1385</v>
      </c>
      <c r="C1457" s="1" t="str">
        <f>"2354"</f>
        <v>2354</v>
      </c>
      <c r="D1457" s="1" t="str">
        <f>"2354"</f>
        <v>2354</v>
      </c>
      <c r="E1457" s="1" t="s">
        <v>17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</row>
    <row r="1458" spans="1:11" x14ac:dyDescent="0.2">
      <c r="A1458" s="1" t="s">
        <v>1384</v>
      </c>
      <c r="B1458" s="1" t="s">
        <v>1386</v>
      </c>
      <c r="C1458" s="1" t="str">
        <f>"66298841562461"</f>
        <v>66298841562461</v>
      </c>
      <c r="D1458" s="1" t="str">
        <f>"400649"</f>
        <v>400649</v>
      </c>
      <c r="E1458" s="1" t="s">
        <v>17</v>
      </c>
      <c r="F1458" s="1">
        <v>75</v>
      </c>
      <c r="G1458" s="1">
        <v>1270</v>
      </c>
      <c r="H1458" s="1">
        <v>95250</v>
      </c>
      <c r="I1458" s="1">
        <v>0</v>
      </c>
      <c r="J1458" s="1">
        <v>75</v>
      </c>
      <c r="K1458" s="1">
        <v>0</v>
      </c>
    </row>
    <row r="1459" spans="1:11" x14ac:dyDescent="0.2">
      <c r="A1459" s="1" t="s">
        <v>1384</v>
      </c>
      <c r="B1459" s="1" t="s">
        <v>1387</v>
      </c>
      <c r="C1459" s="1" t="str">
        <f>"CE012"</f>
        <v>CE012</v>
      </c>
      <c r="D1459" s="1" t="str">
        <f>"CE012"</f>
        <v>CE012</v>
      </c>
      <c r="E1459" s="1" t="s">
        <v>17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</row>
    <row r="1460" spans="1:11" x14ac:dyDescent="0.2">
      <c r="A1460" s="1" t="s">
        <v>1384</v>
      </c>
      <c r="B1460" s="1" t="s">
        <v>1388</v>
      </c>
      <c r="C1460" s="1" t="str">
        <f>"BR050.07"</f>
        <v>BR050.07</v>
      </c>
      <c r="D1460" s="1" t="str">
        <f>"BR050.07"</f>
        <v>BR050.07</v>
      </c>
      <c r="E1460" s="1" t="s">
        <v>17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</row>
    <row r="1461" spans="1:11" x14ac:dyDescent="0.2">
      <c r="A1461" s="1" t="s">
        <v>1384</v>
      </c>
      <c r="B1461" s="1" t="s">
        <v>1388</v>
      </c>
      <c r="C1461" s="1" t="str">
        <f>"25K170S"</f>
        <v>25K170S</v>
      </c>
      <c r="D1461" s="1" t="str">
        <f>"25K170S"</f>
        <v>25K170S</v>
      </c>
      <c r="E1461" s="1" t="s">
        <v>17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</row>
    <row r="1462" spans="1:11" ht="30" x14ac:dyDescent="0.2">
      <c r="A1462" s="1" t="s">
        <v>1384</v>
      </c>
      <c r="B1462" s="1" t="s">
        <v>1389</v>
      </c>
      <c r="C1462" s="1" t="str">
        <f>"66298841614379"</f>
        <v>66298841614379</v>
      </c>
      <c r="D1462" s="1" t="str">
        <f>"400650"</f>
        <v>400650</v>
      </c>
      <c r="E1462" s="1" t="s">
        <v>17</v>
      </c>
      <c r="F1462" s="1">
        <v>25</v>
      </c>
      <c r="G1462" s="1">
        <v>1321</v>
      </c>
      <c r="H1462" s="1">
        <v>33025</v>
      </c>
      <c r="I1462" s="1">
        <v>0</v>
      </c>
      <c r="J1462" s="1">
        <v>25</v>
      </c>
      <c r="K1462" s="1">
        <v>0</v>
      </c>
    </row>
    <row r="1463" spans="1:11" x14ac:dyDescent="0.2">
      <c r="A1463" s="1" t="s">
        <v>1384</v>
      </c>
      <c r="B1463" s="1" t="s">
        <v>1390</v>
      </c>
      <c r="C1463" s="1" t="str">
        <f>"66298841654643"</f>
        <v>66298841654643</v>
      </c>
      <c r="D1463" s="1" t="str">
        <f>"BR0101-4531WGK"</f>
        <v>BR0101-4531WGK</v>
      </c>
      <c r="E1463" s="1" t="s">
        <v>17</v>
      </c>
      <c r="F1463" s="1">
        <v>1</v>
      </c>
      <c r="G1463" s="1">
        <v>7883</v>
      </c>
      <c r="H1463" s="1">
        <v>7883</v>
      </c>
      <c r="I1463" s="1">
        <v>0</v>
      </c>
      <c r="J1463" s="1">
        <v>1</v>
      </c>
      <c r="K1463" s="1">
        <v>0</v>
      </c>
    </row>
    <row r="1464" spans="1:11" x14ac:dyDescent="0.2">
      <c r="A1464" s="1" t="s">
        <v>1384</v>
      </c>
      <c r="B1464" s="1" t="s">
        <v>1390</v>
      </c>
      <c r="C1464" s="1" t="str">
        <f>"CE016"</f>
        <v>CE016</v>
      </c>
      <c r="D1464" s="1" t="str">
        <f>"CE016"</f>
        <v>CE016</v>
      </c>
      <c r="E1464" s="1" t="s">
        <v>17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</row>
    <row r="1465" spans="1:11" x14ac:dyDescent="0.2">
      <c r="A1465" s="1" t="s">
        <v>1384</v>
      </c>
      <c r="B1465" s="1" t="s">
        <v>1391</v>
      </c>
      <c r="C1465" s="1" t="str">
        <f>"66298841693814"</f>
        <v>66298841693814</v>
      </c>
      <c r="D1465" s="1" t="str">
        <f>"CE011"</f>
        <v>CE011</v>
      </c>
      <c r="E1465" s="1" t="s">
        <v>17</v>
      </c>
      <c r="F1465" s="1">
        <v>2</v>
      </c>
      <c r="G1465" s="1">
        <v>3023</v>
      </c>
      <c r="H1465" s="1">
        <v>6046</v>
      </c>
      <c r="I1465" s="1">
        <v>0</v>
      </c>
      <c r="J1465" s="1">
        <v>2</v>
      </c>
      <c r="K1465" s="1">
        <v>0</v>
      </c>
    </row>
    <row r="1466" spans="1:11" x14ac:dyDescent="0.2">
      <c r="A1466" s="1" t="s">
        <v>1384</v>
      </c>
      <c r="B1466" s="1" t="s">
        <v>1392</v>
      </c>
      <c r="C1466" s="1" t="str">
        <f>"66298841732937"</f>
        <v>66298841732937</v>
      </c>
      <c r="D1466" s="1" t="str">
        <f>"CE002"</f>
        <v>CE002</v>
      </c>
      <c r="E1466" s="1" t="s">
        <v>17</v>
      </c>
      <c r="F1466" s="1">
        <v>4</v>
      </c>
      <c r="G1466" s="1">
        <v>2678</v>
      </c>
      <c r="H1466" s="1">
        <v>10712</v>
      </c>
      <c r="I1466" s="1">
        <v>0</v>
      </c>
      <c r="J1466" s="1">
        <v>4</v>
      </c>
      <c r="K1466" s="1">
        <v>0</v>
      </c>
    </row>
    <row r="1467" spans="1:11" x14ac:dyDescent="0.2">
      <c r="A1467" s="1" t="s">
        <v>1384</v>
      </c>
      <c r="B1467" s="1" t="s">
        <v>1393</v>
      </c>
      <c r="C1467" s="1" t="str">
        <f>"CE013"</f>
        <v>CE013</v>
      </c>
      <c r="D1467" s="1" t="str">
        <f>"CE013"</f>
        <v>CE013</v>
      </c>
      <c r="E1467" s="1" t="s">
        <v>17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</row>
    <row r="1468" spans="1:11" x14ac:dyDescent="0.2">
      <c r="A1468" s="1" t="s">
        <v>1384</v>
      </c>
      <c r="B1468" s="1" t="s">
        <v>1394</v>
      </c>
      <c r="C1468" s="1" t="str">
        <f>"CE015"</f>
        <v>CE015</v>
      </c>
      <c r="D1468" s="1" t="str">
        <f>"CE015"</f>
        <v>CE015</v>
      </c>
      <c r="E1468" s="1" t="s">
        <v>17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</row>
    <row r="1469" spans="1:11" x14ac:dyDescent="0.2">
      <c r="A1469" s="1" t="s">
        <v>1384</v>
      </c>
      <c r="B1469" s="1" t="s">
        <v>1395</v>
      </c>
      <c r="C1469" s="1" t="str">
        <f>"CE004"</f>
        <v>CE004</v>
      </c>
      <c r="D1469" s="1" t="str">
        <f>"CE004"</f>
        <v>CE004</v>
      </c>
      <c r="E1469" s="1" t="s">
        <v>17</v>
      </c>
      <c r="F1469" s="1">
        <v>1</v>
      </c>
      <c r="G1469" s="1">
        <v>1791</v>
      </c>
      <c r="H1469" s="1">
        <v>1791</v>
      </c>
      <c r="I1469" s="1">
        <v>0</v>
      </c>
      <c r="J1469" s="1">
        <v>1</v>
      </c>
      <c r="K1469" s="1">
        <v>0</v>
      </c>
    </row>
    <row r="1470" spans="1:11" ht="30" x14ac:dyDescent="0.2">
      <c r="A1470" s="1" t="s">
        <v>1384</v>
      </c>
      <c r="B1470" s="1" t="s">
        <v>1396</v>
      </c>
      <c r="C1470" s="1" t="str">
        <f>"66298841772454"</f>
        <v>66298841772454</v>
      </c>
      <c r="D1470" s="1" t="str">
        <f>"400916"</f>
        <v>400916</v>
      </c>
      <c r="E1470" s="1" t="s">
        <v>17</v>
      </c>
      <c r="F1470" s="1">
        <v>33</v>
      </c>
      <c r="G1470" s="1">
        <v>1149</v>
      </c>
      <c r="H1470" s="1">
        <v>37917</v>
      </c>
      <c r="I1470" s="1">
        <v>0</v>
      </c>
      <c r="J1470" s="1">
        <v>33</v>
      </c>
      <c r="K1470" s="1">
        <v>0</v>
      </c>
    </row>
    <row r="1471" spans="1:11" x14ac:dyDescent="0.2">
      <c r="A1471" s="1" t="s">
        <v>1384</v>
      </c>
      <c r="B1471" s="1" t="s">
        <v>1397</v>
      </c>
      <c r="C1471" s="1" t="str">
        <f>"66298841815997"</f>
        <v>66298841815997</v>
      </c>
      <c r="D1471" s="1" t="str">
        <f>"51643-25010-K"</f>
        <v>51643-25010-K</v>
      </c>
      <c r="E1471" s="1" t="s">
        <v>17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</row>
    <row r="1472" spans="1:11" ht="30" x14ac:dyDescent="0.2">
      <c r="A1472" s="1" t="s">
        <v>1384</v>
      </c>
      <c r="B1472" s="1" t="s">
        <v>1398</v>
      </c>
      <c r="C1472" s="1" t="str">
        <f>"66298940746551"</f>
        <v>66298940746551</v>
      </c>
      <c r="D1472" s="1" t="str">
        <f>"CE010"</f>
        <v>CE010</v>
      </c>
      <c r="E1472" s="1" t="s">
        <v>17</v>
      </c>
      <c r="F1472" s="1">
        <v>7</v>
      </c>
      <c r="G1472" s="1">
        <v>3209</v>
      </c>
      <c r="H1472" s="1">
        <v>22463</v>
      </c>
      <c r="I1472" s="1">
        <v>0</v>
      </c>
      <c r="J1472" s="1">
        <v>7</v>
      </c>
      <c r="K1472" s="1">
        <v>0</v>
      </c>
    </row>
    <row r="1473" spans="1:11" x14ac:dyDescent="0.2">
      <c r="A1473" s="1" t="s">
        <v>1384</v>
      </c>
      <c r="B1473" s="1" t="s">
        <v>1399</v>
      </c>
      <c r="C1473" s="1" t="str">
        <f>"CE018"</f>
        <v>CE018</v>
      </c>
      <c r="D1473" s="1" t="str">
        <f>"CE018"</f>
        <v>CE018</v>
      </c>
      <c r="E1473" s="1" t="s">
        <v>17</v>
      </c>
      <c r="F1473" s="1">
        <v>1</v>
      </c>
      <c r="G1473" s="1">
        <v>2943.03</v>
      </c>
      <c r="H1473" s="1">
        <v>2943</v>
      </c>
      <c r="I1473" s="1">
        <v>0</v>
      </c>
      <c r="J1473" s="1">
        <v>1</v>
      </c>
      <c r="K1473" s="1">
        <v>0</v>
      </c>
    </row>
    <row r="1474" spans="1:11" ht="30" x14ac:dyDescent="0.2">
      <c r="A1474" s="1" t="s">
        <v>1384</v>
      </c>
      <c r="B1474" s="1" t="s">
        <v>1400</v>
      </c>
      <c r="C1474" s="1" t="str">
        <f>"100712"</f>
        <v>100712</v>
      </c>
      <c r="D1474" s="1" t="str">
        <f>"100712"</f>
        <v>100712</v>
      </c>
      <c r="E1474" s="1" t="s">
        <v>17</v>
      </c>
      <c r="F1474" s="1">
        <v>4</v>
      </c>
      <c r="G1474" s="1">
        <v>3126.05</v>
      </c>
      <c r="H1474" s="1">
        <v>12504</v>
      </c>
      <c r="I1474" s="1">
        <v>0</v>
      </c>
      <c r="J1474" s="1">
        <v>4</v>
      </c>
      <c r="K1474" s="1">
        <v>0</v>
      </c>
    </row>
    <row r="1475" spans="1:11" x14ac:dyDescent="0.2">
      <c r="A1475" s="1" t="s">
        <v>1384</v>
      </c>
      <c r="B1475" s="1" t="s">
        <v>1401</v>
      </c>
      <c r="C1475" s="1" t="str">
        <f>"66298841892129"</f>
        <v>66298841892129</v>
      </c>
      <c r="D1475" s="1" t="str">
        <f>"400648"</f>
        <v>400648</v>
      </c>
      <c r="E1475" s="1" t="s">
        <v>17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</row>
    <row r="1476" spans="1:11" x14ac:dyDescent="0.2">
      <c r="A1476" s="1" t="s">
        <v>1384</v>
      </c>
      <c r="B1476" s="1" t="s">
        <v>1402</v>
      </c>
      <c r="C1476" s="1" t="str">
        <f>"66298841853471"</f>
        <v>66298841853471</v>
      </c>
      <c r="D1476" s="1" t="str">
        <f>"BR1011-0041WGK"</f>
        <v>BR1011-0041WGK</v>
      </c>
      <c r="E1476" s="1" t="s">
        <v>17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</row>
    <row r="1477" spans="1:11" x14ac:dyDescent="0.2">
      <c r="A1477" s="1" t="s">
        <v>1384</v>
      </c>
      <c r="B1477" s="1" t="s">
        <v>1402</v>
      </c>
      <c r="C1477" s="1" t="str">
        <f>"CE017"</f>
        <v>CE017</v>
      </c>
      <c r="D1477" s="1" t="str">
        <f>"CE017"</f>
        <v>CE017</v>
      </c>
      <c r="E1477" s="1" t="s">
        <v>17</v>
      </c>
      <c r="F1477" s="1">
        <v>1</v>
      </c>
      <c r="G1477" s="1">
        <v>2691</v>
      </c>
      <c r="H1477" s="1">
        <v>2691</v>
      </c>
      <c r="I1477" s="1">
        <v>0</v>
      </c>
      <c r="J1477" s="1">
        <v>1</v>
      </c>
      <c r="K1477" s="1">
        <v>0</v>
      </c>
    </row>
    <row r="1478" spans="1:11" x14ac:dyDescent="0.2">
      <c r="A1478" s="1" t="s">
        <v>1384</v>
      </c>
      <c r="B1478" s="1" t="s">
        <v>1403</v>
      </c>
      <c r="C1478" s="1" t="str">
        <f>"100743"</f>
        <v>100743</v>
      </c>
      <c r="D1478" s="1" t="str">
        <f>"100743"</f>
        <v>100743</v>
      </c>
      <c r="E1478" s="1" t="s">
        <v>17</v>
      </c>
      <c r="F1478" s="1">
        <v>3</v>
      </c>
      <c r="G1478" s="1">
        <v>3126.05</v>
      </c>
      <c r="H1478" s="1">
        <v>9378</v>
      </c>
      <c r="I1478" s="1">
        <v>0</v>
      </c>
      <c r="J1478" s="1">
        <v>3</v>
      </c>
      <c r="K1478" s="1">
        <v>0</v>
      </c>
    </row>
    <row r="1479" spans="1:11" x14ac:dyDescent="0.2">
      <c r="A1479" s="1" t="s">
        <v>1384</v>
      </c>
      <c r="B1479" s="1" t="s">
        <v>1404</v>
      </c>
      <c r="C1479" s="1" t="str">
        <f>"5KA-F3411-00-K"</f>
        <v>5KA-F3411-00-K</v>
      </c>
      <c r="D1479" s="1" t="str">
        <f>"5KA-F3411-00-K"</f>
        <v>5KA-F3411-00-K</v>
      </c>
      <c r="E1479" s="1" t="s">
        <v>17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</row>
    <row r="1480" spans="1:11" ht="30" x14ac:dyDescent="0.2">
      <c r="A1480" s="1" t="s">
        <v>1384</v>
      </c>
      <c r="B1480" s="1" t="s">
        <v>1405</v>
      </c>
      <c r="C1480" s="1" t="str">
        <f>"66298841971346"</f>
        <v>66298841971346</v>
      </c>
      <c r="D1480" s="1" t="str">
        <f>"400918"</f>
        <v>400918</v>
      </c>
      <c r="E1480" s="1" t="s">
        <v>17</v>
      </c>
      <c r="F1480" s="1">
        <v>23</v>
      </c>
      <c r="G1480" s="1">
        <v>1001</v>
      </c>
      <c r="H1480" s="1">
        <v>23023</v>
      </c>
      <c r="I1480" s="1">
        <v>0</v>
      </c>
      <c r="J1480" s="1">
        <v>23</v>
      </c>
      <c r="K1480" s="1">
        <v>0</v>
      </c>
    </row>
    <row r="1481" spans="1:11" x14ac:dyDescent="0.2">
      <c r="A1481" s="1" t="s">
        <v>1384</v>
      </c>
      <c r="B1481" s="1" t="s">
        <v>1406</v>
      </c>
      <c r="C1481" s="1" t="str">
        <f>"66298842013066"</f>
        <v>66298842013066</v>
      </c>
      <c r="D1481" s="1" t="str">
        <f>"400915"</f>
        <v>400915</v>
      </c>
      <c r="E1481" s="1" t="s">
        <v>17</v>
      </c>
      <c r="F1481" s="1">
        <v>59</v>
      </c>
      <c r="G1481" s="1">
        <v>1393</v>
      </c>
      <c r="H1481" s="1">
        <v>82187</v>
      </c>
      <c r="I1481" s="1">
        <v>0</v>
      </c>
      <c r="J1481" s="1">
        <v>59</v>
      </c>
      <c r="K1481" s="1">
        <v>0</v>
      </c>
    </row>
    <row r="1482" spans="1:11" x14ac:dyDescent="0.2">
      <c r="A1482" s="1" t="s">
        <v>1384</v>
      </c>
      <c r="B1482" s="1" t="s">
        <v>1407</v>
      </c>
      <c r="C1482" s="1" t="str">
        <f>"5BP-F3873-01-K"</f>
        <v>5BP-F3873-01-K</v>
      </c>
      <c r="D1482" s="1" t="str">
        <f>"5BP-F3873-01-K"</f>
        <v>5BP-F3873-01-K</v>
      </c>
      <c r="E1482" s="1" t="s">
        <v>17</v>
      </c>
      <c r="F1482" s="1">
        <v>5</v>
      </c>
      <c r="G1482" s="1">
        <v>4146</v>
      </c>
      <c r="H1482" s="1">
        <v>20730</v>
      </c>
      <c r="I1482" s="1">
        <v>0</v>
      </c>
      <c r="J1482" s="1">
        <v>5</v>
      </c>
      <c r="K1482" s="1">
        <v>0</v>
      </c>
    </row>
    <row r="1483" spans="1:11" x14ac:dyDescent="0.2">
      <c r="A1483" s="1" t="s">
        <v>18</v>
      </c>
      <c r="B1483" s="1" t="s">
        <v>1408</v>
      </c>
      <c r="C1483" s="1" t="str">
        <f>"66298842053856"</f>
        <v>66298842053856</v>
      </c>
      <c r="D1483" s="1" t="str">
        <f>"ZZE010"</f>
        <v>ZZE010</v>
      </c>
      <c r="E1483" s="1" t="s">
        <v>17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</row>
    <row r="1484" spans="1:11" x14ac:dyDescent="0.2">
      <c r="A1484" s="1" t="s">
        <v>1359</v>
      </c>
      <c r="B1484" s="1" t="s">
        <v>1409</v>
      </c>
      <c r="C1484" s="1" t="str">
        <f>"66298842093477"</f>
        <v>66298842093477</v>
      </c>
      <c r="D1484" s="1" t="str">
        <f>"H137"</f>
        <v>H137</v>
      </c>
      <c r="E1484" s="1" t="s">
        <v>17</v>
      </c>
      <c r="F1484" s="1">
        <v>4</v>
      </c>
      <c r="G1484" s="1">
        <v>1841</v>
      </c>
      <c r="H1484" s="1">
        <v>7364</v>
      </c>
      <c r="I1484" s="1">
        <v>0</v>
      </c>
      <c r="J1484" s="1">
        <v>4</v>
      </c>
      <c r="K1484" s="1">
        <v>0</v>
      </c>
    </row>
    <row r="1485" spans="1:11" x14ac:dyDescent="0.2">
      <c r="A1485" s="1" t="s">
        <v>1359</v>
      </c>
      <c r="B1485" s="1" t="s">
        <v>1409</v>
      </c>
      <c r="C1485" s="1" t="str">
        <f>"66298842136499"</f>
        <v>66298842136499</v>
      </c>
      <c r="D1485" s="1" t="str">
        <f>"HH045"</f>
        <v>HH045</v>
      </c>
      <c r="E1485" s="1" t="s">
        <v>17</v>
      </c>
      <c r="F1485" s="1">
        <v>4</v>
      </c>
      <c r="G1485" s="1">
        <v>1782</v>
      </c>
      <c r="H1485" s="1">
        <v>7128</v>
      </c>
      <c r="I1485" s="1">
        <v>0</v>
      </c>
      <c r="J1485" s="1">
        <v>4</v>
      </c>
      <c r="K1485" s="1">
        <v>0</v>
      </c>
    </row>
    <row r="1486" spans="1:11" x14ac:dyDescent="0.2">
      <c r="A1486" s="1" t="s">
        <v>1359</v>
      </c>
      <c r="B1486" s="1" t="s">
        <v>1410</v>
      </c>
      <c r="C1486" s="1" t="str">
        <f>"66298842180875"</f>
        <v>66298842180875</v>
      </c>
      <c r="D1486" s="1" t="str">
        <f>"H139"</f>
        <v>H139</v>
      </c>
      <c r="E1486" s="1" t="s">
        <v>17</v>
      </c>
      <c r="F1486" s="1">
        <v>3</v>
      </c>
      <c r="G1486" s="1">
        <v>2781</v>
      </c>
      <c r="H1486" s="1">
        <v>8343</v>
      </c>
      <c r="I1486" s="1">
        <v>0</v>
      </c>
      <c r="J1486" s="1">
        <v>3</v>
      </c>
      <c r="K1486" s="1">
        <v>0</v>
      </c>
    </row>
    <row r="1487" spans="1:11" x14ac:dyDescent="0.2">
      <c r="A1487" s="1" t="s">
        <v>1359</v>
      </c>
      <c r="B1487" s="1" t="s">
        <v>1411</v>
      </c>
      <c r="C1487" s="1" t="str">
        <f>"66298842226962"</f>
        <v>66298842226962</v>
      </c>
      <c r="D1487" s="1" t="str">
        <f>"HH041"</f>
        <v>HH041</v>
      </c>
      <c r="E1487" s="1" t="s">
        <v>17</v>
      </c>
      <c r="F1487" s="1">
        <v>7</v>
      </c>
      <c r="G1487" s="1">
        <v>3015</v>
      </c>
      <c r="H1487" s="1">
        <v>21105</v>
      </c>
      <c r="I1487" s="1">
        <v>0</v>
      </c>
      <c r="J1487" s="1">
        <v>7</v>
      </c>
      <c r="K1487" s="1">
        <v>0</v>
      </c>
    </row>
    <row r="1488" spans="1:11" x14ac:dyDescent="0.2">
      <c r="A1488" s="1" t="s">
        <v>1359</v>
      </c>
      <c r="B1488" s="1" t="s">
        <v>1412</v>
      </c>
      <c r="C1488" s="1" t="str">
        <f>"66298842267034"</f>
        <v>66298842267034</v>
      </c>
      <c r="D1488" s="1" t="str">
        <f>"HH044"</f>
        <v>HH044</v>
      </c>
      <c r="E1488" s="1" t="s">
        <v>17</v>
      </c>
      <c r="F1488" s="1">
        <v>14</v>
      </c>
      <c r="G1488" s="1">
        <v>7407</v>
      </c>
      <c r="H1488" s="1">
        <v>103698</v>
      </c>
      <c r="I1488" s="1">
        <v>0</v>
      </c>
      <c r="J1488" s="1">
        <v>14</v>
      </c>
      <c r="K1488" s="1">
        <v>0</v>
      </c>
    </row>
    <row r="1489" spans="1:11" x14ac:dyDescent="0.2">
      <c r="A1489" s="1" t="s">
        <v>1413</v>
      </c>
      <c r="B1489" s="1" t="s">
        <v>1414</v>
      </c>
      <c r="C1489" s="1" t="str">
        <f>"66298842306565"</f>
        <v>66298842306565</v>
      </c>
      <c r="D1489" s="1" t="str">
        <f>"21C-F1650-00"</f>
        <v>21C-F1650-00</v>
      </c>
      <c r="E1489" s="1" t="s">
        <v>17</v>
      </c>
      <c r="F1489" s="1">
        <v>1</v>
      </c>
      <c r="G1489" s="1">
        <v>3047</v>
      </c>
      <c r="H1489" s="1">
        <v>3047</v>
      </c>
      <c r="I1489" s="1">
        <v>0</v>
      </c>
      <c r="J1489" s="1">
        <v>1</v>
      </c>
      <c r="K1489" s="1">
        <v>0</v>
      </c>
    </row>
    <row r="1490" spans="1:11" x14ac:dyDescent="0.2">
      <c r="A1490" s="1" t="s">
        <v>18</v>
      </c>
      <c r="B1490" s="1" t="s">
        <v>1415</v>
      </c>
      <c r="C1490" s="1" t="str">
        <f>"66298842348316"</f>
        <v>66298842348316</v>
      </c>
      <c r="D1490" s="1" t="str">
        <f>"2787-L"</f>
        <v>2787-L</v>
      </c>
      <c r="E1490" s="1" t="s">
        <v>17</v>
      </c>
      <c r="F1490" s="1">
        <v>9</v>
      </c>
      <c r="G1490" s="1">
        <v>3782</v>
      </c>
      <c r="H1490" s="1">
        <v>34038</v>
      </c>
      <c r="I1490" s="1">
        <v>0</v>
      </c>
      <c r="J1490" s="1">
        <v>9</v>
      </c>
      <c r="K1490" s="1">
        <v>0</v>
      </c>
    </row>
    <row r="1491" spans="1:11" x14ac:dyDescent="0.2">
      <c r="A1491" s="1" t="s">
        <v>18</v>
      </c>
      <c r="B1491" s="1" t="s">
        <v>1416</v>
      </c>
      <c r="C1491" s="1" t="str">
        <f>"66298842391840"</f>
        <v>66298842391840</v>
      </c>
      <c r="D1491" s="1" t="str">
        <f>"2787-XL"</f>
        <v>2787-XL</v>
      </c>
      <c r="E1491" s="1" t="s">
        <v>17</v>
      </c>
      <c r="F1491" s="1">
        <v>3</v>
      </c>
      <c r="G1491" s="1">
        <v>3782</v>
      </c>
      <c r="H1491" s="1">
        <v>11346</v>
      </c>
      <c r="I1491" s="1">
        <v>0</v>
      </c>
      <c r="J1491" s="1">
        <v>3</v>
      </c>
      <c r="K1491" s="1">
        <v>0</v>
      </c>
    </row>
    <row r="1492" spans="1:11" x14ac:dyDescent="0.2">
      <c r="A1492" s="1" t="s">
        <v>18</v>
      </c>
      <c r="B1492" s="1" t="s">
        <v>1417</v>
      </c>
      <c r="C1492" s="1" t="str">
        <f>"66298842431647"</f>
        <v>66298842431647</v>
      </c>
      <c r="D1492" s="1" t="str">
        <f>"WC017"</f>
        <v>WC017</v>
      </c>
      <c r="E1492" s="1" t="s">
        <v>17</v>
      </c>
      <c r="F1492" s="1">
        <v>5</v>
      </c>
      <c r="G1492" s="1">
        <v>8212</v>
      </c>
      <c r="H1492" s="1">
        <v>41060</v>
      </c>
      <c r="I1492" s="1">
        <v>0</v>
      </c>
      <c r="J1492" s="1">
        <v>5</v>
      </c>
      <c r="K1492" s="1">
        <v>0</v>
      </c>
    </row>
    <row r="1493" spans="1:11" x14ac:dyDescent="0.2">
      <c r="A1493" s="1" t="s">
        <v>18</v>
      </c>
      <c r="B1493" s="1" t="s">
        <v>1418</v>
      </c>
      <c r="C1493" s="1" t="str">
        <f>"66298842553335"</f>
        <v>66298842553335</v>
      </c>
      <c r="D1493" s="1" t="str">
        <f>"CU-MANI-MORADO"</f>
        <v>CU-MANI-MORADO</v>
      </c>
      <c r="E1493" s="1" t="s">
        <v>17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 x14ac:dyDescent="0.2">
      <c r="A1494" s="1" t="s">
        <v>18</v>
      </c>
      <c r="B1494" s="1" t="s">
        <v>1419</v>
      </c>
      <c r="C1494" s="1" t="str">
        <f>"66298842595410"</f>
        <v>66298842595410</v>
      </c>
      <c r="D1494" s="1" t="str">
        <f>"CU-MANI-NARANJA"</f>
        <v>CU-MANI-NARANJA</v>
      </c>
      <c r="E1494" s="1" t="s">
        <v>17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</row>
    <row r="1495" spans="1:11" x14ac:dyDescent="0.2">
      <c r="A1495" s="1" t="s">
        <v>18</v>
      </c>
      <c r="B1495" s="1" t="s">
        <v>1420</v>
      </c>
      <c r="C1495" s="1" t="str">
        <f>"66298842636974"</f>
        <v>66298842636974</v>
      </c>
      <c r="D1495" s="1" t="str">
        <f>"R032"</f>
        <v>R032</v>
      </c>
      <c r="E1495" s="1" t="s">
        <v>17</v>
      </c>
      <c r="F1495" s="1">
        <v>2</v>
      </c>
      <c r="G1495" s="1">
        <v>1144</v>
      </c>
      <c r="H1495" s="1">
        <v>2288</v>
      </c>
      <c r="I1495" s="1">
        <v>0</v>
      </c>
      <c r="J1495" s="1">
        <v>2</v>
      </c>
      <c r="K1495" s="1">
        <v>0</v>
      </c>
    </row>
    <row r="1496" spans="1:11" x14ac:dyDescent="0.2">
      <c r="A1496" s="1" t="s">
        <v>18</v>
      </c>
      <c r="B1496" s="1" t="s">
        <v>1421</v>
      </c>
      <c r="C1496" s="1" t="str">
        <f>"66298842681437"</f>
        <v>66298842681437</v>
      </c>
      <c r="D1496" s="1" t="str">
        <f>"1267"</f>
        <v>1267</v>
      </c>
      <c r="E1496" s="1" t="s">
        <v>17</v>
      </c>
      <c r="F1496" s="1">
        <v>6</v>
      </c>
      <c r="G1496" s="1">
        <v>2689</v>
      </c>
      <c r="H1496" s="1">
        <v>16134</v>
      </c>
      <c r="I1496" s="1">
        <v>0</v>
      </c>
      <c r="J1496" s="1">
        <v>6</v>
      </c>
      <c r="K1496" s="1">
        <v>0</v>
      </c>
    </row>
    <row r="1497" spans="1:11" x14ac:dyDescent="0.2">
      <c r="A1497" s="1" t="s">
        <v>18</v>
      </c>
      <c r="B1497" s="1" t="s">
        <v>1422</v>
      </c>
      <c r="C1497" s="1" t="str">
        <f>"CUBRE-P"</f>
        <v>CUBRE-P</v>
      </c>
      <c r="D1497" s="1" t="str">
        <f>"CUBRE-P"</f>
        <v>CUBRE-P</v>
      </c>
      <c r="E1497" s="1" t="s">
        <v>17</v>
      </c>
      <c r="F1497" s="1">
        <v>1</v>
      </c>
      <c r="G1497" s="1">
        <v>2352.9499999999998</v>
      </c>
      <c r="H1497" s="1">
        <v>2353</v>
      </c>
      <c r="I1497" s="1">
        <v>1</v>
      </c>
      <c r="J1497" s="1">
        <v>0</v>
      </c>
      <c r="K1497" s="1">
        <v>0</v>
      </c>
    </row>
    <row r="1498" spans="1:11" x14ac:dyDescent="0.2">
      <c r="A1498" s="1" t="s">
        <v>18</v>
      </c>
      <c r="B1498" s="1" t="s">
        <v>1422</v>
      </c>
      <c r="C1498" s="1" t="str">
        <f>"2653"</f>
        <v>2653</v>
      </c>
      <c r="D1498" s="1" t="str">
        <f>"2653"</f>
        <v>2653</v>
      </c>
      <c r="E1498" s="1" t="s">
        <v>17</v>
      </c>
      <c r="F1498" s="1">
        <v>32</v>
      </c>
      <c r="G1498" s="1">
        <v>3781.59</v>
      </c>
      <c r="H1498" s="1">
        <v>121011</v>
      </c>
      <c r="I1498" s="1">
        <v>0</v>
      </c>
      <c r="J1498" s="1">
        <v>32</v>
      </c>
      <c r="K1498" s="1">
        <v>0</v>
      </c>
    </row>
    <row r="1499" spans="1:11" x14ac:dyDescent="0.2">
      <c r="A1499" s="1" t="s">
        <v>18</v>
      </c>
      <c r="B1499" s="1" t="s">
        <v>1423</v>
      </c>
      <c r="C1499" s="1" t="str">
        <f>"66298842725932"</f>
        <v>66298842725932</v>
      </c>
      <c r="D1499" s="1" t="str">
        <f>"R027-VERDE"</f>
        <v>R027-VERDE</v>
      </c>
      <c r="E1499" s="1" t="s">
        <v>17</v>
      </c>
      <c r="F1499" s="1">
        <v>3</v>
      </c>
      <c r="G1499" s="1">
        <v>2213</v>
      </c>
      <c r="H1499" s="1">
        <v>6639</v>
      </c>
      <c r="I1499" s="1">
        <v>0</v>
      </c>
      <c r="J1499" s="1">
        <v>3</v>
      </c>
      <c r="K1499" s="1">
        <v>0</v>
      </c>
    </row>
    <row r="1500" spans="1:11" x14ac:dyDescent="0.2">
      <c r="A1500" s="1" t="s">
        <v>18</v>
      </c>
      <c r="B1500" s="1" t="s">
        <v>1423</v>
      </c>
      <c r="C1500" s="1" t="str">
        <f>"66298842731316"</f>
        <v>66298842731316</v>
      </c>
      <c r="D1500" s="1" t="str">
        <f>"R027-AMARILLO"</f>
        <v>R027-AMARILLO</v>
      </c>
      <c r="E1500" s="1" t="s">
        <v>17</v>
      </c>
      <c r="F1500" s="1">
        <v>7</v>
      </c>
      <c r="G1500" s="1">
        <v>2213</v>
      </c>
      <c r="H1500" s="1">
        <v>15491</v>
      </c>
      <c r="I1500" s="1">
        <v>0</v>
      </c>
      <c r="J1500" s="1">
        <v>7</v>
      </c>
      <c r="K1500" s="1">
        <v>0</v>
      </c>
    </row>
    <row r="1501" spans="1:11" x14ac:dyDescent="0.2">
      <c r="A1501" s="1" t="s">
        <v>18</v>
      </c>
      <c r="B1501" s="1" t="s">
        <v>1424</v>
      </c>
      <c r="C1501" s="1" t="str">
        <f>"66298842790284"</f>
        <v>66298842790284</v>
      </c>
      <c r="D1501" s="1" t="str">
        <f>"1155"</f>
        <v>1155</v>
      </c>
      <c r="E1501" s="1" t="s">
        <v>17</v>
      </c>
      <c r="F1501" s="1">
        <v>2</v>
      </c>
      <c r="G1501" s="1">
        <v>4454</v>
      </c>
      <c r="H1501" s="1">
        <v>8908</v>
      </c>
      <c r="I1501" s="1">
        <v>0</v>
      </c>
      <c r="J1501" s="1">
        <v>2</v>
      </c>
      <c r="K1501" s="1">
        <v>0</v>
      </c>
    </row>
    <row r="1502" spans="1:11" x14ac:dyDescent="0.2">
      <c r="A1502" s="1" t="s">
        <v>1425</v>
      </c>
      <c r="B1502" s="1" t="s">
        <v>1426</v>
      </c>
      <c r="C1502" s="1" t="str">
        <f>"D010"</f>
        <v>D010</v>
      </c>
      <c r="D1502" s="1" t="str">
        <f>"D010"</f>
        <v>D010</v>
      </c>
      <c r="E1502" s="1" t="s">
        <v>17</v>
      </c>
      <c r="F1502" s="1">
        <v>1</v>
      </c>
      <c r="G1502" s="1">
        <v>69552</v>
      </c>
      <c r="H1502" s="1">
        <v>69552</v>
      </c>
      <c r="I1502" s="1">
        <v>0</v>
      </c>
      <c r="J1502" s="1">
        <v>1</v>
      </c>
      <c r="K1502" s="1">
        <v>0</v>
      </c>
    </row>
    <row r="1503" spans="1:11" x14ac:dyDescent="0.2">
      <c r="A1503" s="1" t="s">
        <v>1425</v>
      </c>
      <c r="B1503" s="1" t="s">
        <v>1427</v>
      </c>
      <c r="C1503" s="1" t="str">
        <f>"D001-A"</f>
        <v>D001-A</v>
      </c>
      <c r="D1503" s="1" t="str">
        <f>"D001-A"</f>
        <v>D001-A</v>
      </c>
      <c r="E1503" s="1" t="s">
        <v>17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</row>
    <row r="1504" spans="1:11" x14ac:dyDescent="0.2">
      <c r="A1504" s="1" t="s">
        <v>1425</v>
      </c>
      <c r="B1504" s="1" t="s">
        <v>1428</v>
      </c>
      <c r="C1504" s="1" t="str">
        <f>"D012"</f>
        <v>D012</v>
      </c>
      <c r="D1504" s="1" t="str">
        <f>"D012"</f>
        <v>D012</v>
      </c>
      <c r="E1504" s="1" t="s">
        <v>17</v>
      </c>
      <c r="F1504" s="1">
        <v>1</v>
      </c>
      <c r="G1504" s="1">
        <v>30429</v>
      </c>
      <c r="H1504" s="1">
        <v>30429</v>
      </c>
      <c r="I1504" s="1">
        <v>0</v>
      </c>
      <c r="J1504" s="1">
        <v>1</v>
      </c>
      <c r="K1504" s="1">
        <v>0</v>
      </c>
    </row>
    <row r="1505" spans="1:11" ht="30" x14ac:dyDescent="0.2">
      <c r="A1505" s="1" t="s">
        <v>15</v>
      </c>
      <c r="B1505" s="1" t="s">
        <v>1429</v>
      </c>
      <c r="C1505" s="1" t="str">
        <f>"1563"</f>
        <v>1563</v>
      </c>
      <c r="D1505" s="1" t="str">
        <f>"1563"</f>
        <v>1563</v>
      </c>
      <c r="E1505" s="1" t="s">
        <v>17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</row>
    <row r="1506" spans="1:11" ht="30" x14ac:dyDescent="0.2">
      <c r="A1506" s="1" t="s">
        <v>15</v>
      </c>
      <c r="B1506" s="1" t="s">
        <v>1430</v>
      </c>
      <c r="C1506" s="1" t="str">
        <f>"1561"</f>
        <v>1561</v>
      </c>
      <c r="D1506" s="1" t="str">
        <f>"1561"</f>
        <v>1561</v>
      </c>
      <c r="E1506" s="1" t="s">
        <v>17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</row>
    <row r="1507" spans="1:11" x14ac:dyDescent="0.2">
      <c r="A1507" s="1" t="s">
        <v>98</v>
      </c>
      <c r="B1507" s="1" t="s">
        <v>1431</v>
      </c>
      <c r="C1507" s="1" t="str">
        <f>"66298842835467"</f>
        <v>66298842835467</v>
      </c>
      <c r="D1507" s="1" t="str">
        <f>"H125"</f>
        <v>H125</v>
      </c>
      <c r="E1507" s="1" t="s">
        <v>17</v>
      </c>
      <c r="F1507" s="1">
        <v>4</v>
      </c>
      <c r="G1507" s="1">
        <v>4631</v>
      </c>
      <c r="H1507" s="1">
        <v>18524</v>
      </c>
      <c r="I1507" s="1">
        <v>0</v>
      </c>
      <c r="J1507" s="1">
        <v>4</v>
      </c>
      <c r="K1507" s="1">
        <v>0</v>
      </c>
    </row>
    <row r="1508" spans="1:11" x14ac:dyDescent="0.2">
      <c r="A1508" s="1" t="s">
        <v>1432</v>
      </c>
      <c r="B1508" s="1" t="s">
        <v>1433</v>
      </c>
      <c r="C1508" s="1" t="str">
        <f>"66298842874642"</f>
        <v>66298842874642</v>
      </c>
      <c r="D1508" s="1" t="str">
        <f>"30151076"</f>
        <v>30151076</v>
      </c>
      <c r="E1508" s="1" t="s">
        <v>17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</row>
    <row r="1509" spans="1:11" ht="30" x14ac:dyDescent="0.2">
      <c r="A1509" s="1" t="s">
        <v>1432</v>
      </c>
      <c r="B1509" s="1" t="s">
        <v>1434</v>
      </c>
      <c r="C1509" s="1" t="str">
        <f>"66298843051257"</f>
        <v>66298843051257</v>
      </c>
      <c r="D1509" s="1" t="str">
        <f>"83155"</f>
        <v>83155</v>
      </c>
      <c r="E1509" s="1" t="s">
        <v>17</v>
      </c>
      <c r="F1509" s="1">
        <v>31</v>
      </c>
      <c r="G1509" s="1">
        <v>647</v>
      </c>
      <c r="H1509" s="1">
        <v>20057</v>
      </c>
      <c r="I1509" s="1">
        <v>0</v>
      </c>
      <c r="J1509" s="1">
        <v>31</v>
      </c>
      <c r="K1509" s="1">
        <v>0</v>
      </c>
    </row>
    <row r="1510" spans="1:11" ht="30" x14ac:dyDescent="0.2">
      <c r="A1510" s="1" t="s">
        <v>1432</v>
      </c>
      <c r="B1510" s="1" t="s">
        <v>1435</v>
      </c>
      <c r="C1510" s="1" t="str">
        <f>"66298843044975"</f>
        <v>66298843044975</v>
      </c>
      <c r="D1510" s="1" t="str">
        <f>"400017"</f>
        <v>400017</v>
      </c>
      <c r="E1510" s="1" t="s">
        <v>17</v>
      </c>
      <c r="F1510" s="1">
        <v>4</v>
      </c>
      <c r="G1510" s="1">
        <v>634</v>
      </c>
      <c r="H1510" s="1">
        <v>2536</v>
      </c>
      <c r="I1510" s="1">
        <v>0</v>
      </c>
      <c r="J1510" s="1">
        <v>4</v>
      </c>
      <c r="K1510" s="1">
        <v>0</v>
      </c>
    </row>
    <row r="1511" spans="1:11" ht="30" x14ac:dyDescent="0.2">
      <c r="A1511" s="1" t="s">
        <v>1432</v>
      </c>
      <c r="B1511" s="1" t="s">
        <v>1436</v>
      </c>
      <c r="C1511" s="1" t="str">
        <f>"06410-KSP-900JP"</f>
        <v>06410-KSP-900JP</v>
      </c>
      <c r="D1511" s="1" t="str">
        <f>"06410-KSP-900JP"</f>
        <v>06410-KSP-900JP</v>
      </c>
      <c r="E1511" s="1" t="s">
        <v>17</v>
      </c>
      <c r="F1511" s="1">
        <v>6</v>
      </c>
      <c r="G1511" s="1">
        <v>6378</v>
      </c>
      <c r="H1511" s="1">
        <v>38268</v>
      </c>
      <c r="I1511" s="1">
        <v>0</v>
      </c>
      <c r="J1511" s="1">
        <v>6</v>
      </c>
      <c r="K1511" s="1">
        <v>0</v>
      </c>
    </row>
    <row r="1512" spans="1:11" ht="30" x14ac:dyDescent="0.2">
      <c r="A1512" s="1" t="s">
        <v>1432</v>
      </c>
      <c r="B1512" s="1" t="s">
        <v>1436</v>
      </c>
      <c r="C1512" s="1" t="str">
        <f>"66298843107227"</f>
        <v>66298843107227</v>
      </c>
      <c r="D1512" s="1" t="str">
        <f>"NE009"</f>
        <v>NE009</v>
      </c>
      <c r="E1512" s="1" t="s">
        <v>17</v>
      </c>
      <c r="F1512" s="1">
        <v>13</v>
      </c>
      <c r="G1512" s="1">
        <v>1748</v>
      </c>
      <c r="H1512" s="1">
        <v>22724</v>
      </c>
      <c r="I1512" s="1">
        <v>0</v>
      </c>
      <c r="J1512" s="1">
        <v>13</v>
      </c>
      <c r="K1512" s="1">
        <v>0</v>
      </c>
    </row>
    <row r="1513" spans="1:11" ht="30" x14ac:dyDescent="0.2">
      <c r="A1513" s="1" t="s">
        <v>1432</v>
      </c>
      <c r="B1513" s="1" t="s">
        <v>1436</v>
      </c>
      <c r="C1513" s="1" t="str">
        <f>"06410-KTE-910HB"</f>
        <v>06410-KTE-910HB</v>
      </c>
      <c r="D1513" s="1" t="str">
        <f>"06410-KTE-910HB"</f>
        <v>06410-KTE-910HB</v>
      </c>
      <c r="E1513" s="1" t="s">
        <v>17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</row>
    <row r="1514" spans="1:11" x14ac:dyDescent="0.2">
      <c r="A1514" s="1" t="s">
        <v>1432</v>
      </c>
      <c r="B1514" s="1" t="s">
        <v>1437</v>
      </c>
      <c r="C1514" s="1" t="str">
        <f>"B119"</f>
        <v>B119</v>
      </c>
      <c r="D1514" s="1" t="str">
        <f>"B119"</f>
        <v>B119</v>
      </c>
      <c r="E1514" s="1" t="s">
        <v>17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</row>
    <row r="1515" spans="1:11" x14ac:dyDescent="0.2">
      <c r="A1515" s="1" t="s">
        <v>1432</v>
      </c>
      <c r="B1515" s="1" t="s">
        <v>1438</v>
      </c>
      <c r="C1515" s="1" t="str">
        <f>"DAM-CG125"</f>
        <v>DAM-CG125</v>
      </c>
      <c r="D1515" s="1" t="str">
        <f>"DAM-CG125"</f>
        <v>DAM-CG125</v>
      </c>
      <c r="E1515" s="1" t="s">
        <v>17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</row>
    <row r="1516" spans="1:11" x14ac:dyDescent="0.2">
      <c r="A1516" s="1" t="s">
        <v>1432</v>
      </c>
      <c r="B1516" s="1" t="s">
        <v>1439</v>
      </c>
      <c r="C1516" s="1" t="str">
        <f>"66298843147772"</f>
        <v>66298843147772</v>
      </c>
      <c r="D1516" s="1" t="str">
        <f>"06410-KRF-S00ICH"</f>
        <v>06410-KRF-S00ICH</v>
      </c>
      <c r="E1516" s="1" t="s">
        <v>17</v>
      </c>
      <c r="F1516" s="1">
        <v>19</v>
      </c>
      <c r="G1516" s="1">
        <v>1372</v>
      </c>
      <c r="H1516" s="1">
        <v>26068</v>
      </c>
      <c r="I1516" s="1">
        <v>0</v>
      </c>
      <c r="J1516" s="1">
        <v>19</v>
      </c>
      <c r="K1516" s="1">
        <v>0</v>
      </c>
    </row>
    <row r="1517" spans="1:11" x14ac:dyDescent="0.2">
      <c r="A1517" s="1" t="s">
        <v>1432</v>
      </c>
      <c r="B1517" s="1" t="s">
        <v>1440</v>
      </c>
      <c r="C1517" s="1" t="str">
        <f>"66298843192149"</f>
        <v>66298843192149</v>
      </c>
      <c r="D1517" s="1" t="str">
        <f>"400018"</f>
        <v>400018</v>
      </c>
      <c r="E1517" s="1" t="s">
        <v>17</v>
      </c>
      <c r="F1517" s="1">
        <v>11</v>
      </c>
      <c r="G1517" s="1">
        <v>652</v>
      </c>
      <c r="H1517" s="1">
        <v>7172</v>
      </c>
      <c r="I1517" s="1">
        <v>0</v>
      </c>
      <c r="J1517" s="1">
        <v>11</v>
      </c>
      <c r="K1517" s="1">
        <v>0</v>
      </c>
    </row>
    <row r="1518" spans="1:11" x14ac:dyDescent="0.2">
      <c r="A1518" s="1" t="s">
        <v>1432</v>
      </c>
      <c r="B1518" s="1" t="s">
        <v>1441</v>
      </c>
      <c r="C1518" s="1" t="str">
        <f>"2836"</f>
        <v>2836</v>
      </c>
      <c r="D1518" s="1" t="str">
        <f>"2836"</f>
        <v>2836</v>
      </c>
      <c r="E1518" s="1" t="s">
        <v>17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</row>
    <row r="1519" spans="1:11" x14ac:dyDescent="0.2">
      <c r="A1519" s="1" t="s">
        <v>1432</v>
      </c>
      <c r="B1519" s="1" t="s">
        <v>1442</v>
      </c>
      <c r="C1519" s="1" t="str">
        <f>"C012"</f>
        <v>C012</v>
      </c>
      <c r="D1519" s="1" t="str">
        <f>"C012"</f>
        <v>C012</v>
      </c>
      <c r="E1519" s="1" t="s">
        <v>17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</row>
    <row r="1520" spans="1:11" x14ac:dyDescent="0.2">
      <c r="A1520" s="1" t="s">
        <v>1432</v>
      </c>
      <c r="B1520" s="1" t="s">
        <v>1443</v>
      </c>
      <c r="C1520" s="1" t="str">
        <f>"NE003"</f>
        <v>NE003</v>
      </c>
      <c r="D1520" s="1" t="str">
        <f>"NE003"</f>
        <v>NE003</v>
      </c>
      <c r="E1520" s="1" t="s">
        <v>17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</row>
    <row r="1521" spans="1:11" x14ac:dyDescent="0.2">
      <c r="A1521" s="1" t="s">
        <v>1432</v>
      </c>
      <c r="B1521" s="1" t="s">
        <v>1443</v>
      </c>
      <c r="C1521" s="1" t="str">
        <f>"64651-45F00"</f>
        <v>64651-45F00</v>
      </c>
      <c r="D1521" s="1" t="str">
        <f>"64651-45F00"</f>
        <v>64651-45F00</v>
      </c>
      <c r="E1521" s="1" t="s">
        <v>17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</row>
    <row r="1522" spans="1:11" x14ac:dyDescent="0.2">
      <c r="A1522" s="1" t="s">
        <v>1432</v>
      </c>
      <c r="B1522" s="1" t="s">
        <v>1444</v>
      </c>
      <c r="C1522" s="1" t="str">
        <f>"NE001"</f>
        <v>NE001</v>
      </c>
      <c r="D1522" s="1" t="str">
        <f>"NE001"</f>
        <v>NE001</v>
      </c>
      <c r="E1522" s="1" t="s">
        <v>17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</row>
    <row r="1523" spans="1:11" x14ac:dyDescent="0.2">
      <c r="A1523" s="1" t="s">
        <v>1432</v>
      </c>
      <c r="B1523" s="1" t="s">
        <v>1444</v>
      </c>
      <c r="C1523" s="1" t="str">
        <f>"82444"</f>
        <v>82444</v>
      </c>
      <c r="D1523" s="1" t="str">
        <f>"82444"</f>
        <v>82444</v>
      </c>
      <c r="E1523" s="1" t="s">
        <v>17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</row>
    <row r="1524" spans="1:11" x14ac:dyDescent="0.2">
      <c r="A1524" s="1" t="s">
        <v>1432</v>
      </c>
      <c r="B1524" s="1" t="s">
        <v>1445</v>
      </c>
      <c r="C1524" s="1" t="str">
        <f>"12881"</f>
        <v>12881</v>
      </c>
      <c r="D1524" s="1" t="str">
        <f>"12881"</f>
        <v>12881</v>
      </c>
      <c r="E1524" s="1" t="s">
        <v>17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</row>
    <row r="1525" spans="1:11" x14ac:dyDescent="0.2">
      <c r="A1525" s="1" t="s">
        <v>1432</v>
      </c>
      <c r="B1525" s="1" t="s">
        <v>1446</v>
      </c>
      <c r="C1525" s="1" t="str">
        <f>"11704"</f>
        <v>11704</v>
      </c>
      <c r="D1525" s="1" t="str">
        <f>"11704"</f>
        <v>11704</v>
      </c>
      <c r="E1525" s="1" t="s">
        <v>17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</row>
    <row r="1526" spans="1:11" ht="30" x14ac:dyDescent="0.2">
      <c r="A1526" s="1" t="s">
        <v>1432</v>
      </c>
      <c r="B1526" s="1" t="s">
        <v>1447</v>
      </c>
      <c r="C1526" s="1" t="str">
        <f>"66298843233925"</f>
        <v>66298843233925</v>
      </c>
      <c r="D1526" s="1" t="str">
        <f>"400019"</f>
        <v>400019</v>
      </c>
      <c r="E1526" s="1" t="s">
        <v>17</v>
      </c>
      <c r="F1526" s="1">
        <v>14</v>
      </c>
      <c r="G1526" s="1">
        <v>601</v>
      </c>
      <c r="H1526" s="1">
        <v>8414</v>
      </c>
      <c r="I1526" s="1">
        <v>0</v>
      </c>
      <c r="J1526" s="1">
        <v>14</v>
      </c>
      <c r="K1526" s="1">
        <v>0</v>
      </c>
    </row>
    <row r="1527" spans="1:11" x14ac:dyDescent="0.2">
      <c r="A1527" s="1" t="s">
        <v>1432</v>
      </c>
      <c r="B1527" s="1" t="s">
        <v>1448</v>
      </c>
      <c r="C1527" s="1" t="str">
        <f>"18CC002"</f>
        <v>18CC002</v>
      </c>
      <c r="D1527" s="1" t="str">
        <f>"18CC002"</f>
        <v>18CC002</v>
      </c>
      <c r="E1527" s="1" t="s">
        <v>17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</row>
    <row r="1528" spans="1:11" x14ac:dyDescent="0.2">
      <c r="A1528" s="1" t="s">
        <v>1432</v>
      </c>
      <c r="B1528" s="1" t="s">
        <v>1449</v>
      </c>
      <c r="C1528" s="1" t="str">
        <f>"66298843276252"</f>
        <v>66298843276252</v>
      </c>
      <c r="D1528" s="1" t="str">
        <f>"82327"</f>
        <v>82327</v>
      </c>
      <c r="E1528" s="1" t="s">
        <v>17</v>
      </c>
      <c r="F1528" s="1">
        <v>6</v>
      </c>
      <c r="G1528" s="1">
        <v>1600</v>
      </c>
      <c r="H1528" s="1">
        <v>9600</v>
      </c>
      <c r="I1528" s="1">
        <v>0</v>
      </c>
      <c r="J1528" s="1">
        <v>6</v>
      </c>
      <c r="K1528" s="1">
        <v>0</v>
      </c>
    </row>
    <row r="1529" spans="1:11" x14ac:dyDescent="0.2">
      <c r="A1529" s="1" t="s">
        <v>1432</v>
      </c>
      <c r="B1529" s="1" t="s">
        <v>1450</v>
      </c>
      <c r="C1529" s="1" t="str">
        <f>"66298843320234"</f>
        <v>66298843320234</v>
      </c>
      <c r="D1529" s="1" t="str">
        <f>"400016"</f>
        <v>400016</v>
      </c>
      <c r="E1529" s="1" t="s">
        <v>17</v>
      </c>
      <c r="F1529" s="1">
        <v>1</v>
      </c>
      <c r="G1529" s="1">
        <v>812</v>
      </c>
      <c r="H1529" s="1">
        <v>812</v>
      </c>
      <c r="I1529" s="1">
        <v>0</v>
      </c>
      <c r="J1529" s="1">
        <v>1</v>
      </c>
      <c r="K1529" s="1">
        <v>0</v>
      </c>
    </row>
    <row r="1530" spans="1:11" x14ac:dyDescent="0.2">
      <c r="A1530" s="1" t="s">
        <v>1432</v>
      </c>
      <c r="B1530" s="1" t="s">
        <v>1451</v>
      </c>
      <c r="C1530" s="1" t="str">
        <f>"NE002"</f>
        <v>NE002</v>
      </c>
      <c r="D1530" s="1" t="str">
        <f>"NE002"</f>
        <v>NE002</v>
      </c>
      <c r="E1530" s="1" t="s">
        <v>17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</row>
    <row r="1531" spans="1:11" x14ac:dyDescent="0.2">
      <c r="A1531" s="1" t="s">
        <v>1432</v>
      </c>
      <c r="B1531" s="1" t="s">
        <v>1452</v>
      </c>
      <c r="C1531" s="1" t="str">
        <f>"66298842913216"</f>
        <v>66298842913216</v>
      </c>
      <c r="D1531" s="1" t="str">
        <f>"64651H2C000H000"</f>
        <v>64651H2C000H000</v>
      </c>
      <c r="E1531" s="1" t="s">
        <v>17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</row>
    <row r="1532" spans="1:11" x14ac:dyDescent="0.2">
      <c r="A1532" s="1" t="s">
        <v>1432</v>
      </c>
      <c r="B1532" s="1" t="s">
        <v>1453</v>
      </c>
      <c r="C1532" s="1" t="str">
        <f>"66298842954620"</f>
        <v>66298842954620</v>
      </c>
      <c r="D1532" s="1" t="str">
        <f>"41241-307-010"</f>
        <v>41241-307-010</v>
      </c>
      <c r="E1532" s="1" t="s">
        <v>17</v>
      </c>
      <c r="F1532" s="1">
        <v>2</v>
      </c>
      <c r="G1532" s="1">
        <v>2103</v>
      </c>
      <c r="H1532" s="1">
        <v>4206</v>
      </c>
      <c r="I1532" s="1">
        <v>0</v>
      </c>
      <c r="J1532" s="1">
        <v>2</v>
      </c>
      <c r="K1532" s="1">
        <v>0</v>
      </c>
    </row>
    <row r="1533" spans="1:11" x14ac:dyDescent="0.2">
      <c r="A1533" s="1" t="s">
        <v>1454</v>
      </c>
      <c r="B1533" s="1" t="s">
        <v>1455</v>
      </c>
      <c r="C1533" s="1" t="str">
        <f>"66298843359182"</f>
        <v>66298843359182</v>
      </c>
      <c r="D1533" s="1" t="str">
        <f>"R030-AZUL"</f>
        <v>R030-AZUL</v>
      </c>
      <c r="E1533" s="1" t="s">
        <v>17</v>
      </c>
      <c r="F1533" s="1">
        <v>8</v>
      </c>
      <c r="G1533" s="1">
        <v>2948</v>
      </c>
      <c r="H1533" s="1">
        <v>23584</v>
      </c>
      <c r="I1533" s="1">
        <v>0</v>
      </c>
      <c r="J1533" s="1">
        <v>8</v>
      </c>
      <c r="K1533" s="1">
        <v>0</v>
      </c>
    </row>
    <row r="1534" spans="1:11" x14ac:dyDescent="0.2">
      <c r="A1534" s="1" t="s">
        <v>1454</v>
      </c>
      <c r="B1534" s="1" t="s">
        <v>1456</v>
      </c>
      <c r="C1534" s="1" t="str">
        <f>"66298843401870"</f>
        <v>66298843401870</v>
      </c>
      <c r="D1534" s="1" t="str">
        <f>"R030-NEGRO"</f>
        <v>R030-NEGRO</v>
      </c>
      <c r="E1534" s="1" t="s">
        <v>17</v>
      </c>
      <c r="F1534" s="1">
        <v>4</v>
      </c>
      <c r="G1534" s="1">
        <v>2948</v>
      </c>
      <c r="H1534" s="1">
        <v>11792</v>
      </c>
      <c r="I1534" s="1">
        <v>0</v>
      </c>
      <c r="J1534" s="1">
        <v>4</v>
      </c>
      <c r="K1534" s="1">
        <v>0</v>
      </c>
    </row>
    <row r="1535" spans="1:11" x14ac:dyDescent="0.2">
      <c r="A1535" s="1" t="s">
        <v>1454</v>
      </c>
      <c r="B1535" s="1" t="s">
        <v>1457</v>
      </c>
      <c r="C1535" s="1" t="str">
        <f>"66298843445263"</f>
        <v>66298843445263</v>
      </c>
      <c r="D1535" s="1" t="str">
        <f>"R030-ROJO"</f>
        <v>R030-ROJO</v>
      </c>
      <c r="E1535" s="1" t="s">
        <v>17</v>
      </c>
      <c r="F1535" s="1">
        <v>11</v>
      </c>
      <c r="G1535" s="1">
        <v>2948</v>
      </c>
      <c r="H1535" s="1">
        <v>32428</v>
      </c>
      <c r="I1535" s="1">
        <v>0</v>
      </c>
      <c r="J1535" s="1">
        <v>11</v>
      </c>
      <c r="K1535" s="1">
        <v>0</v>
      </c>
    </row>
    <row r="1536" spans="1:11" x14ac:dyDescent="0.2">
      <c r="A1536" s="1" t="s">
        <v>1454</v>
      </c>
      <c r="B1536" s="1" t="s">
        <v>1458</v>
      </c>
      <c r="C1536" s="1" t="str">
        <f>"66298843487229"</f>
        <v>66298843487229</v>
      </c>
      <c r="D1536" s="1" t="str">
        <f>"Q026"</f>
        <v>Q026</v>
      </c>
      <c r="E1536" s="1" t="s">
        <v>17</v>
      </c>
      <c r="F1536" s="1">
        <v>6</v>
      </c>
      <c r="G1536" s="1">
        <v>1200</v>
      </c>
      <c r="H1536" s="1">
        <v>7200</v>
      </c>
      <c r="I1536" s="1">
        <v>0</v>
      </c>
      <c r="J1536" s="1">
        <v>6</v>
      </c>
      <c r="K1536" s="1">
        <v>0</v>
      </c>
    </row>
    <row r="1537" spans="1:11" x14ac:dyDescent="0.2">
      <c r="A1537" s="1" t="s">
        <v>98</v>
      </c>
      <c r="B1537" s="1" t="s">
        <v>1459</v>
      </c>
      <c r="C1537" s="1" t="str">
        <f>"NE011"</f>
        <v>NE011</v>
      </c>
      <c r="D1537" s="1" t="str">
        <f>"NE011"</f>
        <v>NE011</v>
      </c>
      <c r="E1537" s="1" t="s">
        <v>17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</row>
    <row r="1538" spans="1:11" x14ac:dyDescent="0.2">
      <c r="A1538" s="1" t="s">
        <v>98</v>
      </c>
      <c r="B1538" s="1" t="s">
        <v>1460</v>
      </c>
      <c r="C1538" s="1" t="str">
        <f>"66298843531660"</f>
        <v>66298843531660</v>
      </c>
      <c r="D1538" s="1" t="str">
        <f>"NE005"</f>
        <v>NE005</v>
      </c>
      <c r="E1538" s="1" t="s">
        <v>17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</row>
    <row r="1539" spans="1:11" x14ac:dyDescent="0.2">
      <c r="A1539" s="1" t="s">
        <v>1461</v>
      </c>
      <c r="B1539" s="1" t="s">
        <v>1462</v>
      </c>
      <c r="C1539" s="1" t="str">
        <f>"53004J110000"</f>
        <v>53004J110000</v>
      </c>
      <c r="D1539" s="1" t="str">
        <f>"53004J110000"</f>
        <v>53004J110000</v>
      </c>
      <c r="E1539" s="1" t="s">
        <v>17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 x14ac:dyDescent="0.2">
      <c r="A1540" s="1" t="s">
        <v>98</v>
      </c>
      <c r="B1540" s="1" t="s">
        <v>1463</v>
      </c>
      <c r="C1540" s="1" t="str">
        <f>"66298843575103"</f>
        <v>66298843575103</v>
      </c>
      <c r="D1540" s="1" t="str">
        <f>"JC057-VERDE"</f>
        <v>JC057-VERDE</v>
      </c>
      <c r="E1540" s="1" t="s">
        <v>17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</row>
    <row r="1541" spans="1:11" x14ac:dyDescent="0.2">
      <c r="A1541" s="1" t="s">
        <v>98</v>
      </c>
      <c r="B1541" s="1" t="s">
        <v>1464</v>
      </c>
      <c r="C1541" s="1" t="str">
        <f>"66298843618173"</f>
        <v>66298843618173</v>
      </c>
      <c r="D1541" s="1" t="str">
        <f>"400795"</f>
        <v>400795</v>
      </c>
      <c r="E1541" s="1" t="s">
        <v>17</v>
      </c>
      <c r="F1541" s="1">
        <v>12</v>
      </c>
      <c r="G1541" s="1">
        <v>1029</v>
      </c>
      <c r="H1541" s="1">
        <v>12348</v>
      </c>
      <c r="I1541" s="1">
        <v>0</v>
      </c>
      <c r="J1541" s="1">
        <v>12</v>
      </c>
      <c r="K1541" s="1">
        <v>0</v>
      </c>
    </row>
    <row r="1542" spans="1:11" x14ac:dyDescent="0.2">
      <c r="A1542" s="1" t="s">
        <v>1465</v>
      </c>
      <c r="B1542" s="1" t="s">
        <v>1466</v>
      </c>
      <c r="C1542" s="1" t="str">
        <f>"H104"</f>
        <v>H104</v>
      </c>
      <c r="D1542" s="1" t="str">
        <f>"H104"</f>
        <v>H104</v>
      </c>
      <c r="E1542" s="1" t="s">
        <v>17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</row>
    <row r="1543" spans="1:11" x14ac:dyDescent="0.2">
      <c r="A1543" s="1" t="s">
        <v>102</v>
      </c>
      <c r="B1543" s="1" t="s">
        <v>1467</v>
      </c>
      <c r="C1543" s="1" t="str">
        <f>"66298843659694"</f>
        <v>66298843659694</v>
      </c>
      <c r="D1543" s="1" t="str">
        <f>"H010"</f>
        <v>H010</v>
      </c>
      <c r="E1543" s="1" t="s">
        <v>17</v>
      </c>
      <c r="F1543" s="1">
        <v>1</v>
      </c>
      <c r="G1543" s="1">
        <v>9254</v>
      </c>
      <c r="H1543" s="1">
        <v>9254</v>
      </c>
      <c r="I1543" s="1">
        <v>0</v>
      </c>
      <c r="J1543" s="1">
        <v>1</v>
      </c>
      <c r="K1543" s="1">
        <v>0</v>
      </c>
    </row>
    <row r="1544" spans="1:11" x14ac:dyDescent="0.2">
      <c r="A1544" s="1" t="s">
        <v>1468</v>
      </c>
      <c r="B1544" s="1" t="s">
        <v>1469</v>
      </c>
      <c r="C1544" s="1" t="str">
        <f>"66298843699745"</f>
        <v>66298843699745</v>
      </c>
      <c r="D1544" s="1" t="str">
        <f>"537-16321-00"</f>
        <v>537-16321-00</v>
      </c>
      <c r="E1544" s="1" t="s">
        <v>17</v>
      </c>
      <c r="F1544" s="1">
        <v>5</v>
      </c>
      <c r="G1544" s="1">
        <v>406</v>
      </c>
      <c r="H1544" s="1">
        <v>2030</v>
      </c>
      <c r="I1544" s="1">
        <v>0</v>
      </c>
      <c r="J1544" s="1">
        <v>5</v>
      </c>
      <c r="K1544" s="1">
        <v>0</v>
      </c>
    </row>
    <row r="1545" spans="1:11" x14ac:dyDescent="0.2">
      <c r="A1545" s="1" t="s">
        <v>1468</v>
      </c>
      <c r="B1545" s="1" t="s">
        <v>1470</v>
      </c>
      <c r="C1545" s="1" t="str">
        <f>"66298843739955"</f>
        <v>66298843739955</v>
      </c>
      <c r="D1545" s="1" t="str">
        <f>"22201-KWS-901JP"</f>
        <v>22201-KWS-901JP</v>
      </c>
      <c r="E1545" s="1" t="s">
        <v>17</v>
      </c>
      <c r="F1545" s="1">
        <v>26</v>
      </c>
      <c r="G1545" s="1">
        <v>1021</v>
      </c>
      <c r="H1545" s="1">
        <v>26546</v>
      </c>
      <c r="I1545" s="1">
        <v>0</v>
      </c>
      <c r="J1545" s="1">
        <v>26</v>
      </c>
      <c r="K1545" s="1">
        <v>0</v>
      </c>
    </row>
    <row r="1546" spans="1:11" x14ac:dyDescent="0.2">
      <c r="A1546" s="1" t="s">
        <v>1468</v>
      </c>
      <c r="B1546" s="1" t="s">
        <v>1471</v>
      </c>
      <c r="C1546" s="1" t="str">
        <f>"22201-KPM-850JP"</f>
        <v>22201-KPM-850JP</v>
      </c>
      <c r="D1546" s="1" t="str">
        <f>"22201-KPM-850JP"</f>
        <v>22201-KPM-850JP</v>
      </c>
      <c r="E1546" s="1" t="s">
        <v>17</v>
      </c>
      <c r="F1546" s="1">
        <v>4</v>
      </c>
      <c r="G1546" s="1">
        <v>1042</v>
      </c>
      <c r="H1546" s="1">
        <v>4168</v>
      </c>
      <c r="I1546" s="1">
        <v>0</v>
      </c>
      <c r="J1546" s="1">
        <v>4</v>
      </c>
      <c r="K1546" s="1">
        <v>0</v>
      </c>
    </row>
    <row r="1547" spans="1:11" x14ac:dyDescent="0.2">
      <c r="A1547" s="1" t="s">
        <v>1468</v>
      </c>
      <c r="B1547" s="1" t="s">
        <v>1472</v>
      </c>
      <c r="C1547" s="1" t="str">
        <f>"66298843781215"</f>
        <v>66298843781215</v>
      </c>
      <c r="D1547" s="1" t="str">
        <f>"21V-16321-00JP"</f>
        <v>21V-16321-00JP</v>
      </c>
      <c r="E1547" s="1" t="s">
        <v>17</v>
      </c>
      <c r="F1547" s="1">
        <v>15</v>
      </c>
      <c r="G1547" s="1">
        <v>271</v>
      </c>
      <c r="H1547" s="1">
        <v>4065</v>
      </c>
      <c r="I1547" s="1">
        <v>0</v>
      </c>
      <c r="J1547" s="1">
        <v>15</v>
      </c>
      <c r="K1547" s="1">
        <v>0</v>
      </c>
    </row>
    <row r="1548" spans="1:11" x14ac:dyDescent="0.2">
      <c r="A1548" s="1" t="s">
        <v>1468</v>
      </c>
      <c r="B1548" s="1" t="s">
        <v>1473</v>
      </c>
      <c r="C1548" s="1" t="str">
        <f>"66298843822934"</f>
        <v>66298843822934</v>
      </c>
      <c r="D1548" s="1" t="str">
        <f>"21C-E6321-00"</f>
        <v>21C-E6321-00</v>
      </c>
      <c r="E1548" s="1" t="s">
        <v>17</v>
      </c>
      <c r="F1548" s="1">
        <v>10</v>
      </c>
      <c r="G1548" s="1">
        <v>645</v>
      </c>
      <c r="H1548" s="1">
        <v>6450</v>
      </c>
      <c r="I1548" s="1">
        <v>0</v>
      </c>
      <c r="J1548" s="1">
        <v>10</v>
      </c>
      <c r="K1548" s="1">
        <v>0</v>
      </c>
    </row>
    <row r="1549" spans="1:11" x14ac:dyDescent="0.2">
      <c r="A1549" s="1" t="s">
        <v>1468</v>
      </c>
      <c r="B1549" s="1" t="s">
        <v>1474</v>
      </c>
      <c r="C1549" s="1" t="str">
        <f>"66298843874765"</f>
        <v>66298843874765</v>
      </c>
      <c r="D1549" s="1" t="str">
        <f>"CD001"</f>
        <v>CD001</v>
      </c>
      <c r="E1549" s="1" t="s">
        <v>17</v>
      </c>
      <c r="F1549" s="1">
        <v>25</v>
      </c>
      <c r="G1549" s="1">
        <v>667.66</v>
      </c>
      <c r="H1549" s="1">
        <v>16691</v>
      </c>
      <c r="I1549" s="1">
        <v>0</v>
      </c>
      <c r="J1549" s="1">
        <v>25</v>
      </c>
      <c r="K1549" s="1">
        <v>0</v>
      </c>
    </row>
    <row r="1550" spans="1:11" x14ac:dyDescent="0.2">
      <c r="A1550" s="1" t="s">
        <v>1468</v>
      </c>
      <c r="B1550" s="1" t="s">
        <v>1475</v>
      </c>
      <c r="C1550" s="1" t="str">
        <f>"66298843916781"</f>
        <v>66298843916781</v>
      </c>
      <c r="D1550" s="1" t="str">
        <f>"21441-13A01JP"</f>
        <v>21441-13A01JP</v>
      </c>
      <c r="E1550" s="1" t="s">
        <v>17</v>
      </c>
      <c r="F1550" s="1">
        <v>21</v>
      </c>
      <c r="G1550" s="1">
        <v>329</v>
      </c>
      <c r="H1550" s="1">
        <v>6909</v>
      </c>
      <c r="I1550" s="1">
        <v>0</v>
      </c>
      <c r="J1550" s="1">
        <v>21</v>
      </c>
      <c r="K1550" s="1">
        <v>0</v>
      </c>
    </row>
    <row r="1551" spans="1:11" x14ac:dyDescent="0.2">
      <c r="A1551" s="1" t="s">
        <v>1468</v>
      </c>
      <c r="B1551" s="1" t="s">
        <v>1476</v>
      </c>
      <c r="C1551" s="1" t="str">
        <f>"13088-040JP"</f>
        <v>13088-040JP</v>
      </c>
      <c r="D1551" s="1" t="str">
        <f>"13088-040JP"</f>
        <v>13088-040JP</v>
      </c>
      <c r="E1551" s="1" t="s">
        <v>17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</row>
    <row r="1552" spans="1:11" x14ac:dyDescent="0.2">
      <c r="A1552" s="1" t="s">
        <v>1468</v>
      </c>
      <c r="B1552" s="1" t="s">
        <v>1477</v>
      </c>
      <c r="C1552" s="1" t="str">
        <f>"66298843960464"</f>
        <v>66298843960464</v>
      </c>
      <c r="D1552" s="1" t="str">
        <f>"DH-1014-99"</f>
        <v>DH-1014-99</v>
      </c>
      <c r="E1552" s="1" t="s">
        <v>17</v>
      </c>
      <c r="F1552" s="1">
        <v>17</v>
      </c>
      <c r="G1552" s="1">
        <v>339</v>
      </c>
      <c r="H1552" s="1">
        <v>5763</v>
      </c>
      <c r="I1552" s="1">
        <v>0</v>
      </c>
      <c r="J1552" s="1">
        <v>17</v>
      </c>
      <c r="K1552" s="1">
        <v>0</v>
      </c>
    </row>
    <row r="1553" spans="1:11" x14ac:dyDescent="0.2">
      <c r="A1553" s="1" t="s">
        <v>1468</v>
      </c>
      <c r="B1553" s="1" t="s">
        <v>1478</v>
      </c>
      <c r="C1553" s="1" t="str">
        <f>"66298844002791"</f>
        <v>66298844002791</v>
      </c>
      <c r="D1553" s="1" t="str">
        <f>"22201-MAE-000"</f>
        <v>22201-MAE-000</v>
      </c>
      <c r="E1553" s="1" t="s">
        <v>17</v>
      </c>
      <c r="F1553" s="1">
        <v>2</v>
      </c>
      <c r="G1553" s="1">
        <v>568</v>
      </c>
      <c r="H1553" s="1">
        <v>1136</v>
      </c>
      <c r="I1553" s="1">
        <v>0</v>
      </c>
      <c r="J1553" s="1">
        <v>2</v>
      </c>
      <c r="K1553" s="1">
        <v>0</v>
      </c>
    </row>
    <row r="1554" spans="1:11" x14ac:dyDescent="0.2">
      <c r="A1554" s="1" t="s">
        <v>1468</v>
      </c>
      <c r="B1554" s="1" t="s">
        <v>1479</v>
      </c>
      <c r="C1554" s="1" t="str">
        <f>"66298844055158"</f>
        <v>66298844055158</v>
      </c>
      <c r="D1554" s="1" t="str">
        <f>"22201-302-000"</f>
        <v>22201-302-000</v>
      </c>
      <c r="E1554" s="1" t="s">
        <v>17</v>
      </c>
      <c r="F1554" s="1">
        <v>12</v>
      </c>
      <c r="G1554" s="1">
        <v>136</v>
      </c>
      <c r="H1554" s="1">
        <v>1632</v>
      </c>
      <c r="I1554" s="1">
        <v>0</v>
      </c>
      <c r="J1554" s="1">
        <v>12</v>
      </c>
      <c r="K1554" s="1">
        <v>0</v>
      </c>
    </row>
    <row r="1555" spans="1:11" x14ac:dyDescent="0.2">
      <c r="A1555" s="1" t="s">
        <v>1480</v>
      </c>
      <c r="B1555" s="1" t="s">
        <v>1481</v>
      </c>
      <c r="C1555" s="1" t="str">
        <f>"66298844101542"</f>
        <v>66298844101542</v>
      </c>
      <c r="D1555" s="1" t="str">
        <f>"45121-LGB5-E80JP"</f>
        <v>45121-LGB5-E80JP</v>
      </c>
      <c r="E1555" s="1" t="s">
        <v>17</v>
      </c>
      <c r="F1555" s="1">
        <v>1</v>
      </c>
      <c r="G1555" s="1">
        <v>6851</v>
      </c>
      <c r="H1555" s="1">
        <v>6851</v>
      </c>
      <c r="I1555" s="1">
        <v>0</v>
      </c>
      <c r="J1555" s="1">
        <v>1</v>
      </c>
      <c r="K1555" s="1">
        <v>0</v>
      </c>
    </row>
    <row r="1556" spans="1:11" x14ac:dyDescent="0.2">
      <c r="A1556" s="1" t="s">
        <v>1480</v>
      </c>
      <c r="B1556" s="1" t="s">
        <v>1482</v>
      </c>
      <c r="C1556" s="1" t="str">
        <f>"66298844149237"</f>
        <v>66298844149237</v>
      </c>
      <c r="D1556" s="1" t="str">
        <f>"XN-12000-000JP"</f>
        <v>XN-12000-000JP</v>
      </c>
      <c r="E1556" s="1" t="s">
        <v>17</v>
      </c>
      <c r="F1556" s="1">
        <v>3</v>
      </c>
      <c r="G1556" s="1">
        <v>9377</v>
      </c>
      <c r="H1556" s="1">
        <v>28131</v>
      </c>
      <c r="I1556" s="1">
        <v>0</v>
      </c>
      <c r="J1556" s="1">
        <v>3</v>
      </c>
      <c r="K1556" s="1">
        <v>0</v>
      </c>
    </row>
    <row r="1557" spans="1:11" x14ac:dyDescent="0.2">
      <c r="A1557" s="1" t="s">
        <v>1480</v>
      </c>
      <c r="B1557" s="1" t="s">
        <v>1483</v>
      </c>
      <c r="C1557" s="1" t="str">
        <f>"66298844202134"</f>
        <v>66298844202134</v>
      </c>
      <c r="D1557" s="1" t="str">
        <f>"XM-12000-000"</f>
        <v>XM-12000-000</v>
      </c>
      <c r="E1557" s="1" t="s">
        <v>17</v>
      </c>
      <c r="F1557" s="1">
        <v>4</v>
      </c>
      <c r="G1557" s="1">
        <v>11127</v>
      </c>
      <c r="H1557" s="1">
        <v>44508</v>
      </c>
      <c r="I1557" s="1">
        <v>0</v>
      </c>
      <c r="J1557" s="1">
        <v>4</v>
      </c>
      <c r="K1557" s="1">
        <v>0</v>
      </c>
    </row>
    <row r="1558" spans="1:11" x14ac:dyDescent="0.2">
      <c r="A1558" s="1" t="s">
        <v>1480</v>
      </c>
      <c r="B1558" s="1" t="s">
        <v>1484</v>
      </c>
      <c r="C1558" s="1" t="str">
        <f>"66298844353852"</f>
        <v>66298844353852</v>
      </c>
      <c r="D1558" s="1" t="str">
        <f>"PP-12000-000JP"</f>
        <v>PP-12000-000JP</v>
      </c>
      <c r="E1558" s="1" t="s">
        <v>17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</row>
    <row r="1559" spans="1:11" x14ac:dyDescent="0.2">
      <c r="A1559" s="1" t="s">
        <v>1480</v>
      </c>
      <c r="B1559" s="1" t="s">
        <v>1485</v>
      </c>
      <c r="C1559" s="1" t="str">
        <f>"2395"</f>
        <v>2395</v>
      </c>
      <c r="D1559" s="1" t="str">
        <f>"2395"</f>
        <v>2395</v>
      </c>
      <c r="E1559" s="1" t="s">
        <v>17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</row>
    <row r="1560" spans="1:11" ht="30" x14ac:dyDescent="0.2">
      <c r="A1560" s="1" t="s">
        <v>1480</v>
      </c>
      <c r="B1560" s="1" t="s">
        <v>1486</v>
      </c>
      <c r="C1560" s="1" t="str">
        <f>"66298844535747"</f>
        <v>66298844535747</v>
      </c>
      <c r="D1560" s="1" t="str">
        <f>"JW-1318-06"</f>
        <v>JW-1318-06</v>
      </c>
      <c r="E1560" s="1" t="s">
        <v>17</v>
      </c>
      <c r="F1560" s="1">
        <v>3</v>
      </c>
      <c r="G1560" s="1">
        <v>7787</v>
      </c>
      <c r="H1560" s="1">
        <v>23361</v>
      </c>
      <c r="I1560" s="1">
        <v>0</v>
      </c>
      <c r="J1560" s="1">
        <v>3</v>
      </c>
      <c r="K1560" s="1">
        <v>0</v>
      </c>
    </row>
    <row r="1561" spans="1:11" x14ac:dyDescent="0.2">
      <c r="A1561" s="1" t="s">
        <v>1480</v>
      </c>
      <c r="B1561" s="1" t="s">
        <v>1487</v>
      </c>
      <c r="C1561" s="1" t="str">
        <f>"5S9-F582U-00JP"</f>
        <v>5S9-F582U-00JP</v>
      </c>
      <c r="D1561" s="1" t="str">
        <f>"5S9-F582U-00JP"</f>
        <v>5S9-F582U-00JP</v>
      </c>
      <c r="E1561" s="1" t="s">
        <v>17</v>
      </c>
      <c r="F1561" s="1">
        <v>1</v>
      </c>
      <c r="G1561" s="1">
        <v>11001</v>
      </c>
      <c r="H1561" s="1">
        <v>11001</v>
      </c>
      <c r="I1561" s="1">
        <v>0</v>
      </c>
      <c r="J1561" s="1">
        <v>1</v>
      </c>
      <c r="K1561" s="1">
        <v>0</v>
      </c>
    </row>
    <row r="1562" spans="1:11" ht="30" x14ac:dyDescent="0.2">
      <c r="A1562" s="1" t="s">
        <v>1480</v>
      </c>
      <c r="B1562" s="1" t="s">
        <v>1488</v>
      </c>
      <c r="C1562" s="1" t="str">
        <f>"NA047"</f>
        <v>NA047</v>
      </c>
      <c r="D1562" s="1" t="str">
        <f>"NA047"</f>
        <v>NA047</v>
      </c>
      <c r="E1562" s="1" t="s">
        <v>17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</row>
    <row r="1563" spans="1:11" x14ac:dyDescent="0.2">
      <c r="A1563" s="1" t="s">
        <v>1480</v>
      </c>
      <c r="B1563" s="1" t="s">
        <v>1489</v>
      </c>
      <c r="C1563" s="1" t="str">
        <f>"66298844396713"</f>
        <v>66298844396713</v>
      </c>
      <c r="D1563" s="1" t="str">
        <f>"45251-K43-901JP"</f>
        <v>45251-K43-901JP</v>
      </c>
      <c r="E1563" s="1" t="s">
        <v>17</v>
      </c>
      <c r="F1563" s="1">
        <v>1</v>
      </c>
      <c r="G1563" s="1">
        <v>15830</v>
      </c>
      <c r="H1563" s="1">
        <v>15830</v>
      </c>
      <c r="I1563" s="1">
        <v>0</v>
      </c>
      <c r="J1563" s="1">
        <v>1</v>
      </c>
      <c r="K1563" s="1">
        <v>0</v>
      </c>
    </row>
    <row r="1564" spans="1:11" x14ac:dyDescent="0.2">
      <c r="A1564" s="1" t="s">
        <v>1480</v>
      </c>
      <c r="B1564" s="1" t="s">
        <v>1490</v>
      </c>
      <c r="C1564" s="1" t="str">
        <f>"2950"</f>
        <v>2950</v>
      </c>
      <c r="D1564" s="1" t="str">
        <f>"2950"</f>
        <v>2950</v>
      </c>
      <c r="E1564" s="1" t="s">
        <v>17</v>
      </c>
      <c r="F1564" s="1">
        <v>3</v>
      </c>
      <c r="G1564" s="1">
        <v>17944.54</v>
      </c>
      <c r="H1564" s="1">
        <v>53834</v>
      </c>
      <c r="I1564" s="1">
        <v>0</v>
      </c>
      <c r="J1564" s="1">
        <v>3</v>
      </c>
      <c r="K1564" s="1">
        <v>0</v>
      </c>
    </row>
    <row r="1565" spans="1:11" x14ac:dyDescent="0.2">
      <c r="A1565" s="1" t="s">
        <v>1480</v>
      </c>
      <c r="B1565" s="1" t="s">
        <v>1491</v>
      </c>
      <c r="C1565" s="1" t="str">
        <f>"66298844442947"</f>
        <v>66298844442947</v>
      </c>
      <c r="D1565" s="1" t="str">
        <f>"45251-K70-601JP"</f>
        <v>45251-K70-601JP</v>
      </c>
      <c r="E1565" s="1" t="s">
        <v>17</v>
      </c>
      <c r="F1565" s="1">
        <v>4</v>
      </c>
      <c r="G1565" s="1">
        <v>37523</v>
      </c>
      <c r="H1565" s="1">
        <v>150092</v>
      </c>
      <c r="I1565" s="1">
        <v>0</v>
      </c>
      <c r="J1565" s="1">
        <v>4</v>
      </c>
      <c r="K1565" s="1">
        <v>0</v>
      </c>
    </row>
    <row r="1566" spans="1:11" ht="30" x14ac:dyDescent="0.2">
      <c r="A1566" s="1" t="s">
        <v>1480</v>
      </c>
      <c r="B1566" s="1" t="s">
        <v>1492</v>
      </c>
      <c r="C1566" s="1" t="str">
        <f>"45251-KSP-861JP"</f>
        <v>45251-KSP-861JP</v>
      </c>
      <c r="D1566" s="1" t="str">
        <f>"45251-KSP-861JP"</f>
        <v>45251-KSP-861JP</v>
      </c>
      <c r="E1566" s="1" t="s">
        <v>17</v>
      </c>
      <c r="F1566" s="1">
        <v>1</v>
      </c>
      <c r="G1566" s="1">
        <v>12872</v>
      </c>
      <c r="H1566" s="1">
        <v>12872</v>
      </c>
      <c r="I1566" s="1">
        <v>0</v>
      </c>
      <c r="J1566" s="1">
        <v>1</v>
      </c>
      <c r="K1566" s="1">
        <v>0</v>
      </c>
    </row>
    <row r="1567" spans="1:11" x14ac:dyDescent="0.2">
      <c r="A1567" s="1" t="s">
        <v>1480</v>
      </c>
      <c r="B1567" s="1" t="s">
        <v>1493</v>
      </c>
      <c r="C1567" s="1" t="str">
        <f>"66298844486648"</f>
        <v>66298844486648</v>
      </c>
      <c r="D1567" s="1" t="str">
        <f>"45120-KYJ-711JP"</f>
        <v>45120-KYJ-711JP</v>
      </c>
      <c r="E1567" s="1" t="s">
        <v>17</v>
      </c>
      <c r="F1567" s="1">
        <v>2</v>
      </c>
      <c r="G1567" s="1">
        <v>46697</v>
      </c>
      <c r="H1567" s="1">
        <v>93394</v>
      </c>
      <c r="I1567" s="1">
        <v>0</v>
      </c>
      <c r="J1567" s="1">
        <v>2</v>
      </c>
      <c r="K1567" s="1">
        <v>0</v>
      </c>
    </row>
    <row r="1568" spans="1:11" x14ac:dyDescent="0.2">
      <c r="A1568" s="1" t="s">
        <v>1480</v>
      </c>
      <c r="B1568" s="1" t="s">
        <v>1494</v>
      </c>
      <c r="C1568" s="1" t="str">
        <f>"66298844581629"</f>
        <v>66298844581629</v>
      </c>
      <c r="D1568" s="1" t="str">
        <f>"59221-13A01JP"</f>
        <v>59221-13A01JP</v>
      </c>
      <c r="E1568" s="1" t="s">
        <v>17</v>
      </c>
      <c r="F1568" s="1">
        <v>1</v>
      </c>
      <c r="G1568" s="1">
        <v>17023</v>
      </c>
      <c r="H1568" s="1">
        <v>17023</v>
      </c>
      <c r="I1568" s="1">
        <v>0</v>
      </c>
      <c r="J1568" s="1">
        <v>1</v>
      </c>
      <c r="K1568" s="1">
        <v>0</v>
      </c>
    </row>
    <row r="1569" spans="1:11" x14ac:dyDescent="0.2">
      <c r="A1569" s="1" t="s">
        <v>1480</v>
      </c>
      <c r="B1569" s="1" t="s">
        <v>1495</v>
      </c>
      <c r="C1569" s="1" t="str">
        <f>"66298844624475"</f>
        <v>66298844624475</v>
      </c>
      <c r="D1569" s="1" t="str">
        <f>"59220-32E00JP"</f>
        <v>59220-32E00JP</v>
      </c>
      <c r="E1569" s="1" t="s">
        <v>17</v>
      </c>
      <c r="F1569" s="1">
        <v>1</v>
      </c>
      <c r="G1569" s="1">
        <v>52101</v>
      </c>
      <c r="H1569" s="1">
        <v>52101</v>
      </c>
      <c r="I1569" s="1">
        <v>0</v>
      </c>
      <c r="J1569" s="1">
        <v>1</v>
      </c>
      <c r="K1569" s="1">
        <v>0</v>
      </c>
    </row>
    <row r="1570" spans="1:11" x14ac:dyDescent="0.2">
      <c r="A1570" s="1" t="s">
        <v>1480</v>
      </c>
      <c r="B1570" s="1" t="s">
        <v>1496</v>
      </c>
      <c r="C1570" s="1" t="str">
        <f>"66298844662074"</f>
        <v>66298844662074</v>
      </c>
      <c r="D1570" s="1" t="str">
        <f>"B06080001"</f>
        <v>B06080001</v>
      </c>
      <c r="E1570" s="1" t="s">
        <v>17</v>
      </c>
      <c r="F1570" s="1">
        <v>1</v>
      </c>
      <c r="G1570" s="1">
        <v>30037</v>
      </c>
      <c r="H1570" s="1">
        <v>30037</v>
      </c>
      <c r="I1570" s="1">
        <v>0</v>
      </c>
      <c r="J1570" s="1">
        <v>1</v>
      </c>
      <c r="K1570" s="1">
        <v>0</v>
      </c>
    </row>
    <row r="1571" spans="1:11" x14ac:dyDescent="0.2">
      <c r="A1571" s="1" t="s">
        <v>1480</v>
      </c>
      <c r="B1571" s="1" t="s">
        <v>1497</v>
      </c>
      <c r="C1571" s="1" t="str">
        <f>"66298844700789"</f>
        <v>66298844700789</v>
      </c>
      <c r="D1571" s="1" t="str">
        <f>"90109060000"</f>
        <v>90109060000</v>
      </c>
      <c r="E1571" s="1" t="s">
        <v>17</v>
      </c>
      <c r="F1571" s="1">
        <v>6</v>
      </c>
      <c r="G1571" s="1">
        <v>21865</v>
      </c>
      <c r="H1571" s="1">
        <v>131190</v>
      </c>
      <c r="I1571" s="1">
        <v>0</v>
      </c>
      <c r="J1571" s="1">
        <v>6</v>
      </c>
      <c r="K1571" s="1">
        <v>0</v>
      </c>
    </row>
    <row r="1572" spans="1:11" x14ac:dyDescent="0.2">
      <c r="A1572" s="1" t="s">
        <v>1480</v>
      </c>
      <c r="B1572" s="1" t="s">
        <v>1498</v>
      </c>
      <c r="C1572" s="1" t="str">
        <f>"66298844742649"</f>
        <v>66298844742649</v>
      </c>
      <c r="D1572" s="1" t="str">
        <f>"NA002"</f>
        <v>NA002</v>
      </c>
      <c r="E1572" s="1" t="s">
        <v>17</v>
      </c>
      <c r="F1572" s="1">
        <v>1</v>
      </c>
      <c r="G1572" s="1">
        <v>6538</v>
      </c>
      <c r="H1572" s="1">
        <v>6538</v>
      </c>
      <c r="I1572" s="1">
        <v>0</v>
      </c>
      <c r="J1572" s="1">
        <v>1</v>
      </c>
      <c r="K1572" s="1">
        <v>0</v>
      </c>
    </row>
    <row r="1573" spans="1:11" x14ac:dyDescent="0.2">
      <c r="A1573" s="1" t="s">
        <v>1480</v>
      </c>
      <c r="B1573" s="1" t="s">
        <v>1499</v>
      </c>
      <c r="C1573" s="1" t="str">
        <f>"21C-F582U-00JP"</f>
        <v>21C-F582U-00JP</v>
      </c>
      <c r="D1573" s="1" t="str">
        <f>"21C-F582U-00JP"</f>
        <v>21C-F582U-00JP</v>
      </c>
      <c r="E1573" s="1" t="s">
        <v>17</v>
      </c>
      <c r="F1573" s="1">
        <v>3</v>
      </c>
      <c r="G1573" s="1">
        <v>12331.33</v>
      </c>
      <c r="H1573" s="1">
        <v>36994</v>
      </c>
      <c r="I1573" s="1">
        <v>0</v>
      </c>
      <c r="J1573" s="1">
        <v>3</v>
      </c>
      <c r="K1573" s="1">
        <v>0</v>
      </c>
    </row>
    <row r="1574" spans="1:11" x14ac:dyDescent="0.2">
      <c r="A1574" s="1" t="s">
        <v>1480</v>
      </c>
      <c r="B1574" s="1" t="s">
        <v>1500</v>
      </c>
      <c r="C1574" s="1" t="str">
        <f>"66298844782407"</f>
        <v>66298844782407</v>
      </c>
      <c r="D1574" s="1" t="str">
        <f>"400520"</f>
        <v>400520</v>
      </c>
      <c r="E1574" s="1" t="s">
        <v>17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</row>
    <row r="1575" spans="1:11" x14ac:dyDescent="0.2">
      <c r="A1575" s="1" t="s">
        <v>1480</v>
      </c>
      <c r="B1575" s="1" t="s">
        <v>1501</v>
      </c>
      <c r="C1575" s="1" t="str">
        <f>"66298844823320"</f>
        <v>66298844823320</v>
      </c>
      <c r="D1575" s="1" t="str">
        <f>"85023"</f>
        <v>85023</v>
      </c>
      <c r="E1575" s="1" t="s">
        <v>17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</row>
    <row r="1576" spans="1:11" x14ac:dyDescent="0.2">
      <c r="A1576" s="1" t="s">
        <v>1480</v>
      </c>
      <c r="B1576" s="1" t="s">
        <v>1502</v>
      </c>
      <c r="C1576" s="1" t="str">
        <f>"B20501528O"</f>
        <v>B20501528O</v>
      </c>
      <c r="D1576" s="1" t="str">
        <f>"B20501528O"</f>
        <v>B20501528O</v>
      </c>
      <c r="E1576" s="1" t="s">
        <v>17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</row>
    <row r="1577" spans="1:11" x14ac:dyDescent="0.2">
      <c r="A1577" s="1" t="s">
        <v>1480</v>
      </c>
      <c r="B1577" s="1" t="s">
        <v>1502</v>
      </c>
      <c r="C1577" s="1" t="str">
        <f>"12187"</f>
        <v>12187</v>
      </c>
      <c r="D1577" s="1" t="str">
        <f>"12187"</f>
        <v>12187</v>
      </c>
      <c r="E1577" s="1" t="s">
        <v>17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 x14ac:dyDescent="0.2">
      <c r="A1578" s="1" t="s">
        <v>1480</v>
      </c>
      <c r="B1578" s="1" t="s">
        <v>1503</v>
      </c>
      <c r="C1578" s="1" t="str">
        <f>"59211-34J20-000"</f>
        <v>59211-34J20-000</v>
      </c>
      <c r="D1578" s="1" t="str">
        <f>"59211-34J20-000"</f>
        <v>59211-34J20-000</v>
      </c>
      <c r="E1578" s="1" t="s">
        <v>17</v>
      </c>
      <c r="F1578" s="1">
        <v>2</v>
      </c>
      <c r="G1578" s="1">
        <v>19254</v>
      </c>
      <c r="H1578" s="1">
        <v>38508</v>
      </c>
      <c r="I1578" s="1">
        <v>0</v>
      </c>
      <c r="J1578" s="1">
        <v>2</v>
      </c>
      <c r="K1578" s="1">
        <v>0</v>
      </c>
    </row>
    <row r="1579" spans="1:11" x14ac:dyDescent="0.2">
      <c r="A1579" s="1" t="s">
        <v>1480</v>
      </c>
      <c r="B1579" s="1" t="s">
        <v>1504</v>
      </c>
      <c r="C1579" s="1" t="str">
        <f>"66298844865149"</f>
        <v>66298844865149</v>
      </c>
      <c r="D1579" s="1" t="str">
        <f>"NA003"</f>
        <v>NA003</v>
      </c>
      <c r="E1579" s="1" t="s">
        <v>17</v>
      </c>
      <c r="F1579" s="1">
        <v>2</v>
      </c>
      <c r="G1579" s="1">
        <v>6501</v>
      </c>
      <c r="H1579" s="1">
        <v>13002</v>
      </c>
      <c r="I1579" s="1">
        <v>0</v>
      </c>
      <c r="J1579" s="1">
        <v>2</v>
      </c>
      <c r="K1579" s="1">
        <v>0</v>
      </c>
    </row>
    <row r="1580" spans="1:11" x14ac:dyDescent="0.2">
      <c r="A1580" s="1" t="s">
        <v>1480</v>
      </c>
      <c r="B1580" s="1" t="s">
        <v>1505</v>
      </c>
      <c r="C1580" s="1" t="str">
        <f>"66298844909234"</f>
        <v>66298844909234</v>
      </c>
      <c r="D1580" s="1" t="str">
        <f>"59211-05500JP"</f>
        <v>59211-05500JP</v>
      </c>
      <c r="E1580" s="1" t="s">
        <v>17</v>
      </c>
      <c r="F1580" s="1">
        <v>1</v>
      </c>
      <c r="G1580" s="1">
        <v>9696</v>
      </c>
      <c r="H1580" s="1">
        <v>9696</v>
      </c>
      <c r="I1580" s="1">
        <v>0</v>
      </c>
      <c r="J1580" s="1">
        <v>1</v>
      </c>
      <c r="K1580" s="1">
        <v>0</v>
      </c>
    </row>
    <row r="1581" spans="1:11" x14ac:dyDescent="0.2">
      <c r="A1581" s="1" t="s">
        <v>1480</v>
      </c>
      <c r="B1581" s="1" t="s">
        <v>1505</v>
      </c>
      <c r="C1581" s="1" t="str">
        <f>"66298844914847"</f>
        <v>66298844914847</v>
      </c>
      <c r="D1581" s="1" t="str">
        <f>"EVO-12000-000JP"</f>
        <v>EVO-12000-000JP</v>
      </c>
      <c r="E1581" s="1" t="s">
        <v>17</v>
      </c>
      <c r="F1581" s="1">
        <v>9</v>
      </c>
      <c r="G1581" s="1">
        <v>8870</v>
      </c>
      <c r="H1581" s="1">
        <v>79830</v>
      </c>
      <c r="I1581" s="1">
        <v>0</v>
      </c>
      <c r="J1581" s="1">
        <v>9</v>
      </c>
      <c r="K1581" s="1">
        <v>0</v>
      </c>
    </row>
    <row r="1582" spans="1:11" ht="30" x14ac:dyDescent="0.2">
      <c r="A1582" s="1" t="s">
        <v>1480</v>
      </c>
      <c r="B1582" s="1" t="s">
        <v>1506</v>
      </c>
      <c r="C1582" s="1" t="str">
        <f>"66298844968472"</f>
        <v>66298844968472</v>
      </c>
      <c r="D1582" s="1" t="str">
        <f>"400523"</f>
        <v>400523</v>
      </c>
      <c r="E1582" s="1" t="s">
        <v>17</v>
      </c>
      <c r="F1582" s="1">
        <v>5</v>
      </c>
      <c r="G1582" s="1">
        <v>4585</v>
      </c>
      <c r="H1582" s="1">
        <v>22925</v>
      </c>
      <c r="I1582" s="1">
        <v>0</v>
      </c>
      <c r="J1582" s="1">
        <v>5</v>
      </c>
      <c r="K1582" s="1">
        <v>0</v>
      </c>
    </row>
    <row r="1583" spans="1:11" x14ac:dyDescent="0.2">
      <c r="A1583" s="1" t="s">
        <v>1480</v>
      </c>
      <c r="B1583" s="1" t="s">
        <v>1507</v>
      </c>
      <c r="C1583" s="1" t="str">
        <f>"66298845007697"</f>
        <v>66298845007697</v>
      </c>
      <c r="D1583" s="1" t="str">
        <f>"400554"</f>
        <v>400554</v>
      </c>
      <c r="E1583" s="1" t="s">
        <v>17</v>
      </c>
      <c r="F1583" s="1">
        <v>6</v>
      </c>
      <c r="G1583" s="1">
        <v>5383</v>
      </c>
      <c r="H1583" s="1">
        <v>32298</v>
      </c>
      <c r="I1583" s="1">
        <v>0</v>
      </c>
      <c r="J1583" s="1">
        <v>6</v>
      </c>
      <c r="K1583" s="1">
        <v>0</v>
      </c>
    </row>
    <row r="1584" spans="1:11" x14ac:dyDescent="0.2">
      <c r="A1584" s="1" t="s">
        <v>1480</v>
      </c>
      <c r="B1584" s="1" t="s">
        <v>1508</v>
      </c>
      <c r="C1584" s="1" t="str">
        <f>"66298845049938"</f>
        <v>66298845049938</v>
      </c>
      <c r="D1584" s="1" t="str">
        <f>"E200"</f>
        <v>E200</v>
      </c>
      <c r="E1584" s="1" t="s">
        <v>17</v>
      </c>
      <c r="F1584" s="1">
        <v>1</v>
      </c>
      <c r="G1584" s="1">
        <v>9390</v>
      </c>
      <c r="H1584" s="1">
        <v>9390</v>
      </c>
      <c r="I1584" s="1">
        <v>0</v>
      </c>
      <c r="J1584" s="1">
        <v>1</v>
      </c>
      <c r="K1584" s="1">
        <v>0</v>
      </c>
    </row>
    <row r="1585" spans="1:11" x14ac:dyDescent="0.2">
      <c r="A1585" s="1" t="s">
        <v>1480</v>
      </c>
      <c r="B1585" s="1" t="s">
        <v>1509</v>
      </c>
      <c r="C1585" s="1" t="str">
        <f>"66298845091496"</f>
        <v>66298845091496</v>
      </c>
      <c r="D1585" s="1" t="str">
        <f>"NE-12000-000JP"</f>
        <v>NE-12000-000JP</v>
      </c>
      <c r="E1585" s="1" t="s">
        <v>17</v>
      </c>
      <c r="F1585" s="1">
        <v>4</v>
      </c>
      <c r="G1585" s="1">
        <v>7119</v>
      </c>
      <c r="H1585" s="1">
        <v>28476</v>
      </c>
      <c r="I1585" s="1">
        <v>0</v>
      </c>
      <c r="J1585" s="1">
        <v>4</v>
      </c>
      <c r="K1585" s="1">
        <v>0</v>
      </c>
    </row>
    <row r="1586" spans="1:11" x14ac:dyDescent="0.2">
      <c r="A1586" s="1" t="s">
        <v>1480</v>
      </c>
      <c r="B1586" s="1" t="s">
        <v>1510</v>
      </c>
      <c r="C1586" s="1" t="str">
        <f>"59211H2C000H504"</f>
        <v>59211H2C000H504</v>
      </c>
      <c r="D1586" s="1" t="str">
        <f>"59211H2C000H504"</f>
        <v>59211H2C000H504</v>
      </c>
      <c r="E1586" s="1" t="s">
        <v>17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</row>
    <row r="1587" spans="1:11" x14ac:dyDescent="0.2">
      <c r="A1587" s="1" t="s">
        <v>1480</v>
      </c>
      <c r="B1587" s="1" t="s">
        <v>1511</v>
      </c>
      <c r="C1587" s="1" t="str">
        <f>"66298844312197"</f>
        <v>66298844312197</v>
      </c>
      <c r="D1587" s="1" t="str">
        <f>"291420165-0001JP"</f>
        <v>291420165-0001JP</v>
      </c>
      <c r="E1587" s="1" t="s">
        <v>17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</row>
    <row r="1588" spans="1:11" x14ac:dyDescent="0.2">
      <c r="A1588" s="1" t="s">
        <v>1480</v>
      </c>
      <c r="B1588" s="1" t="s">
        <v>1512</v>
      </c>
      <c r="C1588" s="1" t="str">
        <f>"66298844266518"</f>
        <v>66298844266518</v>
      </c>
      <c r="D1588" s="1" t="str">
        <f>"SM-12000-000"</f>
        <v>SM-12000-000</v>
      </c>
      <c r="E1588" s="1" t="s">
        <v>17</v>
      </c>
      <c r="F1588" s="1">
        <v>4</v>
      </c>
      <c r="G1588" s="1">
        <v>8105</v>
      </c>
      <c r="H1588" s="1">
        <v>32420</v>
      </c>
      <c r="I1588" s="1">
        <v>0</v>
      </c>
      <c r="J1588" s="1">
        <v>4</v>
      </c>
      <c r="K1588" s="1">
        <v>0</v>
      </c>
    </row>
    <row r="1589" spans="1:11" ht="30" x14ac:dyDescent="0.2">
      <c r="A1589" s="1" t="s">
        <v>1480</v>
      </c>
      <c r="B1589" s="1" t="s">
        <v>1513</v>
      </c>
      <c r="C1589" s="1" t="str">
        <f>"66298845395898"</f>
        <v>66298845395898</v>
      </c>
      <c r="D1589" s="1" t="str">
        <f>"N9111890"</f>
        <v>N9111890</v>
      </c>
      <c r="E1589" s="1" t="s">
        <v>17</v>
      </c>
      <c r="F1589" s="1">
        <v>1</v>
      </c>
      <c r="G1589" s="1">
        <v>18036</v>
      </c>
      <c r="H1589" s="1">
        <v>18036</v>
      </c>
      <c r="I1589" s="1">
        <v>0</v>
      </c>
      <c r="J1589" s="1">
        <v>1</v>
      </c>
      <c r="K1589" s="1">
        <v>0</v>
      </c>
    </row>
    <row r="1590" spans="1:11" x14ac:dyDescent="0.2">
      <c r="A1590" s="1" t="s">
        <v>1480</v>
      </c>
      <c r="B1590" s="1" t="s">
        <v>1514</v>
      </c>
      <c r="C1590" s="1" t="str">
        <f>"66298845127841"</f>
        <v>66298845127841</v>
      </c>
      <c r="D1590" s="1" t="str">
        <f>"45121-LBA8-C11JP"</f>
        <v>45121-LBA8-C11JP</v>
      </c>
      <c r="E1590" s="1" t="s">
        <v>17</v>
      </c>
      <c r="F1590" s="1">
        <v>2</v>
      </c>
      <c r="G1590" s="1">
        <v>6494</v>
      </c>
      <c r="H1590" s="1">
        <v>12988</v>
      </c>
      <c r="I1590" s="1">
        <v>0</v>
      </c>
      <c r="J1590" s="1">
        <v>2</v>
      </c>
      <c r="K1590" s="1">
        <v>0</v>
      </c>
    </row>
    <row r="1591" spans="1:11" x14ac:dyDescent="0.2">
      <c r="A1591" s="1" t="s">
        <v>1480</v>
      </c>
      <c r="B1591" s="1" t="s">
        <v>1515</v>
      </c>
      <c r="C1591" s="1" t="str">
        <f>"66298845165438"</f>
        <v>66298845165438</v>
      </c>
      <c r="D1591" s="1" t="str">
        <f>"41080-0578-11H"</f>
        <v>41080-0578-11H</v>
      </c>
      <c r="E1591" s="1" t="s">
        <v>17</v>
      </c>
      <c r="F1591" s="1">
        <v>1</v>
      </c>
      <c r="G1591" s="1">
        <v>22143</v>
      </c>
      <c r="H1591" s="1">
        <v>22143</v>
      </c>
      <c r="I1591" s="1">
        <v>0</v>
      </c>
      <c r="J1591" s="1">
        <v>1</v>
      </c>
      <c r="K1591" s="1">
        <v>0</v>
      </c>
    </row>
    <row r="1592" spans="1:11" ht="30" x14ac:dyDescent="0.2">
      <c r="A1592" s="1" t="s">
        <v>1480</v>
      </c>
      <c r="B1592" s="1" t="s">
        <v>1516</v>
      </c>
      <c r="C1592" s="1" t="str">
        <f>"66298845210181"</f>
        <v>66298845210181</v>
      </c>
      <c r="D1592" s="1" t="str">
        <f>"400517"</f>
        <v>400517</v>
      </c>
      <c r="E1592" s="1" t="s">
        <v>17</v>
      </c>
      <c r="F1592" s="1">
        <v>3</v>
      </c>
      <c r="G1592" s="1">
        <v>5354</v>
      </c>
      <c r="H1592" s="1">
        <v>16062</v>
      </c>
      <c r="I1592" s="1">
        <v>0</v>
      </c>
      <c r="J1592" s="1">
        <v>3</v>
      </c>
      <c r="K1592" s="1">
        <v>0</v>
      </c>
    </row>
    <row r="1593" spans="1:11" x14ac:dyDescent="0.2">
      <c r="A1593" s="1" t="s">
        <v>1480</v>
      </c>
      <c r="B1593" s="1" t="s">
        <v>1517</v>
      </c>
      <c r="C1593" s="1" t="str">
        <f>"66298845251643"</f>
        <v>66298845251643</v>
      </c>
      <c r="D1593" s="1" t="str">
        <f>"NA007"</f>
        <v>NA007</v>
      </c>
      <c r="E1593" s="1" t="s">
        <v>17</v>
      </c>
      <c r="F1593" s="1">
        <v>1</v>
      </c>
      <c r="G1593" s="1">
        <v>7254</v>
      </c>
      <c r="H1593" s="1">
        <v>7254</v>
      </c>
      <c r="I1593" s="1">
        <v>0</v>
      </c>
      <c r="J1593" s="1">
        <v>1</v>
      </c>
      <c r="K1593" s="1">
        <v>0</v>
      </c>
    </row>
    <row r="1594" spans="1:11" ht="30" x14ac:dyDescent="0.2">
      <c r="A1594" s="1" t="s">
        <v>1480</v>
      </c>
      <c r="B1594" s="1" t="s">
        <v>1518</v>
      </c>
      <c r="C1594" s="1" t="str">
        <f>"JD-1318-10"</f>
        <v>JD-1318-10</v>
      </c>
      <c r="D1594" s="1" t="str">
        <f>"JD-1318-10"</f>
        <v>JD-1318-10</v>
      </c>
      <c r="E1594" s="1" t="s">
        <v>17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</row>
    <row r="1595" spans="1:11" x14ac:dyDescent="0.2">
      <c r="A1595" s="1" t="s">
        <v>1480</v>
      </c>
      <c r="B1595" s="1" t="s">
        <v>1519</v>
      </c>
      <c r="C1595" s="1" t="str">
        <f>"12666"</f>
        <v>12666</v>
      </c>
      <c r="D1595" s="1" t="str">
        <f>"12666"</f>
        <v>12666</v>
      </c>
      <c r="E1595" s="1" t="s">
        <v>17</v>
      </c>
      <c r="F1595" s="1">
        <v>3</v>
      </c>
      <c r="G1595" s="1">
        <v>15075.63</v>
      </c>
      <c r="H1595" s="1">
        <v>45227</v>
      </c>
      <c r="I1595" s="1">
        <v>0</v>
      </c>
      <c r="J1595" s="1">
        <v>3</v>
      </c>
      <c r="K1595" s="1">
        <v>0</v>
      </c>
    </row>
    <row r="1596" spans="1:11" x14ac:dyDescent="0.2">
      <c r="A1596" s="1" t="s">
        <v>1480</v>
      </c>
      <c r="B1596" s="1" t="s">
        <v>1520</v>
      </c>
      <c r="C1596" s="1" t="str">
        <f>"66298845295132"</f>
        <v>66298845295132</v>
      </c>
      <c r="D1596" s="1" t="str">
        <f>"DK-1510-27"</f>
        <v>DK-1510-27</v>
      </c>
      <c r="E1596" s="1" t="s">
        <v>17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</row>
    <row r="1597" spans="1:11" x14ac:dyDescent="0.2">
      <c r="A1597" s="1" t="s">
        <v>1480</v>
      </c>
      <c r="B1597" s="1" t="s">
        <v>1521</v>
      </c>
      <c r="C1597" s="1" t="str">
        <f>"2551"</f>
        <v>2551</v>
      </c>
      <c r="D1597" s="1" t="str">
        <f>"2551"</f>
        <v>2551</v>
      </c>
      <c r="E1597" s="1" t="s">
        <v>17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</row>
    <row r="1598" spans="1:11" x14ac:dyDescent="0.2">
      <c r="A1598" s="1" t="s">
        <v>1480</v>
      </c>
      <c r="B1598" s="1" t="s">
        <v>1522</v>
      </c>
      <c r="C1598" s="1" t="str">
        <f>"66298845345066"</f>
        <v>66298845345066</v>
      </c>
      <c r="D1598" s="1" t="str">
        <f>"81788"</f>
        <v>81788</v>
      </c>
      <c r="E1598" s="1" t="s">
        <v>17</v>
      </c>
      <c r="F1598" s="1">
        <v>1</v>
      </c>
      <c r="G1598" s="1">
        <v>4856</v>
      </c>
      <c r="H1598" s="1">
        <v>4856</v>
      </c>
      <c r="I1598" s="1">
        <v>0</v>
      </c>
      <c r="J1598" s="1">
        <v>1</v>
      </c>
      <c r="K1598" s="1">
        <v>0</v>
      </c>
    </row>
    <row r="1599" spans="1:11" x14ac:dyDescent="0.2">
      <c r="A1599" s="1" t="s">
        <v>1480</v>
      </c>
      <c r="B1599" s="1" t="s">
        <v>1523</v>
      </c>
      <c r="C1599" s="1" t="str">
        <f>"66298845435664"</f>
        <v>66298845435664</v>
      </c>
      <c r="D1599" s="1" t="str">
        <f>"NA010"</f>
        <v>NA010</v>
      </c>
      <c r="E1599" s="1" t="s">
        <v>17</v>
      </c>
      <c r="F1599" s="1">
        <v>2</v>
      </c>
      <c r="G1599" s="1">
        <v>8584</v>
      </c>
      <c r="H1599" s="1">
        <v>17168</v>
      </c>
      <c r="I1599" s="1">
        <v>0</v>
      </c>
      <c r="J1599" s="1">
        <v>2</v>
      </c>
      <c r="K1599" s="1">
        <v>0</v>
      </c>
    </row>
    <row r="1600" spans="1:11" x14ac:dyDescent="0.2">
      <c r="A1600" s="1" t="s">
        <v>1480</v>
      </c>
      <c r="B1600" s="1" t="s">
        <v>1524</v>
      </c>
      <c r="C1600" s="1" t="str">
        <f>"59221-33GB0-000"</f>
        <v>59221-33GB0-000</v>
      </c>
      <c r="D1600" s="1" t="str">
        <f>"59221-33GB0-000"</f>
        <v>59221-33GB0-000</v>
      </c>
      <c r="E1600" s="1" t="s">
        <v>17</v>
      </c>
      <c r="F1600" s="1">
        <v>1</v>
      </c>
      <c r="G1600" s="1">
        <v>12150</v>
      </c>
      <c r="H1600" s="1">
        <v>12150</v>
      </c>
      <c r="I1600" s="1">
        <v>0</v>
      </c>
      <c r="J1600" s="1">
        <v>1</v>
      </c>
      <c r="K1600" s="1">
        <v>0</v>
      </c>
    </row>
    <row r="1601" spans="1:11" x14ac:dyDescent="0.2">
      <c r="A1601" s="1" t="s">
        <v>1480</v>
      </c>
      <c r="B1601" s="1" t="s">
        <v>1525</v>
      </c>
      <c r="C1601" s="1" t="str">
        <f>"59211-05350-000"</f>
        <v>59211-05350-000</v>
      </c>
      <c r="D1601" s="1" t="str">
        <f>"59211-05350-000"</f>
        <v>59211-05350-000</v>
      </c>
      <c r="E1601" s="1" t="s">
        <v>17</v>
      </c>
      <c r="F1601" s="1">
        <v>2</v>
      </c>
      <c r="G1601" s="1">
        <v>10480.5</v>
      </c>
      <c r="H1601" s="1">
        <v>20961</v>
      </c>
      <c r="I1601" s="1">
        <v>0</v>
      </c>
      <c r="J1601" s="1">
        <v>2</v>
      </c>
      <c r="K1601" s="1">
        <v>0</v>
      </c>
    </row>
    <row r="1602" spans="1:11" x14ac:dyDescent="0.2">
      <c r="A1602" s="1" t="s">
        <v>1480</v>
      </c>
      <c r="B1602" s="1" t="s">
        <v>1526</v>
      </c>
      <c r="C1602" s="1" t="str">
        <f>"NA017"</f>
        <v>NA017</v>
      </c>
      <c r="D1602" s="1" t="str">
        <f>"NA017"</f>
        <v>NA017</v>
      </c>
      <c r="E1602" s="1" t="s">
        <v>17</v>
      </c>
      <c r="F1602" s="1">
        <v>2</v>
      </c>
      <c r="G1602" s="1">
        <v>8760</v>
      </c>
      <c r="H1602" s="1">
        <v>17520</v>
      </c>
      <c r="I1602" s="1">
        <v>0</v>
      </c>
      <c r="J1602" s="1">
        <v>2</v>
      </c>
      <c r="K1602" s="1">
        <v>0</v>
      </c>
    </row>
    <row r="1603" spans="1:11" x14ac:dyDescent="0.2">
      <c r="A1603" s="1" t="s">
        <v>1480</v>
      </c>
      <c r="B1603" s="1" t="s">
        <v>1527</v>
      </c>
      <c r="C1603" s="1" t="str">
        <f>"45351-KPE-900JP"</f>
        <v>45351-KPE-900JP</v>
      </c>
      <c r="D1603" s="1" t="str">
        <f>"45351-KPE-900JP"</f>
        <v>45351-KPE-900JP</v>
      </c>
      <c r="E1603" s="1" t="s">
        <v>17</v>
      </c>
      <c r="F1603" s="1">
        <v>2</v>
      </c>
      <c r="G1603" s="1">
        <v>11204</v>
      </c>
      <c r="H1603" s="1">
        <v>22408</v>
      </c>
      <c r="I1603" s="1">
        <v>0</v>
      </c>
      <c r="J1603" s="1">
        <v>2</v>
      </c>
      <c r="K1603" s="1">
        <v>0</v>
      </c>
    </row>
    <row r="1604" spans="1:11" x14ac:dyDescent="0.2">
      <c r="A1604" s="1" t="s">
        <v>1480</v>
      </c>
      <c r="B1604" s="1" t="s">
        <v>1528</v>
      </c>
      <c r="C1604" s="1" t="str">
        <f>"45351-KWT-900JP"</f>
        <v>45351-KWT-900JP</v>
      </c>
      <c r="D1604" s="1" t="str">
        <f>"45351-KWT-900JP"</f>
        <v>45351-KWT-900JP</v>
      </c>
      <c r="E1604" s="1" t="s">
        <v>17</v>
      </c>
      <c r="F1604" s="1">
        <v>3</v>
      </c>
      <c r="G1604" s="1">
        <v>22007</v>
      </c>
      <c r="H1604" s="1">
        <v>66021</v>
      </c>
      <c r="I1604" s="1">
        <v>0</v>
      </c>
      <c r="J1604" s="1">
        <v>3</v>
      </c>
      <c r="K1604" s="1">
        <v>0</v>
      </c>
    </row>
    <row r="1605" spans="1:11" x14ac:dyDescent="0.2">
      <c r="A1605" s="1" t="s">
        <v>1480</v>
      </c>
      <c r="B1605" s="1" t="s">
        <v>1529</v>
      </c>
      <c r="C1605" s="1" t="str">
        <f>"NA014"</f>
        <v>NA014</v>
      </c>
      <c r="D1605" s="1" t="str">
        <f>"NA014"</f>
        <v>NA014</v>
      </c>
      <c r="E1605" s="1" t="s">
        <v>17</v>
      </c>
      <c r="F1605" s="1">
        <v>1</v>
      </c>
      <c r="G1605" s="1">
        <v>6614.97</v>
      </c>
      <c r="H1605" s="1">
        <v>6615</v>
      </c>
      <c r="I1605" s="1">
        <v>0</v>
      </c>
      <c r="J1605" s="1">
        <v>1</v>
      </c>
      <c r="K1605" s="1">
        <v>0</v>
      </c>
    </row>
    <row r="1606" spans="1:11" x14ac:dyDescent="0.2">
      <c r="A1606" s="1" t="s">
        <v>1480</v>
      </c>
      <c r="B1606" s="1" t="s">
        <v>1530</v>
      </c>
      <c r="C1606" s="1" t="str">
        <f>"4B4-F582T-01"</f>
        <v>4B4-F582T-01</v>
      </c>
      <c r="D1606" s="1" t="str">
        <f>"4B4-F582T-01"</f>
        <v>4B4-F582T-01</v>
      </c>
      <c r="E1606" s="1" t="s">
        <v>17</v>
      </c>
      <c r="F1606" s="1">
        <v>6</v>
      </c>
      <c r="G1606" s="1">
        <v>8601.33</v>
      </c>
      <c r="H1606" s="1">
        <v>51608</v>
      </c>
      <c r="I1606" s="1">
        <v>0</v>
      </c>
      <c r="J1606" s="1">
        <v>6</v>
      </c>
      <c r="K1606" s="1">
        <v>0</v>
      </c>
    </row>
    <row r="1607" spans="1:11" x14ac:dyDescent="0.2">
      <c r="A1607" s="1" t="s">
        <v>1480</v>
      </c>
      <c r="B1607" s="1" t="s">
        <v>1531</v>
      </c>
      <c r="C1607" s="1" t="str">
        <f>"66298845594731"</f>
        <v>66298845594731</v>
      </c>
      <c r="D1607" s="1" t="str">
        <f>"400526"</f>
        <v>400526</v>
      </c>
      <c r="E1607" s="1" t="s">
        <v>17</v>
      </c>
      <c r="F1607" s="1">
        <v>3</v>
      </c>
      <c r="G1607" s="1">
        <v>6334</v>
      </c>
      <c r="H1607" s="1">
        <v>19002</v>
      </c>
      <c r="I1607" s="1">
        <v>0</v>
      </c>
      <c r="J1607" s="1">
        <v>3</v>
      </c>
      <c r="K1607" s="1">
        <v>0</v>
      </c>
    </row>
    <row r="1608" spans="1:11" x14ac:dyDescent="0.2">
      <c r="A1608" s="1" t="s">
        <v>1480</v>
      </c>
      <c r="B1608" s="1" t="s">
        <v>1532</v>
      </c>
      <c r="C1608" s="1" t="str">
        <f>"66298845557887"</f>
        <v>66298845557887</v>
      </c>
      <c r="D1608" s="1" t="str">
        <f>"5YY-F582U-00JP"</f>
        <v>5YY-F582U-00JP</v>
      </c>
      <c r="E1608" s="1" t="s">
        <v>17</v>
      </c>
      <c r="F1608" s="1">
        <v>2</v>
      </c>
      <c r="G1608" s="1">
        <v>6727</v>
      </c>
      <c r="H1608" s="1">
        <v>13454</v>
      </c>
      <c r="I1608" s="1">
        <v>0</v>
      </c>
      <c r="J1608" s="1">
        <v>2</v>
      </c>
      <c r="K1608" s="1">
        <v>0</v>
      </c>
    </row>
    <row r="1609" spans="1:11" x14ac:dyDescent="0.2">
      <c r="A1609" s="1" t="s">
        <v>1480</v>
      </c>
      <c r="B1609" s="1" t="s">
        <v>1533</v>
      </c>
      <c r="C1609" s="1" t="str">
        <f>"66298845674502"</f>
        <v>66298845674502</v>
      </c>
      <c r="D1609" s="1" t="str">
        <f>"400551"</f>
        <v>400551</v>
      </c>
      <c r="E1609" s="1" t="s">
        <v>17</v>
      </c>
      <c r="F1609" s="1">
        <v>13</v>
      </c>
      <c r="G1609" s="1">
        <v>3203</v>
      </c>
      <c r="H1609" s="1">
        <v>41639</v>
      </c>
      <c r="I1609" s="1">
        <v>0</v>
      </c>
      <c r="J1609" s="1">
        <v>13</v>
      </c>
      <c r="K1609" s="1">
        <v>0</v>
      </c>
    </row>
    <row r="1610" spans="1:11" x14ac:dyDescent="0.2">
      <c r="A1610" s="1" t="s">
        <v>1480</v>
      </c>
      <c r="B1610" s="1" t="s">
        <v>1534</v>
      </c>
      <c r="C1610" s="1" t="str">
        <f>"66298845633385"</f>
        <v>66298845633385</v>
      </c>
      <c r="D1610" s="1" t="str">
        <f>"5SU-F582T-00JP"</f>
        <v>5SU-F582T-00JP</v>
      </c>
      <c r="E1610" s="1" t="s">
        <v>17</v>
      </c>
      <c r="F1610" s="1">
        <v>3</v>
      </c>
      <c r="G1610" s="1">
        <v>3990</v>
      </c>
      <c r="H1610" s="1">
        <v>11970</v>
      </c>
      <c r="I1610" s="1">
        <v>0</v>
      </c>
      <c r="J1610" s="1">
        <v>3</v>
      </c>
      <c r="K1610" s="1">
        <v>0</v>
      </c>
    </row>
    <row r="1611" spans="1:11" x14ac:dyDescent="0.2">
      <c r="A1611" s="1" t="s">
        <v>1480</v>
      </c>
      <c r="B1611" s="1" t="s">
        <v>1535</v>
      </c>
      <c r="C1611" s="1" t="str">
        <f>"66298845713836"</f>
        <v>66298845713836</v>
      </c>
      <c r="D1611" s="1" t="str">
        <f>"400563"</f>
        <v>400563</v>
      </c>
      <c r="E1611" s="1" t="s">
        <v>17</v>
      </c>
      <c r="F1611" s="1">
        <v>8</v>
      </c>
      <c r="G1611" s="1">
        <v>6466</v>
      </c>
      <c r="H1611" s="1">
        <v>51728</v>
      </c>
      <c r="I1611" s="1">
        <v>0</v>
      </c>
      <c r="J1611" s="1">
        <v>8</v>
      </c>
      <c r="K1611" s="1">
        <v>0</v>
      </c>
    </row>
    <row r="1612" spans="1:11" x14ac:dyDescent="0.2">
      <c r="A1612" s="1" t="s">
        <v>1480</v>
      </c>
      <c r="B1612" s="1" t="s">
        <v>1536</v>
      </c>
      <c r="C1612" s="1" t="str">
        <f>"66298845756596"</f>
        <v>66298845756596</v>
      </c>
      <c r="D1612" s="1" t="str">
        <f>"46P-F582T-00"</f>
        <v>46P-F582T-00</v>
      </c>
      <c r="E1612" s="1" t="s">
        <v>17</v>
      </c>
      <c r="F1612" s="1">
        <v>3</v>
      </c>
      <c r="G1612" s="1">
        <v>10761</v>
      </c>
      <c r="H1612" s="1">
        <v>32283</v>
      </c>
      <c r="I1612" s="1">
        <v>0</v>
      </c>
      <c r="J1612" s="1">
        <v>3</v>
      </c>
      <c r="K1612" s="1">
        <v>0</v>
      </c>
    </row>
    <row r="1613" spans="1:11" x14ac:dyDescent="0.2">
      <c r="A1613" s="1" t="s">
        <v>1480</v>
      </c>
      <c r="B1613" s="1" t="s">
        <v>1537</v>
      </c>
      <c r="C1613" s="1" t="str">
        <f>"66298845799524"</f>
        <v>66298845799524</v>
      </c>
      <c r="D1613" s="1" t="str">
        <f>"41080-0597-11HJP"</f>
        <v>41080-0597-11HJP</v>
      </c>
      <c r="E1613" s="1" t="s">
        <v>17</v>
      </c>
      <c r="F1613" s="1">
        <v>1</v>
      </c>
      <c r="G1613" s="1">
        <v>20448</v>
      </c>
      <c r="H1613" s="1">
        <v>20448</v>
      </c>
      <c r="I1613" s="1">
        <v>0</v>
      </c>
      <c r="J1613" s="1">
        <v>1</v>
      </c>
      <c r="K1613" s="1">
        <v>0</v>
      </c>
    </row>
    <row r="1614" spans="1:11" x14ac:dyDescent="0.2">
      <c r="A1614" s="1" t="s">
        <v>1480</v>
      </c>
      <c r="B1614" s="1" t="s">
        <v>1538</v>
      </c>
      <c r="C1614" s="1" t="str">
        <f>"66298845847580"</f>
        <v>66298845847580</v>
      </c>
      <c r="D1614" s="1" t="str">
        <f>"XM-12001-000"</f>
        <v>XM-12001-000</v>
      </c>
      <c r="E1614" s="1" t="s">
        <v>17</v>
      </c>
      <c r="F1614" s="1">
        <v>4</v>
      </c>
      <c r="G1614" s="1">
        <v>8020</v>
      </c>
      <c r="H1614" s="1">
        <v>32080</v>
      </c>
      <c r="I1614" s="1">
        <v>0</v>
      </c>
      <c r="J1614" s="1">
        <v>4</v>
      </c>
      <c r="K1614" s="1">
        <v>0</v>
      </c>
    </row>
    <row r="1615" spans="1:11" x14ac:dyDescent="0.2">
      <c r="A1615" s="1" t="s">
        <v>1480</v>
      </c>
      <c r="B1615" s="1" t="s">
        <v>1539</v>
      </c>
      <c r="C1615" s="1" t="str">
        <f>"43251-K70-601JP"</f>
        <v>43251-K70-601JP</v>
      </c>
      <c r="D1615" s="1" t="str">
        <f>"43251-K70-601JP"</f>
        <v>43251-K70-601JP</v>
      </c>
      <c r="E1615" s="1" t="s">
        <v>17</v>
      </c>
      <c r="F1615" s="1">
        <v>2</v>
      </c>
      <c r="G1615" s="1">
        <v>13612</v>
      </c>
      <c r="H1615" s="1">
        <v>27224</v>
      </c>
      <c r="I1615" s="1">
        <v>0</v>
      </c>
      <c r="J1615" s="1">
        <v>2</v>
      </c>
      <c r="K1615" s="1">
        <v>0</v>
      </c>
    </row>
    <row r="1616" spans="1:11" x14ac:dyDescent="0.2">
      <c r="A1616" s="1" t="s">
        <v>1480</v>
      </c>
      <c r="B1616" s="1" t="s">
        <v>1540</v>
      </c>
      <c r="C1616" s="1" t="str">
        <f>"NA020"</f>
        <v>NA020</v>
      </c>
      <c r="D1616" s="1" t="str">
        <f>"NA020"</f>
        <v>NA020</v>
      </c>
      <c r="E1616" s="1" t="s">
        <v>17</v>
      </c>
      <c r="F1616" s="1">
        <v>1</v>
      </c>
      <c r="G1616" s="1">
        <v>8970</v>
      </c>
      <c r="H1616" s="1">
        <v>8970</v>
      </c>
      <c r="I1616" s="1">
        <v>0</v>
      </c>
      <c r="J1616" s="1">
        <v>1</v>
      </c>
      <c r="K1616" s="1">
        <v>0</v>
      </c>
    </row>
    <row r="1617" spans="1:11" x14ac:dyDescent="0.2">
      <c r="A1617" s="1" t="s">
        <v>1480</v>
      </c>
      <c r="B1617" s="1" t="s">
        <v>1541</v>
      </c>
      <c r="C1617" s="1" t="str">
        <f>"66298845887800"</f>
        <v>66298845887800</v>
      </c>
      <c r="D1617" s="1" t="str">
        <f>"400519"</f>
        <v>400519</v>
      </c>
      <c r="E1617" s="1" t="s">
        <v>17</v>
      </c>
      <c r="F1617" s="1">
        <v>4</v>
      </c>
      <c r="G1617" s="1">
        <v>4598</v>
      </c>
      <c r="H1617" s="1">
        <v>18392</v>
      </c>
      <c r="I1617" s="1">
        <v>0</v>
      </c>
      <c r="J1617" s="1">
        <v>4</v>
      </c>
      <c r="K1617" s="1">
        <v>0</v>
      </c>
    </row>
    <row r="1618" spans="1:11" x14ac:dyDescent="0.2">
      <c r="A1618" s="1" t="s">
        <v>1480</v>
      </c>
      <c r="B1618" s="1" t="s">
        <v>1542</v>
      </c>
      <c r="C1618" s="1" t="str">
        <f>"43251-KSP-B01ZA"</f>
        <v>43251-KSP-B01ZA</v>
      </c>
      <c r="D1618" s="1" t="str">
        <f>"43251-KSP-B01ZA"</f>
        <v>43251-KSP-B01ZA</v>
      </c>
      <c r="E1618" s="1" t="s">
        <v>17</v>
      </c>
      <c r="F1618" s="1">
        <v>1</v>
      </c>
      <c r="G1618" s="1">
        <v>12442</v>
      </c>
      <c r="H1618" s="1">
        <v>12442</v>
      </c>
      <c r="I1618" s="1">
        <v>0</v>
      </c>
      <c r="J1618" s="1">
        <v>1</v>
      </c>
      <c r="K1618" s="1">
        <v>0</v>
      </c>
    </row>
    <row r="1619" spans="1:11" x14ac:dyDescent="0.2">
      <c r="A1619" s="1" t="s">
        <v>1480</v>
      </c>
      <c r="B1619" s="1" t="s">
        <v>1543</v>
      </c>
      <c r="C1619" s="1" t="str">
        <f>"69211-32E01JP"</f>
        <v>69211-32E01JP</v>
      </c>
      <c r="D1619" s="1" t="str">
        <f>"69211-32E01JP"</f>
        <v>69211-32E01JP</v>
      </c>
      <c r="E1619" s="1" t="s">
        <v>17</v>
      </c>
      <c r="F1619" s="1">
        <v>2</v>
      </c>
      <c r="G1619" s="1">
        <v>11101</v>
      </c>
      <c r="H1619" s="1">
        <v>22202</v>
      </c>
      <c r="I1619" s="1">
        <v>0</v>
      </c>
      <c r="J1619" s="1">
        <v>2</v>
      </c>
      <c r="K1619" s="1">
        <v>0</v>
      </c>
    </row>
    <row r="1620" spans="1:11" x14ac:dyDescent="0.2">
      <c r="A1620" s="1" t="s">
        <v>1480</v>
      </c>
      <c r="B1620" s="1" t="s">
        <v>1544</v>
      </c>
      <c r="C1620" s="1" t="str">
        <f>"66298845925952"</f>
        <v>66298845925952</v>
      </c>
      <c r="D1620" s="1" t="str">
        <f>"90110060000"</f>
        <v>90110060000</v>
      </c>
      <c r="E1620" s="1" t="s">
        <v>17</v>
      </c>
      <c r="F1620" s="1">
        <v>3</v>
      </c>
      <c r="G1620" s="1">
        <v>15820</v>
      </c>
      <c r="H1620" s="1">
        <v>47460</v>
      </c>
      <c r="I1620" s="1">
        <v>0</v>
      </c>
      <c r="J1620" s="1">
        <v>3</v>
      </c>
      <c r="K1620" s="1">
        <v>0</v>
      </c>
    </row>
    <row r="1621" spans="1:11" x14ac:dyDescent="0.2">
      <c r="A1621" s="1" t="s">
        <v>1480</v>
      </c>
      <c r="B1621" s="1" t="s">
        <v>1545</v>
      </c>
      <c r="C1621" s="1" t="str">
        <f>"12188"</f>
        <v>12188</v>
      </c>
      <c r="D1621" s="1" t="str">
        <f>"12188"</f>
        <v>12188</v>
      </c>
      <c r="E1621" s="1" t="s">
        <v>17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</row>
    <row r="1622" spans="1:11" x14ac:dyDescent="0.2">
      <c r="A1622" s="1" t="s">
        <v>1480</v>
      </c>
      <c r="B1622" s="1" t="s">
        <v>1546</v>
      </c>
      <c r="C1622" s="1" t="str">
        <f>"NA018"</f>
        <v>NA018</v>
      </c>
      <c r="D1622" s="1" t="str">
        <f>"NA018"</f>
        <v>NA018</v>
      </c>
      <c r="E1622" s="1" t="s">
        <v>17</v>
      </c>
      <c r="F1622" s="1">
        <v>3</v>
      </c>
      <c r="G1622" s="1">
        <v>8091.98</v>
      </c>
      <c r="H1622" s="1">
        <v>24276</v>
      </c>
      <c r="I1622" s="1">
        <v>0</v>
      </c>
      <c r="J1622" s="1">
        <v>3</v>
      </c>
      <c r="K1622" s="1">
        <v>0</v>
      </c>
    </row>
    <row r="1623" spans="1:11" x14ac:dyDescent="0.2">
      <c r="A1623" s="1" t="s">
        <v>1480</v>
      </c>
      <c r="B1623" s="1" t="s">
        <v>1547</v>
      </c>
      <c r="C1623" s="1" t="str">
        <f>"JL131930"</f>
        <v>JL131930</v>
      </c>
      <c r="D1623" s="1" t="str">
        <f>"JL131930"</f>
        <v>JL131930</v>
      </c>
      <c r="E1623" s="1" t="s">
        <v>17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</row>
    <row r="1624" spans="1:11" x14ac:dyDescent="0.2">
      <c r="A1624" s="1" t="s">
        <v>1480</v>
      </c>
      <c r="B1624" s="1" t="s">
        <v>1548</v>
      </c>
      <c r="C1624" s="1" t="str">
        <f>"12667"</f>
        <v>12667</v>
      </c>
      <c r="D1624" s="1" t="str">
        <f>"12667"</f>
        <v>12667</v>
      </c>
      <c r="E1624" s="1" t="s">
        <v>17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</row>
    <row r="1625" spans="1:11" x14ac:dyDescent="0.2">
      <c r="A1625" s="1" t="s">
        <v>1480</v>
      </c>
      <c r="B1625" s="1" t="s">
        <v>1549</v>
      </c>
      <c r="C1625" s="1" t="str">
        <f>"DK-1510-24"</f>
        <v>DK-1510-24</v>
      </c>
      <c r="D1625" s="1" t="str">
        <f>"DK-1510-24"</f>
        <v>DK-1510-24</v>
      </c>
      <c r="E1625" s="1" t="s">
        <v>17</v>
      </c>
      <c r="F1625" s="1">
        <v>1</v>
      </c>
      <c r="G1625" s="1">
        <v>14220</v>
      </c>
      <c r="H1625" s="1">
        <v>14220</v>
      </c>
      <c r="I1625" s="1">
        <v>0</v>
      </c>
      <c r="J1625" s="1">
        <v>1</v>
      </c>
      <c r="K1625" s="1">
        <v>0</v>
      </c>
    </row>
    <row r="1626" spans="1:11" ht="30" x14ac:dyDescent="0.2">
      <c r="A1626" s="1" t="s">
        <v>1480</v>
      </c>
      <c r="B1626" s="1" t="s">
        <v>1550</v>
      </c>
      <c r="C1626" s="1" t="str">
        <f>"66298845967348"</f>
        <v>66298845967348</v>
      </c>
      <c r="D1626" s="1" t="str">
        <f>"NA011"</f>
        <v>NA011</v>
      </c>
      <c r="E1626" s="1" t="s">
        <v>17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</row>
    <row r="1627" spans="1:11" x14ac:dyDescent="0.2">
      <c r="A1627" s="1" t="s">
        <v>1480</v>
      </c>
      <c r="B1627" s="1" t="s">
        <v>1551</v>
      </c>
      <c r="C1627" s="1" t="str">
        <f>"66298846012247"</f>
        <v>66298846012247</v>
      </c>
      <c r="D1627" s="1" t="str">
        <f>"43251-KWT-900JP"</f>
        <v>43251-KWT-900JP</v>
      </c>
      <c r="E1627" s="1" t="s">
        <v>17</v>
      </c>
      <c r="F1627" s="1">
        <v>2</v>
      </c>
      <c r="G1627" s="1">
        <v>18358</v>
      </c>
      <c r="H1627" s="1">
        <v>36716</v>
      </c>
      <c r="I1627" s="1">
        <v>0</v>
      </c>
      <c r="J1627" s="1">
        <v>2</v>
      </c>
      <c r="K1627" s="1">
        <v>0</v>
      </c>
    </row>
    <row r="1628" spans="1:11" x14ac:dyDescent="0.2">
      <c r="A1628" s="1" t="s">
        <v>1480</v>
      </c>
      <c r="B1628" s="1" t="s">
        <v>1552</v>
      </c>
      <c r="C1628" s="1" t="str">
        <f>"66298846052407"</f>
        <v>66298846052407</v>
      </c>
      <c r="D1628" s="1" t="str">
        <f>"400561"</f>
        <v>400561</v>
      </c>
      <c r="E1628" s="1" t="s">
        <v>17</v>
      </c>
      <c r="F1628" s="1">
        <v>14</v>
      </c>
      <c r="G1628" s="1">
        <v>4864</v>
      </c>
      <c r="H1628" s="1">
        <v>68096</v>
      </c>
      <c r="I1628" s="1">
        <v>0</v>
      </c>
      <c r="J1628" s="1">
        <v>14</v>
      </c>
      <c r="K1628" s="1">
        <v>0</v>
      </c>
    </row>
    <row r="1629" spans="1:11" x14ac:dyDescent="0.2">
      <c r="A1629" s="1" t="s">
        <v>1480</v>
      </c>
      <c r="B1629" s="1" t="s">
        <v>1553</v>
      </c>
      <c r="C1629" s="1" t="str">
        <f>"5XT-2582W-00JP"</f>
        <v>5XT-2582W-00JP</v>
      </c>
      <c r="D1629" s="1" t="str">
        <f>"5XT-2582W-00JP"</f>
        <v>5XT-2582W-00JP</v>
      </c>
      <c r="E1629" s="1" t="s">
        <v>17</v>
      </c>
      <c r="F1629" s="1">
        <v>1</v>
      </c>
      <c r="G1629" s="1">
        <v>10268</v>
      </c>
      <c r="H1629" s="1">
        <v>10268</v>
      </c>
      <c r="I1629" s="1">
        <v>0</v>
      </c>
      <c r="J1629" s="1">
        <v>1</v>
      </c>
      <c r="K1629" s="1">
        <v>0</v>
      </c>
    </row>
    <row r="1630" spans="1:11" x14ac:dyDescent="0.2">
      <c r="A1630" s="1" t="s">
        <v>1480</v>
      </c>
      <c r="B1630" s="1" t="s">
        <v>1554</v>
      </c>
      <c r="C1630" s="1" t="str">
        <f>"1WD-F582W-00"</f>
        <v>1WD-F582W-00</v>
      </c>
      <c r="D1630" s="1" t="str">
        <f>"1WD-F582W-00"</f>
        <v>1WD-F582W-00</v>
      </c>
      <c r="E1630" s="1" t="s">
        <v>17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</row>
    <row r="1631" spans="1:11" x14ac:dyDescent="0.2">
      <c r="A1631" s="1" t="s">
        <v>1480</v>
      </c>
      <c r="B1631" s="1" t="s">
        <v>1554</v>
      </c>
      <c r="C1631" s="1" t="str">
        <f>"1WD-F582W-00JP"</f>
        <v>1WD-F582W-00JP</v>
      </c>
      <c r="D1631" s="1" t="str">
        <f>"1WD-F582W-00JP"</f>
        <v>1WD-F582W-00JP</v>
      </c>
      <c r="E1631" s="1" t="s">
        <v>17</v>
      </c>
      <c r="F1631" s="1">
        <v>1</v>
      </c>
      <c r="G1631" s="1">
        <v>14608</v>
      </c>
      <c r="H1631" s="1">
        <v>14608</v>
      </c>
      <c r="I1631" s="1">
        <v>0</v>
      </c>
      <c r="J1631" s="1">
        <v>1</v>
      </c>
      <c r="K1631" s="1">
        <v>0</v>
      </c>
    </row>
    <row r="1632" spans="1:11" x14ac:dyDescent="0.2">
      <c r="A1632" s="1" t="s">
        <v>1480</v>
      </c>
      <c r="B1632" s="1" t="s">
        <v>1555</v>
      </c>
      <c r="C1632" s="1" t="str">
        <f>"66298846096075"</f>
        <v>66298846096075</v>
      </c>
      <c r="D1632" s="1" t="str">
        <f>"41080-0598-11H"</f>
        <v>41080-0598-11H</v>
      </c>
      <c r="E1632" s="1" t="s">
        <v>17</v>
      </c>
      <c r="F1632" s="1">
        <v>1</v>
      </c>
      <c r="G1632" s="1">
        <v>10568</v>
      </c>
      <c r="H1632" s="1">
        <v>10568</v>
      </c>
      <c r="I1632" s="1">
        <v>0</v>
      </c>
      <c r="J1632" s="1">
        <v>1</v>
      </c>
      <c r="K1632" s="1">
        <v>0</v>
      </c>
    </row>
    <row r="1633" spans="1:11" ht="30" x14ac:dyDescent="0.2">
      <c r="A1633" s="1" t="s">
        <v>1468</v>
      </c>
      <c r="B1633" s="1" t="s">
        <v>1556</v>
      </c>
      <c r="C1633" s="1" t="str">
        <f>"66298846140657"</f>
        <v>66298846140657</v>
      </c>
      <c r="D1633" s="1" t="str">
        <f>"CD014"</f>
        <v>CD014</v>
      </c>
      <c r="E1633" s="1" t="s">
        <v>17</v>
      </c>
      <c r="F1633" s="1">
        <v>3</v>
      </c>
      <c r="G1633" s="1">
        <v>3573</v>
      </c>
      <c r="H1633" s="1">
        <v>10719</v>
      </c>
      <c r="I1633" s="1">
        <v>0</v>
      </c>
      <c r="J1633" s="1">
        <v>3</v>
      </c>
      <c r="K1633" s="1">
        <v>0</v>
      </c>
    </row>
    <row r="1634" spans="1:11" x14ac:dyDescent="0.2">
      <c r="A1634" s="1" t="s">
        <v>1468</v>
      </c>
      <c r="B1634" s="1" t="s">
        <v>1557</v>
      </c>
      <c r="C1634" s="1" t="str">
        <f>"66298846182767"</f>
        <v>66298846182767</v>
      </c>
      <c r="D1634" s="1" t="str">
        <f>"CD011"</f>
        <v>CD011</v>
      </c>
      <c r="E1634" s="1" t="s">
        <v>17</v>
      </c>
      <c r="F1634" s="1">
        <v>13</v>
      </c>
      <c r="G1634" s="1">
        <v>2565</v>
      </c>
      <c r="H1634" s="1">
        <v>33345</v>
      </c>
      <c r="I1634" s="1">
        <v>0</v>
      </c>
      <c r="J1634" s="1">
        <v>13</v>
      </c>
      <c r="K1634" s="1">
        <v>0</v>
      </c>
    </row>
    <row r="1635" spans="1:11" x14ac:dyDescent="0.2">
      <c r="A1635" s="1" t="s">
        <v>1468</v>
      </c>
      <c r="B1635" s="1" t="s">
        <v>1558</v>
      </c>
      <c r="C1635" s="1" t="str">
        <f>"CD004"</f>
        <v>CD004</v>
      </c>
      <c r="D1635" s="1" t="str">
        <f>"CD004"</f>
        <v>CD004</v>
      </c>
      <c r="E1635" s="1" t="s">
        <v>17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</row>
    <row r="1636" spans="1:11" ht="30" x14ac:dyDescent="0.2">
      <c r="A1636" s="1" t="s">
        <v>1468</v>
      </c>
      <c r="B1636" s="1" t="s">
        <v>1559</v>
      </c>
      <c r="C1636" s="1" t="str">
        <f>"66298846225496"</f>
        <v>66298846225496</v>
      </c>
      <c r="D1636" s="1" t="str">
        <f>"400029"</f>
        <v>400029</v>
      </c>
      <c r="E1636" s="1" t="s">
        <v>17</v>
      </c>
      <c r="F1636" s="1">
        <v>28</v>
      </c>
      <c r="G1636" s="1">
        <v>904</v>
      </c>
      <c r="H1636" s="1">
        <v>25312</v>
      </c>
      <c r="I1636" s="1">
        <v>0</v>
      </c>
      <c r="J1636" s="1">
        <v>28</v>
      </c>
      <c r="K1636" s="1">
        <v>0</v>
      </c>
    </row>
    <row r="1637" spans="1:11" ht="30" x14ac:dyDescent="0.2">
      <c r="A1637" s="1" t="s">
        <v>1468</v>
      </c>
      <c r="B1637" s="1" t="s">
        <v>1560</v>
      </c>
      <c r="C1637" s="1" t="str">
        <f>"66298846267226"</f>
        <v>66298846267226</v>
      </c>
      <c r="D1637" s="1" t="str">
        <f>"400030"</f>
        <v>400030</v>
      </c>
      <c r="E1637" s="1" t="s">
        <v>17</v>
      </c>
      <c r="F1637" s="1">
        <v>14</v>
      </c>
      <c r="G1637" s="1">
        <v>1745</v>
      </c>
      <c r="H1637" s="1">
        <v>24430</v>
      </c>
      <c r="I1637" s="1">
        <v>0</v>
      </c>
      <c r="J1637" s="1">
        <v>14</v>
      </c>
      <c r="K1637" s="1">
        <v>0</v>
      </c>
    </row>
    <row r="1638" spans="1:11" x14ac:dyDescent="0.2">
      <c r="A1638" s="1" t="s">
        <v>1468</v>
      </c>
      <c r="B1638" s="1" t="s">
        <v>1561</v>
      </c>
      <c r="C1638" s="1" t="str">
        <f>"7747"</f>
        <v>7747</v>
      </c>
      <c r="D1638" s="1" t="str">
        <f>"7747"</f>
        <v>7747</v>
      </c>
      <c r="E1638" s="1" t="s">
        <v>17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</row>
    <row r="1639" spans="1:11" x14ac:dyDescent="0.2">
      <c r="A1639" s="1" t="s">
        <v>1468</v>
      </c>
      <c r="B1639" s="1" t="s">
        <v>1562</v>
      </c>
      <c r="C1639" s="1" t="str">
        <f>"66298846311626"</f>
        <v>66298846311626</v>
      </c>
      <c r="D1639" s="1" t="str">
        <f>"80996"</f>
        <v>80996</v>
      </c>
      <c r="E1639" s="1" t="s">
        <v>17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</row>
    <row r="1640" spans="1:11" x14ac:dyDescent="0.2">
      <c r="A1640" s="1" t="s">
        <v>1468</v>
      </c>
      <c r="B1640" s="1" t="s">
        <v>1562</v>
      </c>
      <c r="C1640" s="1" t="str">
        <f>"66298846318477"</f>
        <v>66298846318477</v>
      </c>
      <c r="D1640" s="1" t="str">
        <f>"DISCOS-GN"</f>
        <v>DISCOS-GN</v>
      </c>
      <c r="E1640" s="1" t="s">
        <v>17</v>
      </c>
      <c r="F1640" s="1">
        <v>2</v>
      </c>
      <c r="G1640" s="1">
        <v>435</v>
      </c>
      <c r="H1640" s="1">
        <v>870</v>
      </c>
      <c r="I1640" s="1">
        <v>0</v>
      </c>
      <c r="J1640" s="1">
        <v>2</v>
      </c>
      <c r="K1640" s="1">
        <v>0</v>
      </c>
    </row>
    <row r="1641" spans="1:11" ht="30" x14ac:dyDescent="0.2">
      <c r="A1641" s="1" t="s">
        <v>1468</v>
      </c>
      <c r="B1641" s="1" t="s">
        <v>1563</v>
      </c>
      <c r="C1641" s="1" t="str">
        <f>"66298846405251"</f>
        <v>66298846405251</v>
      </c>
      <c r="D1641" s="1" t="str">
        <f>"400031"</f>
        <v>400031</v>
      </c>
      <c r="E1641" s="1" t="s">
        <v>17</v>
      </c>
      <c r="F1641" s="1">
        <v>18</v>
      </c>
      <c r="G1641" s="1">
        <v>966</v>
      </c>
      <c r="H1641" s="1">
        <v>17388</v>
      </c>
      <c r="I1641" s="1">
        <v>0</v>
      </c>
      <c r="J1641" s="1">
        <v>18</v>
      </c>
      <c r="K1641" s="1">
        <v>0</v>
      </c>
    </row>
    <row r="1642" spans="1:11" x14ac:dyDescent="0.2">
      <c r="A1642" s="1" t="s">
        <v>1468</v>
      </c>
      <c r="B1642" s="1" t="s">
        <v>1564</v>
      </c>
      <c r="C1642" s="1" t="str">
        <f>"CD005"</f>
        <v>CD005</v>
      </c>
      <c r="D1642" s="1" t="str">
        <f>"CD005"</f>
        <v>CD005</v>
      </c>
      <c r="E1642" s="1" t="s">
        <v>17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</row>
    <row r="1643" spans="1:11" x14ac:dyDescent="0.2">
      <c r="A1643" s="1" t="s">
        <v>1468</v>
      </c>
      <c r="B1643" s="1" t="s">
        <v>1565</v>
      </c>
      <c r="C1643" s="1" t="str">
        <f>"66298846455109"</f>
        <v>66298846455109</v>
      </c>
      <c r="D1643" s="1" t="str">
        <f>"E110"</f>
        <v>E110</v>
      </c>
      <c r="E1643" s="1" t="s">
        <v>17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</row>
    <row r="1644" spans="1:11" x14ac:dyDescent="0.2">
      <c r="A1644" s="1" t="s">
        <v>1468</v>
      </c>
      <c r="B1644" s="1" t="s">
        <v>1565</v>
      </c>
      <c r="C1644" s="1" t="str">
        <f>"CD007"</f>
        <v>CD007</v>
      </c>
      <c r="D1644" s="1" t="str">
        <f>"CD007"</f>
        <v>CD007</v>
      </c>
      <c r="E1644" s="1" t="s">
        <v>17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</row>
    <row r="1645" spans="1:11" x14ac:dyDescent="0.2">
      <c r="A1645" s="1" t="s">
        <v>1468</v>
      </c>
      <c r="B1645" s="1" t="s">
        <v>1566</v>
      </c>
      <c r="C1645" s="1" t="str">
        <f>"80325"</f>
        <v>80325</v>
      </c>
      <c r="D1645" s="1" t="str">
        <f>"80325"</f>
        <v>80325</v>
      </c>
      <c r="E1645" s="1" t="s">
        <v>17</v>
      </c>
      <c r="F1645" s="1">
        <v>3</v>
      </c>
      <c r="G1645" s="1">
        <v>2500</v>
      </c>
      <c r="H1645" s="1">
        <v>7500</v>
      </c>
      <c r="I1645" s="1">
        <v>0</v>
      </c>
      <c r="J1645" s="1">
        <v>3</v>
      </c>
      <c r="K1645" s="1">
        <v>0</v>
      </c>
    </row>
    <row r="1646" spans="1:11" x14ac:dyDescent="0.2">
      <c r="A1646" s="2" t="s">
        <v>1567</v>
      </c>
      <c r="B1646" s="1" t="s">
        <v>1568</v>
      </c>
      <c r="C1646" s="2" t="str">
        <f>"RO-3181"</f>
        <v>RO-3181</v>
      </c>
      <c r="D1646" s="2" t="str">
        <f>"RO-3181"</f>
        <v>RO-3181</v>
      </c>
      <c r="E1646" s="2" t="s">
        <v>17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 x14ac:dyDescent="0.2">
      <c r="A1647" s="2"/>
      <c r="B1647" s="1" t="s">
        <v>1569</v>
      </c>
      <c r="C1647" s="2"/>
      <c r="D1647" s="2"/>
      <c r="E1647" s="2"/>
      <c r="F1647" s="2"/>
      <c r="G1647" s="2"/>
      <c r="H1647" s="2"/>
      <c r="I1647" s="2"/>
      <c r="J1647" s="2"/>
      <c r="K1647" s="2"/>
    </row>
    <row r="1648" spans="1:11" x14ac:dyDescent="0.2">
      <c r="A1648" s="2"/>
      <c r="B1648" s="1" t="s">
        <v>1570</v>
      </c>
      <c r="C1648" s="2"/>
      <c r="D1648" s="2"/>
      <c r="E1648" s="2"/>
      <c r="F1648" s="2"/>
      <c r="G1648" s="2"/>
      <c r="H1648" s="2"/>
      <c r="I1648" s="2"/>
      <c r="J1648" s="2"/>
      <c r="K1648" s="2"/>
    </row>
    <row r="1649" spans="1:11" x14ac:dyDescent="0.2">
      <c r="A1649" s="2"/>
      <c r="B1649" s="1" t="s">
        <v>1571</v>
      </c>
      <c r="C1649" s="2"/>
      <c r="D1649" s="2"/>
      <c r="E1649" s="2"/>
      <c r="F1649" s="2"/>
      <c r="G1649" s="2"/>
      <c r="H1649" s="2"/>
      <c r="I1649" s="2"/>
      <c r="J1649" s="2"/>
      <c r="K1649" s="2"/>
    </row>
    <row r="1650" spans="1:11" x14ac:dyDescent="0.2">
      <c r="A1650" s="2"/>
      <c r="B1650" s="1" t="s">
        <v>1572</v>
      </c>
      <c r="C1650" s="2"/>
      <c r="D1650" s="2"/>
      <c r="E1650" s="2"/>
      <c r="F1650" s="2"/>
      <c r="G1650" s="2"/>
      <c r="H1650" s="2"/>
      <c r="I1650" s="2"/>
      <c r="J1650" s="2"/>
      <c r="K1650" s="2"/>
    </row>
    <row r="1651" spans="1:11" x14ac:dyDescent="0.2">
      <c r="A1651" s="2"/>
      <c r="B1651" s="1" t="s">
        <v>1573</v>
      </c>
      <c r="C1651" s="2"/>
      <c r="D1651" s="2"/>
      <c r="E1651" s="2"/>
      <c r="F1651" s="2"/>
      <c r="G1651" s="2"/>
      <c r="H1651" s="2"/>
      <c r="I1651" s="2"/>
      <c r="J1651" s="2"/>
      <c r="K1651" s="2"/>
    </row>
    <row r="1652" spans="1:11" x14ac:dyDescent="0.2">
      <c r="A1652" s="2"/>
      <c r="B1652" s="1" t="s">
        <v>1574</v>
      </c>
      <c r="C1652" s="2"/>
      <c r="D1652" s="2"/>
      <c r="E1652" s="2"/>
      <c r="F1652" s="2"/>
      <c r="G1652" s="2"/>
      <c r="H1652" s="2"/>
      <c r="I1652" s="2"/>
      <c r="J1652" s="2"/>
      <c r="K1652" s="2"/>
    </row>
    <row r="1653" spans="1:11" x14ac:dyDescent="0.2">
      <c r="A1653" s="2"/>
      <c r="B1653" s="1" t="s">
        <v>1575</v>
      </c>
      <c r="C1653" s="2"/>
      <c r="D1653" s="2"/>
      <c r="E1653" s="2"/>
      <c r="F1653" s="2"/>
      <c r="G1653" s="2"/>
      <c r="H1653" s="2"/>
      <c r="I1653" s="2"/>
      <c r="J1653" s="2"/>
      <c r="K1653" s="2"/>
    </row>
    <row r="1654" spans="1:11" x14ac:dyDescent="0.2">
      <c r="A1654" s="2"/>
      <c r="B1654" s="1" t="s">
        <v>1576</v>
      </c>
      <c r="C1654" s="2"/>
      <c r="D1654" s="2"/>
      <c r="E1654" s="2"/>
      <c r="F1654" s="2"/>
      <c r="G1654" s="2"/>
      <c r="H1654" s="2"/>
      <c r="I1654" s="2"/>
      <c r="J1654" s="2"/>
      <c r="K1654" s="2"/>
    </row>
    <row r="1655" spans="1:11" x14ac:dyDescent="0.2">
      <c r="A1655" s="2"/>
      <c r="B1655" s="1" t="s">
        <v>1577</v>
      </c>
      <c r="C1655" s="2"/>
      <c r="D1655" s="2"/>
      <c r="E1655" s="2"/>
      <c r="F1655" s="2"/>
      <c r="G1655" s="2"/>
      <c r="H1655" s="2"/>
      <c r="I1655" s="2"/>
      <c r="J1655" s="2"/>
      <c r="K1655" s="2"/>
    </row>
    <row r="1656" spans="1:11" x14ac:dyDescent="0.2">
      <c r="A1656" s="1" t="s">
        <v>1578</v>
      </c>
      <c r="B1656" s="1" t="s">
        <v>1579</v>
      </c>
      <c r="C1656" s="1" t="str">
        <f>"66298848948462"</f>
        <v>66298848948462</v>
      </c>
      <c r="D1656" s="1" t="str">
        <f>"400464"</f>
        <v>400464</v>
      </c>
      <c r="E1656" s="1" t="s">
        <v>17</v>
      </c>
      <c r="F1656" s="1">
        <v>15</v>
      </c>
      <c r="G1656" s="1">
        <v>2619</v>
      </c>
      <c r="H1656" s="1">
        <v>39285</v>
      </c>
      <c r="I1656" s="1">
        <v>0</v>
      </c>
      <c r="J1656" s="1">
        <v>15</v>
      </c>
      <c r="K1656" s="1">
        <v>0</v>
      </c>
    </row>
    <row r="1657" spans="1:11" x14ac:dyDescent="0.2">
      <c r="A1657" s="1" t="s">
        <v>1578</v>
      </c>
      <c r="B1657" s="1" t="s">
        <v>1580</v>
      </c>
      <c r="C1657" s="1" t="str">
        <f>"66298848909102"</f>
        <v>66298848909102</v>
      </c>
      <c r="D1657" s="1" t="str">
        <f>"400467"</f>
        <v>400467</v>
      </c>
      <c r="E1657" s="1" t="s">
        <v>17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</row>
    <row r="1658" spans="1:11" x14ac:dyDescent="0.2">
      <c r="A1658" s="1" t="s">
        <v>1578</v>
      </c>
      <c r="B1658" s="1" t="s">
        <v>1581</v>
      </c>
      <c r="C1658" s="1" t="str">
        <f>"66298849068247"</f>
        <v>66298849068247</v>
      </c>
      <c r="D1658" s="1" t="str">
        <f>"400465"</f>
        <v>400465</v>
      </c>
      <c r="E1658" s="1" t="s">
        <v>17</v>
      </c>
      <c r="F1658" s="1">
        <v>3</v>
      </c>
      <c r="G1658" s="1">
        <v>2691</v>
      </c>
      <c r="H1658" s="1">
        <v>8073</v>
      </c>
      <c r="I1658" s="1">
        <v>0</v>
      </c>
      <c r="J1658" s="1">
        <v>3</v>
      </c>
      <c r="K1658" s="1">
        <v>0</v>
      </c>
    </row>
    <row r="1659" spans="1:11" x14ac:dyDescent="0.2">
      <c r="A1659" s="1" t="s">
        <v>1578</v>
      </c>
      <c r="B1659" s="1" t="s">
        <v>1582</v>
      </c>
      <c r="C1659" s="1" t="str">
        <f>"66298849105910"</f>
        <v>66298849105910</v>
      </c>
      <c r="D1659" s="1" t="str">
        <f>"400468"</f>
        <v>400468</v>
      </c>
      <c r="E1659" s="1" t="s">
        <v>17</v>
      </c>
      <c r="F1659" s="1">
        <v>20</v>
      </c>
      <c r="G1659" s="1">
        <v>2337</v>
      </c>
      <c r="H1659" s="1">
        <v>46740</v>
      </c>
      <c r="I1659" s="1">
        <v>0</v>
      </c>
      <c r="J1659" s="1">
        <v>20</v>
      </c>
      <c r="K1659" s="1">
        <v>0</v>
      </c>
    </row>
    <row r="1660" spans="1:11" x14ac:dyDescent="0.2">
      <c r="A1660" s="1" t="s">
        <v>1578</v>
      </c>
      <c r="B1660" s="1" t="s">
        <v>1583</v>
      </c>
      <c r="C1660" s="1" t="str">
        <f>"66298849148441"</f>
        <v>66298849148441</v>
      </c>
      <c r="D1660" s="1" t="str">
        <f>"400466"</f>
        <v>400466</v>
      </c>
      <c r="E1660" s="1" t="s">
        <v>17</v>
      </c>
      <c r="F1660" s="1">
        <v>8</v>
      </c>
      <c r="G1660" s="1">
        <v>1957</v>
      </c>
      <c r="H1660" s="1">
        <v>15656</v>
      </c>
      <c r="I1660" s="1">
        <v>0</v>
      </c>
      <c r="J1660" s="1">
        <v>8</v>
      </c>
      <c r="K1660" s="1">
        <v>0</v>
      </c>
    </row>
    <row r="1661" spans="1:11" x14ac:dyDescent="0.2">
      <c r="A1661" s="1" t="s">
        <v>1578</v>
      </c>
      <c r="B1661" s="1" t="s">
        <v>1584</v>
      </c>
      <c r="C1661" s="1" t="str">
        <f>"GJ010"</f>
        <v>GJ010</v>
      </c>
      <c r="D1661" s="1" t="str">
        <f>"GJ010"</f>
        <v>GJ010</v>
      </c>
      <c r="E1661" s="1" t="s">
        <v>17</v>
      </c>
      <c r="F1661" s="1">
        <v>2</v>
      </c>
      <c r="G1661" s="1">
        <v>1265</v>
      </c>
      <c r="H1661" s="1">
        <v>2530</v>
      </c>
      <c r="I1661" s="1">
        <v>0</v>
      </c>
      <c r="J1661" s="1">
        <v>2</v>
      </c>
      <c r="K1661" s="1">
        <v>0</v>
      </c>
    </row>
    <row r="1662" spans="1:11" ht="30" x14ac:dyDescent="0.2">
      <c r="A1662" s="1" t="s">
        <v>1578</v>
      </c>
      <c r="B1662" s="1" t="s">
        <v>1585</v>
      </c>
      <c r="C1662" s="1" t="str">
        <f>"66298846550885"</f>
        <v>66298846550885</v>
      </c>
      <c r="D1662" s="1" t="str">
        <f>"80952"</f>
        <v>80952</v>
      </c>
      <c r="E1662" s="1" t="s">
        <v>17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</row>
    <row r="1663" spans="1:11" x14ac:dyDescent="0.2">
      <c r="A1663" s="1" t="s">
        <v>1578</v>
      </c>
      <c r="B1663" s="1" t="s">
        <v>1586</v>
      </c>
      <c r="C1663" s="1" t="str">
        <f>"GJ004"</f>
        <v>GJ004</v>
      </c>
      <c r="D1663" s="1" t="str">
        <f>"GJ004"</f>
        <v>GJ004</v>
      </c>
      <c r="E1663" s="1" t="s">
        <v>17</v>
      </c>
      <c r="F1663" s="1">
        <v>3</v>
      </c>
      <c r="G1663" s="1">
        <v>1535</v>
      </c>
      <c r="H1663" s="1">
        <v>4605</v>
      </c>
      <c r="I1663" s="1">
        <v>0</v>
      </c>
      <c r="J1663" s="1">
        <v>3</v>
      </c>
      <c r="K1663" s="1">
        <v>0</v>
      </c>
    </row>
    <row r="1664" spans="1:11" x14ac:dyDescent="0.2">
      <c r="A1664" s="1" t="s">
        <v>1578</v>
      </c>
      <c r="B1664" s="1" t="s">
        <v>1587</v>
      </c>
      <c r="C1664" s="1" t="str">
        <f>"GJ001"</f>
        <v>GJ001</v>
      </c>
      <c r="D1664" s="1" t="str">
        <f>"GJ001"</f>
        <v>GJ001</v>
      </c>
      <c r="E1664" s="1" t="s">
        <v>17</v>
      </c>
      <c r="F1664" s="1">
        <v>1</v>
      </c>
      <c r="G1664" s="1">
        <v>1265</v>
      </c>
      <c r="H1664" s="1">
        <v>1265</v>
      </c>
      <c r="I1664" s="1">
        <v>0</v>
      </c>
      <c r="J1664" s="1">
        <v>1</v>
      </c>
      <c r="K1664" s="1">
        <v>0</v>
      </c>
    </row>
    <row r="1665" spans="1:11" x14ac:dyDescent="0.2">
      <c r="A1665" s="1" t="s">
        <v>1588</v>
      </c>
      <c r="B1665" s="1" t="s">
        <v>1589</v>
      </c>
      <c r="C1665" s="1" t="str">
        <f>"1593"</f>
        <v>1593</v>
      </c>
      <c r="D1665" s="1" t="str">
        <f>"1593"</f>
        <v>1593</v>
      </c>
      <c r="E1665" s="1" t="s">
        <v>17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</row>
    <row r="1666" spans="1:11" x14ac:dyDescent="0.2">
      <c r="A1666" s="1" t="s">
        <v>1588</v>
      </c>
      <c r="B1666" s="1" t="s">
        <v>1590</v>
      </c>
      <c r="C1666" s="1" t="str">
        <f>"66298846770060"</f>
        <v>66298846770060</v>
      </c>
      <c r="D1666" s="1" t="str">
        <f>"401018"</f>
        <v>401018</v>
      </c>
      <c r="E1666" s="1" t="s">
        <v>17</v>
      </c>
      <c r="F1666" s="1">
        <v>35</v>
      </c>
      <c r="G1666" s="1">
        <v>4100</v>
      </c>
      <c r="H1666" s="1">
        <v>143500</v>
      </c>
      <c r="I1666" s="1">
        <v>0</v>
      </c>
      <c r="J1666" s="1">
        <v>35</v>
      </c>
      <c r="K1666" s="1">
        <v>0</v>
      </c>
    </row>
    <row r="1667" spans="1:11" x14ac:dyDescent="0.2">
      <c r="A1667" s="1" t="s">
        <v>1588</v>
      </c>
      <c r="B1667" s="1" t="s">
        <v>1591</v>
      </c>
      <c r="C1667" s="1" t="str">
        <f>"66298846817714"</f>
        <v>66298846817714</v>
      </c>
      <c r="D1667" s="1" t="str">
        <f>"401017"</f>
        <v>401017</v>
      </c>
      <c r="E1667" s="1" t="s">
        <v>17</v>
      </c>
      <c r="F1667" s="1">
        <v>35</v>
      </c>
      <c r="G1667" s="1">
        <v>4579</v>
      </c>
      <c r="H1667" s="1">
        <v>160265</v>
      </c>
      <c r="I1667" s="1">
        <v>0</v>
      </c>
      <c r="J1667" s="1">
        <v>35</v>
      </c>
      <c r="K1667" s="1">
        <v>0</v>
      </c>
    </row>
    <row r="1668" spans="1:11" x14ac:dyDescent="0.2">
      <c r="A1668" s="1" t="s">
        <v>1588</v>
      </c>
      <c r="B1668" s="1" t="s">
        <v>1592</v>
      </c>
      <c r="C1668" s="1" t="str">
        <f>"66298846719666"</f>
        <v>66298846719666</v>
      </c>
      <c r="D1668" s="1" t="str">
        <f>"401012"</f>
        <v>401012</v>
      </c>
      <c r="E1668" s="1" t="s">
        <v>17</v>
      </c>
      <c r="F1668" s="1">
        <v>39</v>
      </c>
      <c r="G1668" s="1">
        <v>3544</v>
      </c>
      <c r="H1668" s="1">
        <v>138216</v>
      </c>
      <c r="I1668" s="1">
        <v>0</v>
      </c>
      <c r="J1668" s="1">
        <v>39</v>
      </c>
      <c r="K1668" s="1">
        <v>0</v>
      </c>
    </row>
    <row r="1669" spans="1:11" x14ac:dyDescent="0.2">
      <c r="A1669" s="1" t="s">
        <v>1588</v>
      </c>
      <c r="B1669" s="1" t="s">
        <v>1593</v>
      </c>
      <c r="C1669" s="1" t="str">
        <f>"DE008"</f>
        <v>DE008</v>
      </c>
      <c r="D1669" s="1" t="str">
        <f>"DE008"</f>
        <v>DE008</v>
      </c>
      <c r="E1669" s="1" t="s">
        <v>17</v>
      </c>
      <c r="F1669" s="1">
        <v>3</v>
      </c>
      <c r="G1669" s="1">
        <v>8789</v>
      </c>
      <c r="H1669" s="1">
        <v>26367</v>
      </c>
      <c r="I1669" s="1">
        <v>0</v>
      </c>
      <c r="J1669" s="1">
        <v>3</v>
      </c>
      <c r="K1669" s="1">
        <v>0</v>
      </c>
    </row>
    <row r="1670" spans="1:11" x14ac:dyDescent="0.2">
      <c r="A1670" s="1" t="s">
        <v>1588</v>
      </c>
      <c r="B1670" s="1" t="s">
        <v>1594</v>
      </c>
      <c r="C1670" s="1" t="str">
        <f>"3223"</f>
        <v>3223</v>
      </c>
      <c r="D1670" s="1" t="str">
        <f>"3223"</f>
        <v>3223</v>
      </c>
      <c r="E1670" s="1" t="s">
        <v>17</v>
      </c>
      <c r="F1670" s="1">
        <v>2</v>
      </c>
      <c r="G1670" s="1">
        <v>11036.97</v>
      </c>
      <c r="H1670" s="1">
        <v>22074</v>
      </c>
      <c r="I1670" s="1">
        <v>0</v>
      </c>
      <c r="J1670" s="1">
        <v>2</v>
      </c>
      <c r="K1670" s="1">
        <v>0</v>
      </c>
    </row>
    <row r="1671" spans="1:11" x14ac:dyDescent="0.2">
      <c r="A1671" s="1" t="s">
        <v>1588</v>
      </c>
      <c r="B1671" s="1" t="s">
        <v>1595</v>
      </c>
      <c r="C1671" s="1" t="str">
        <f>"66298846856317"</f>
        <v>66298846856317</v>
      </c>
      <c r="D1671" s="1" t="str">
        <f>"11514"</f>
        <v>11514</v>
      </c>
      <c r="E1671" s="1" t="s">
        <v>17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</row>
    <row r="1672" spans="1:11" x14ac:dyDescent="0.2">
      <c r="A1672" s="1" t="s">
        <v>1588</v>
      </c>
      <c r="B1672" s="1" t="s">
        <v>1596</v>
      </c>
      <c r="C1672" s="1" t="str">
        <f>"66298846942633"</f>
        <v>66298846942633</v>
      </c>
      <c r="D1672" s="1" t="str">
        <f>"400098"</f>
        <v>400098</v>
      </c>
      <c r="E1672" s="1" t="s">
        <v>17</v>
      </c>
      <c r="F1672" s="1">
        <v>10</v>
      </c>
      <c r="G1672" s="1">
        <v>7482</v>
      </c>
      <c r="H1672" s="1">
        <v>74820</v>
      </c>
      <c r="I1672" s="1">
        <v>0</v>
      </c>
      <c r="J1672" s="1">
        <v>10</v>
      </c>
      <c r="K1672" s="1">
        <v>0</v>
      </c>
    </row>
    <row r="1673" spans="1:11" x14ac:dyDescent="0.2">
      <c r="A1673" s="1" t="s">
        <v>1588</v>
      </c>
      <c r="B1673" s="1" t="s">
        <v>1597</v>
      </c>
      <c r="C1673" s="1" t="str">
        <f>"66298846998501"</f>
        <v>66298846998501</v>
      </c>
      <c r="D1673" s="1" t="str">
        <f>"401010"</f>
        <v>401010</v>
      </c>
      <c r="E1673" s="1" t="s">
        <v>17</v>
      </c>
      <c r="F1673" s="1">
        <v>71</v>
      </c>
      <c r="G1673" s="1">
        <v>5072</v>
      </c>
      <c r="H1673" s="1">
        <v>360112</v>
      </c>
      <c r="I1673" s="1">
        <v>0</v>
      </c>
      <c r="J1673" s="1">
        <v>71</v>
      </c>
      <c r="K1673" s="1">
        <v>0</v>
      </c>
    </row>
    <row r="1674" spans="1:11" x14ac:dyDescent="0.2">
      <c r="A1674" s="1" t="s">
        <v>1588</v>
      </c>
      <c r="B1674" s="1" t="s">
        <v>1598</v>
      </c>
      <c r="C1674" s="1" t="str">
        <f>"66298846896255"</f>
        <v>66298846896255</v>
      </c>
      <c r="D1674" s="1" t="str">
        <f>"21C-E2170-00JP"</f>
        <v>21C-E2170-00JP</v>
      </c>
      <c r="E1674" s="1" t="s">
        <v>17</v>
      </c>
      <c r="F1674" s="1">
        <v>1</v>
      </c>
      <c r="G1674" s="1">
        <v>14175</v>
      </c>
      <c r="H1674" s="1">
        <v>14175</v>
      </c>
      <c r="I1674" s="1">
        <v>0</v>
      </c>
      <c r="J1674" s="1">
        <v>1</v>
      </c>
      <c r="K1674" s="1">
        <v>0</v>
      </c>
    </row>
    <row r="1675" spans="1:11" x14ac:dyDescent="0.2">
      <c r="A1675" s="1" t="s">
        <v>1588</v>
      </c>
      <c r="B1675" s="1" t="s">
        <v>1599</v>
      </c>
      <c r="C1675" s="1" t="str">
        <f>"66298847040504"</f>
        <v>66298847040504</v>
      </c>
      <c r="D1675" s="1" t="str">
        <f>"401109"</f>
        <v>401109</v>
      </c>
      <c r="E1675" s="1" t="s">
        <v>17</v>
      </c>
      <c r="F1675" s="1">
        <v>13</v>
      </c>
      <c r="G1675" s="1">
        <v>7008</v>
      </c>
      <c r="H1675" s="1">
        <v>91104</v>
      </c>
      <c r="I1675" s="1">
        <v>0</v>
      </c>
      <c r="J1675" s="1">
        <v>13</v>
      </c>
      <c r="K1675" s="1">
        <v>0</v>
      </c>
    </row>
    <row r="1676" spans="1:11" x14ac:dyDescent="0.2">
      <c r="A1676" s="1" t="s">
        <v>1588</v>
      </c>
      <c r="B1676" s="1" t="s">
        <v>1600</v>
      </c>
      <c r="C1676" s="1" t="str">
        <f>"66298847079059"</f>
        <v>66298847079059</v>
      </c>
      <c r="D1676" s="1" t="str">
        <f>"401013"</f>
        <v>401013</v>
      </c>
      <c r="E1676" s="1" t="s">
        <v>17</v>
      </c>
      <c r="F1676" s="1">
        <v>58</v>
      </c>
      <c r="G1676" s="1">
        <v>4952</v>
      </c>
      <c r="H1676" s="1">
        <v>287216</v>
      </c>
      <c r="I1676" s="1">
        <v>0</v>
      </c>
      <c r="J1676" s="1">
        <v>58</v>
      </c>
      <c r="K1676" s="1">
        <v>0</v>
      </c>
    </row>
    <row r="1677" spans="1:11" x14ac:dyDescent="0.2">
      <c r="A1677" s="1" t="s">
        <v>1588</v>
      </c>
      <c r="B1677" s="1" t="s">
        <v>1601</v>
      </c>
      <c r="C1677" s="1" t="str">
        <f>"66298847121632"</f>
        <v>66298847121632</v>
      </c>
      <c r="D1677" s="1" t="str">
        <f>"400093"</f>
        <v>400093</v>
      </c>
      <c r="E1677" s="1" t="s">
        <v>17</v>
      </c>
      <c r="F1677" s="1">
        <v>15</v>
      </c>
      <c r="G1677" s="1">
        <v>4654</v>
      </c>
      <c r="H1677" s="1">
        <v>69810</v>
      </c>
      <c r="I1677" s="1">
        <v>0</v>
      </c>
      <c r="J1677" s="1">
        <v>15</v>
      </c>
      <c r="K1677" s="1">
        <v>0</v>
      </c>
    </row>
    <row r="1678" spans="1:11" x14ac:dyDescent="0.2">
      <c r="A1678" s="1" t="s">
        <v>1588</v>
      </c>
      <c r="B1678" s="1" t="s">
        <v>1602</v>
      </c>
      <c r="C1678" s="1" t="str">
        <f>"12710-12F50JP"</f>
        <v>12710-12F50JP</v>
      </c>
      <c r="D1678" s="1" t="str">
        <f>"12710-12F50JP"</f>
        <v>12710-12F50JP</v>
      </c>
      <c r="E1678" s="1" t="s">
        <v>17</v>
      </c>
      <c r="F1678" s="1">
        <v>3</v>
      </c>
      <c r="G1678" s="1">
        <v>8012</v>
      </c>
      <c r="H1678" s="1">
        <v>24036</v>
      </c>
      <c r="I1678" s="1">
        <v>0</v>
      </c>
      <c r="J1678" s="1">
        <v>3</v>
      </c>
      <c r="K1678" s="1">
        <v>0</v>
      </c>
    </row>
    <row r="1679" spans="1:11" x14ac:dyDescent="0.2">
      <c r="A1679" s="1" t="s">
        <v>1588</v>
      </c>
      <c r="B1679" s="1" t="s">
        <v>1603</v>
      </c>
      <c r="C1679" s="1" t="str">
        <f>"66298847159686"</f>
        <v>66298847159686</v>
      </c>
      <c r="D1679" s="1" t="str">
        <f>"12711-42A10JP"</f>
        <v>12711-42A10JP</v>
      </c>
      <c r="E1679" s="1" t="s">
        <v>17</v>
      </c>
      <c r="F1679" s="1">
        <v>4</v>
      </c>
      <c r="G1679" s="1">
        <v>5670</v>
      </c>
      <c r="H1679" s="1">
        <v>22680</v>
      </c>
      <c r="I1679" s="1">
        <v>0</v>
      </c>
      <c r="J1679" s="1">
        <v>4</v>
      </c>
      <c r="K1679" s="1">
        <v>0</v>
      </c>
    </row>
    <row r="1680" spans="1:11" x14ac:dyDescent="0.2">
      <c r="A1680" s="1" t="s">
        <v>1588</v>
      </c>
      <c r="B1680" s="1" t="s">
        <v>1604</v>
      </c>
      <c r="C1680" s="1" t="str">
        <f>"66298847197033"</f>
        <v>66298847197033</v>
      </c>
      <c r="D1680" s="1" t="str">
        <f>"DE004"</f>
        <v>DE004</v>
      </c>
      <c r="E1680" s="1" t="s">
        <v>17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</row>
    <row r="1681" spans="1:11" x14ac:dyDescent="0.2">
      <c r="A1681" s="1" t="s">
        <v>1588</v>
      </c>
      <c r="B1681" s="1" t="s">
        <v>1605</v>
      </c>
      <c r="C1681" s="1" t="str">
        <f>"66298847235324"</f>
        <v>66298847235324</v>
      </c>
      <c r="D1681" s="1" t="str">
        <f>"401108"</f>
        <v>401108</v>
      </c>
      <c r="E1681" s="1" t="s">
        <v>17</v>
      </c>
      <c r="F1681" s="1">
        <v>7</v>
      </c>
      <c r="G1681" s="1">
        <v>7009</v>
      </c>
      <c r="H1681" s="1">
        <v>49063</v>
      </c>
      <c r="I1681" s="1">
        <v>0</v>
      </c>
      <c r="J1681" s="1">
        <v>7</v>
      </c>
      <c r="K1681" s="1">
        <v>0</v>
      </c>
    </row>
    <row r="1682" spans="1:11" x14ac:dyDescent="0.2">
      <c r="A1682" s="1" t="s">
        <v>1588</v>
      </c>
      <c r="B1682" s="1" t="s">
        <v>1606</v>
      </c>
      <c r="C1682" s="1" t="str">
        <f>"66298847277216"</f>
        <v>66298847277216</v>
      </c>
      <c r="D1682" s="1" t="str">
        <f>"12710H3D021H000"</f>
        <v>12710H3D021H000</v>
      </c>
      <c r="E1682" s="1" t="s">
        <v>17</v>
      </c>
      <c r="F1682" s="1">
        <v>2</v>
      </c>
      <c r="G1682" s="1">
        <v>16000</v>
      </c>
      <c r="H1682" s="1">
        <v>32000</v>
      </c>
      <c r="I1682" s="1">
        <v>0</v>
      </c>
      <c r="J1682" s="1">
        <v>2</v>
      </c>
      <c r="K1682" s="1">
        <v>0</v>
      </c>
    </row>
    <row r="1683" spans="1:11" x14ac:dyDescent="0.2">
      <c r="A1683" s="1" t="s">
        <v>1588</v>
      </c>
      <c r="B1683" s="1" t="s">
        <v>1607</v>
      </c>
      <c r="C1683" s="1" t="str">
        <f>"66298847319066"</f>
        <v>66298847319066</v>
      </c>
      <c r="D1683" s="1" t="str">
        <f>"DE015"</f>
        <v>DE015</v>
      </c>
      <c r="E1683" s="1" t="s">
        <v>17</v>
      </c>
      <c r="F1683" s="1">
        <v>4</v>
      </c>
      <c r="G1683" s="1">
        <v>3488</v>
      </c>
      <c r="H1683" s="1">
        <v>13952</v>
      </c>
      <c r="I1683" s="1">
        <v>0</v>
      </c>
      <c r="J1683" s="1">
        <v>4</v>
      </c>
      <c r="K1683" s="1">
        <v>0</v>
      </c>
    </row>
    <row r="1684" spans="1:11" x14ac:dyDescent="0.2">
      <c r="A1684" s="1" t="s">
        <v>1588</v>
      </c>
      <c r="B1684" s="1" t="s">
        <v>1608</v>
      </c>
      <c r="C1684" s="1" t="str">
        <f>"66298847366358"</f>
        <v>66298847366358</v>
      </c>
      <c r="D1684" s="1" t="str">
        <f>"JD-5112-11"</f>
        <v>JD-5112-11</v>
      </c>
      <c r="E1684" s="1" t="s">
        <v>17</v>
      </c>
      <c r="F1684" s="1">
        <v>1</v>
      </c>
      <c r="G1684" s="1">
        <v>10870</v>
      </c>
      <c r="H1684" s="1">
        <v>10870</v>
      </c>
      <c r="I1684" s="1">
        <v>0</v>
      </c>
      <c r="J1684" s="1">
        <v>1</v>
      </c>
      <c r="K1684" s="1">
        <v>0</v>
      </c>
    </row>
    <row r="1685" spans="1:11" x14ac:dyDescent="0.2">
      <c r="A1685" s="1" t="s">
        <v>1588</v>
      </c>
      <c r="B1685" s="1" t="s">
        <v>1609</v>
      </c>
      <c r="C1685" s="1" t="str">
        <f>"66298847411811"</f>
        <v>66298847411811</v>
      </c>
      <c r="D1685" s="1" t="str">
        <f>"401110"</f>
        <v>401110</v>
      </c>
      <c r="E1685" s="1" t="s">
        <v>17</v>
      </c>
      <c r="F1685" s="1">
        <v>9</v>
      </c>
      <c r="G1685" s="1">
        <v>6272</v>
      </c>
      <c r="H1685" s="1">
        <v>56448</v>
      </c>
      <c r="I1685" s="1">
        <v>0</v>
      </c>
      <c r="J1685" s="1">
        <v>9</v>
      </c>
      <c r="K1685" s="1">
        <v>0</v>
      </c>
    </row>
    <row r="1686" spans="1:11" x14ac:dyDescent="0.2">
      <c r="A1686" s="1" t="s">
        <v>1588</v>
      </c>
      <c r="B1686" s="1" t="s">
        <v>1610</v>
      </c>
      <c r="C1686" s="1" t="str">
        <f>"66298847455945"</f>
        <v>66298847455945</v>
      </c>
      <c r="D1686" s="1" t="str">
        <f>"401005"</f>
        <v>401005</v>
      </c>
      <c r="E1686" s="1" t="s">
        <v>17</v>
      </c>
      <c r="F1686" s="1">
        <v>21</v>
      </c>
      <c r="G1686" s="1">
        <v>3914</v>
      </c>
      <c r="H1686" s="1">
        <v>82194</v>
      </c>
      <c r="I1686" s="1">
        <v>0</v>
      </c>
      <c r="J1686" s="1">
        <v>21</v>
      </c>
      <c r="K1686" s="1">
        <v>0</v>
      </c>
    </row>
    <row r="1687" spans="1:11" x14ac:dyDescent="0.2">
      <c r="A1687" s="1" t="s">
        <v>1588</v>
      </c>
      <c r="B1687" s="1" t="s">
        <v>1611</v>
      </c>
      <c r="C1687" s="1" t="str">
        <f>"JL511241"</f>
        <v>JL511241</v>
      </c>
      <c r="D1687" s="1" t="str">
        <f>"JL511241"</f>
        <v>JL511241</v>
      </c>
      <c r="E1687" s="1" t="s">
        <v>17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</row>
    <row r="1688" spans="1:11" x14ac:dyDescent="0.2">
      <c r="A1688" s="1" t="s">
        <v>1588</v>
      </c>
      <c r="B1688" s="1" t="s">
        <v>1612</v>
      </c>
      <c r="C1688" s="1" t="str">
        <f>"66298847493207"</f>
        <v>66298847493207</v>
      </c>
      <c r="D1688" s="1" t="str">
        <f>"DJ-1013-73JP"</f>
        <v>DJ-1013-73JP</v>
      </c>
      <c r="E1688" s="1" t="s">
        <v>17</v>
      </c>
      <c r="F1688" s="1">
        <v>3</v>
      </c>
      <c r="G1688" s="1">
        <v>7026</v>
      </c>
      <c r="H1688" s="1">
        <v>21078</v>
      </c>
      <c r="I1688" s="1">
        <v>0</v>
      </c>
      <c r="J1688" s="1">
        <v>3</v>
      </c>
      <c r="K1688" s="1">
        <v>0</v>
      </c>
    </row>
    <row r="1689" spans="1:11" x14ac:dyDescent="0.2">
      <c r="A1689" s="1" t="s">
        <v>1588</v>
      </c>
      <c r="B1689" s="1" t="s">
        <v>1613</v>
      </c>
      <c r="C1689" s="1" t="str">
        <f>"66298847540438"</f>
        <v>66298847540438</v>
      </c>
      <c r="D1689" s="1" t="str">
        <f>"11714"</f>
        <v>11714</v>
      </c>
      <c r="E1689" s="1" t="s">
        <v>17</v>
      </c>
      <c r="F1689" s="1">
        <v>1</v>
      </c>
      <c r="G1689" s="1">
        <v>19353</v>
      </c>
      <c r="H1689" s="1">
        <v>19353</v>
      </c>
      <c r="I1689" s="1">
        <v>0</v>
      </c>
      <c r="J1689" s="1">
        <v>1</v>
      </c>
      <c r="K1689" s="1">
        <v>0</v>
      </c>
    </row>
    <row r="1690" spans="1:11" x14ac:dyDescent="0.2">
      <c r="A1690" s="1" t="s">
        <v>1588</v>
      </c>
      <c r="B1690" s="1" t="s">
        <v>1614</v>
      </c>
      <c r="C1690" s="1" t="str">
        <f>"66298847592617"</f>
        <v>66298847592617</v>
      </c>
      <c r="D1690" s="1" t="str">
        <f>"14100-KBB-900JP"</f>
        <v>14100-KBB-900JP</v>
      </c>
      <c r="E1690" s="1" t="s">
        <v>17</v>
      </c>
      <c r="F1690" s="1">
        <v>1</v>
      </c>
      <c r="G1690" s="1">
        <v>11044</v>
      </c>
      <c r="H1690" s="1">
        <v>11044</v>
      </c>
      <c r="I1690" s="1">
        <v>0</v>
      </c>
      <c r="J1690" s="1">
        <v>1</v>
      </c>
      <c r="K1690" s="1">
        <v>0</v>
      </c>
    </row>
    <row r="1691" spans="1:11" x14ac:dyDescent="0.2">
      <c r="A1691" s="1" t="s">
        <v>1588</v>
      </c>
      <c r="B1691" s="1" t="s">
        <v>1615</v>
      </c>
      <c r="C1691" s="1" t="str">
        <f>"66298847631586"</f>
        <v>66298847631586</v>
      </c>
      <c r="D1691" s="1" t="str">
        <f>"400097"</f>
        <v>400097</v>
      </c>
      <c r="E1691" s="1" t="s">
        <v>17</v>
      </c>
      <c r="F1691" s="1">
        <v>24</v>
      </c>
      <c r="G1691" s="1">
        <v>4350</v>
      </c>
      <c r="H1691" s="1">
        <v>104400</v>
      </c>
      <c r="I1691" s="1">
        <v>0</v>
      </c>
      <c r="J1691" s="1">
        <v>24</v>
      </c>
      <c r="K1691" s="1">
        <v>0</v>
      </c>
    </row>
    <row r="1692" spans="1:11" ht="30" x14ac:dyDescent="0.2">
      <c r="A1692" s="1" t="s">
        <v>1588</v>
      </c>
      <c r="B1692" s="1" t="s">
        <v>1616</v>
      </c>
      <c r="C1692" s="1" t="str">
        <f>"66298847669912"</f>
        <v>66298847669912</v>
      </c>
      <c r="D1692" s="1" t="str">
        <f>"401105"</f>
        <v>401105</v>
      </c>
      <c r="E1692" s="1" t="s">
        <v>17</v>
      </c>
      <c r="F1692" s="1">
        <v>18</v>
      </c>
      <c r="G1692" s="1">
        <v>13012</v>
      </c>
      <c r="H1692" s="1">
        <v>234216</v>
      </c>
      <c r="I1692" s="1">
        <v>0</v>
      </c>
      <c r="J1692" s="1">
        <v>18</v>
      </c>
      <c r="K1692" s="1">
        <v>0</v>
      </c>
    </row>
    <row r="1693" spans="1:11" ht="30" x14ac:dyDescent="0.2">
      <c r="A1693" s="1" t="s">
        <v>1588</v>
      </c>
      <c r="B1693" s="1" t="s">
        <v>1617</v>
      </c>
      <c r="C1693" s="1" t="str">
        <f>"66298847706637"</f>
        <v>66298847706637</v>
      </c>
      <c r="D1693" s="1" t="str">
        <f>"401009"</f>
        <v>401009</v>
      </c>
      <c r="E1693" s="1" t="s">
        <v>17</v>
      </c>
      <c r="F1693" s="1">
        <v>34</v>
      </c>
      <c r="G1693" s="1">
        <v>6234</v>
      </c>
      <c r="H1693" s="1">
        <v>211956</v>
      </c>
      <c r="I1693" s="1">
        <v>0</v>
      </c>
      <c r="J1693" s="1">
        <v>34</v>
      </c>
      <c r="K1693" s="1">
        <v>0</v>
      </c>
    </row>
    <row r="1694" spans="1:11" x14ac:dyDescent="0.2">
      <c r="A1694" s="1" t="s">
        <v>1588</v>
      </c>
      <c r="B1694" s="1" t="s">
        <v>1618</v>
      </c>
      <c r="C1694" s="1" t="str">
        <f>"66298847747405"</f>
        <v>66298847747405</v>
      </c>
      <c r="D1694" s="1" t="str">
        <f>"401023"</f>
        <v>401023</v>
      </c>
      <c r="E1694" s="1" t="s">
        <v>17</v>
      </c>
      <c r="F1694" s="1">
        <v>53</v>
      </c>
      <c r="G1694" s="1">
        <v>2716</v>
      </c>
      <c r="H1694" s="1">
        <v>143948</v>
      </c>
      <c r="I1694" s="1">
        <v>0</v>
      </c>
      <c r="J1694" s="1">
        <v>53</v>
      </c>
      <c r="K1694" s="1">
        <v>0</v>
      </c>
    </row>
    <row r="1695" spans="1:11" x14ac:dyDescent="0.2">
      <c r="A1695" s="1" t="s">
        <v>1588</v>
      </c>
      <c r="B1695" s="1" t="s">
        <v>1619</v>
      </c>
      <c r="C1695" s="1" t="str">
        <f>"66298847865357"</f>
        <v>66298847865357</v>
      </c>
      <c r="D1695" s="1" t="str">
        <f>"401111"</f>
        <v>401111</v>
      </c>
      <c r="E1695" s="1" t="s">
        <v>17</v>
      </c>
      <c r="F1695" s="1">
        <v>11</v>
      </c>
      <c r="G1695" s="1">
        <v>5802</v>
      </c>
      <c r="H1695" s="1">
        <v>63822</v>
      </c>
      <c r="I1695" s="1">
        <v>0</v>
      </c>
      <c r="J1695" s="1">
        <v>11</v>
      </c>
      <c r="K1695" s="1">
        <v>0</v>
      </c>
    </row>
    <row r="1696" spans="1:11" x14ac:dyDescent="0.2">
      <c r="A1696" s="1" t="s">
        <v>1588</v>
      </c>
      <c r="B1696" s="1" t="s">
        <v>1620</v>
      </c>
      <c r="C1696" s="1" t="str">
        <f>"66298847787944"</f>
        <v>66298847787944</v>
      </c>
      <c r="D1696" s="1" t="str">
        <f>"80516"</f>
        <v>80516</v>
      </c>
      <c r="E1696" s="1" t="s">
        <v>17</v>
      </c>
      <c r="F1696" s="1">
        <v>4</v>
      </c>
      <c r="G1696" s="1">
        <v>2238</v>
      </c>
      <c r="H1696" s="1">
        <v>8952</v>
      </c>
      <c r="I1696" s="1">
        <v>0</v>
      </c>
      <c r="J1696" s="1">
        <v>4</v>
      </c>
      <c r="K1696" s="1">
        <v>0</v>
      </c>
    </row>
    <row r="1697" spans="1:11" x14ac:dyDescent="0.2">
      <c r="A1697" s="1" t="s">
        <v>1588</v>
      </c>
      <c r="B1697" s="1" t="s">
        <v>1620</v>
      </c>
      <c r="C1697" s="1" t="str">
        <f>"66298847823758"</f>
        <v>66298847823758</v>
      </c>
      <c r="D1697" s="1" t="str">
        <f>"5YY-E2170-00JP"</f>
        <v>5YY-E2170-00JP</v>
      </c>
      <c r="E1697" s="1" t="s">
        <v>17</v>
      </c>
      <c r="F1697" s="1">
        <v>2</v>
      </c>
      <c r="G1697" s="1">
        <v>10069</v>
      </c>
      <c r="H1697" s="1">
        <v>20138</v>
      </c>
      <c r="I1697" s="1">
        <v>0</v>
      </c>
      <c r="J1697" s="1">
        <v>2</v>
      </c>
      <c r="K1697" s="1">
        <v>0</v>
      </c>
    </row>
    <row r="1698" spans="1:11" x14ac:dyDescent="0.2">
      <c r="A1698" s="1" t="s">
        <v>1588</v>
      </c>
      <c r="B1698" s="1" t="s">
        <v>1621</v>
      </c>
      <c r="C1698" s="1" t="str">
        <f>"66298847945623"</f>
        <v>66298847945623</v>
      </c>
      <c r="D1698" s="1" t="str">
        <f>"401011"</f>
        <v>401011</v>
      </c>
      <c r="E1698" s="1" t="s">
        <v>17</v>
      </c>
      <c r="F1698" s="1">
        <v>23</v>
      </c>
      <c r="G1698" s="1">
        <v>4558</v>
      </c>
      <c r="H1698" s="1">
        <v>104834</v>
      </c>
      <c r="I1698" s="1">
        <v>0</v>
      </c>
      <c r="J1698" s="1">
        <v>23</v>
      </c>
      <c r="K1698" s="1">
        <v>0</v>
      </c>
    </row>
    <row r="1699" spans="1:11" x14ac:dyDescent="0.2">
      <c r="A1699" s="1" t="s">
        <v>1588</v>
      </c>
      <c r="B1699" s="1" t="s">
        <v>1622</v>
      </c>
      <c r="C1699" s="1" t="str">
        <f>"66298847905688"</f>
        <v>66298847905688</v>
      </c>
      <c r="D1699" s="1" t="str">
        <f>"351"</f>
        <v>351</v>
      </c>
      <c r="E1699" s="1" t="s">
        <v>17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</row>
    <row r="1700" spans="1:11" x14ac:dyDescent="0.2">
      <c r="A1700" s="1" t="s">
        <v>1578</v>
      </c>
      <c r="B1700" s="1" t="s">
        <v>1623</v>
      </c>
      <c r="C1700" s="1" t="str">
        <f>"66298847984326"</f>
        <v>66298847984326</v>
      </c>
      <c r="D1700" s="1" t="str">
        <f>"GJ006"</f>
        <v>GJ006</v>
      </c>
      <c r="E1700" s="1" t="s">
        <v>17</v>
      </c>
      <c r="F1700" s="1">
        <v>4</v>
      </c>
      <c r="G1700" s="1">
        <v>1535</v>
      </c>
      <c r="H1700" s="1">
        <v>6140</v>
      </c>
      <c r="I1700" s="1">
        <v>0</v>
      </c>
      <c r="J1700" s="1">
        <v>4</v>
      </c>
      <c r="K1700" s="1">
        <v>0</v>
      </c>
    </row>
    <row r="1701" spans="1:11" x14ac:dyDescent="0.2">
      <c r="A1701" s="1" t="s">
        <v>1578</v>
      </c>
      <c r="B1701" s="1" t="s">
        <v>1624</v>
      </c>
      <c r="C1701" s="1" t="str">
        <f>"66298848025936"</f>
        <v>66298848025936</v>
      </c>
      <c r="D1701" s="1" t="str">
        <f>"GJ003"</f>
        <v>GJ003</v>
      </c>
      <c r="E1701" s="1" t="s">
        <v>17</v>
      </c>
      <c r="F1701" s="1">
        <v>7</v>
      </c>
      <c r="G1701" s="1">
        <v>1265</v>
      </c>
      <c r="H1701" s="1">
        <v>8855</v>
      </c>
      <c r="I1701" s="1">
        <v>0</v>
      </c>
      <c r="J1701" s="1">
        <v>7</v>
      </c>
      <c r="K1701" s="1">
        <v>0</v>
      </c>
    </row>
    <row r="1702" spans="1:11" x14ac:dyDescent="0.2">
      <c r="A1702" s="1" t="s">
        <v>1578</v>
      </c>
      <c r="B1702" s="1" t="s">
        <v>1625</v>
      </c>
      <c r="C1702" s="1" t="str">
        <f>"66298848068626"</f>
        <v>66298848068626</v>
      </c>
      <c r="D1702" s="1" t="str">
        <f>"400677"</f>
        <v>400677</v>
      </c>
      <c r="E1702" s="1" t="s">
        <v>17</v>
      </c>
      <c r="F1702" s="1">
        <v>24</v>
      </c>
      <c r="G1702" s="1">
        <v>3302</v>
      </c>
      <c r="H1702" s="1">
        <v>79248</v>
      </c>
      <c r="I1702" s="1">
        <v>0</v>
      </c>
      <c r="J1702" s="1">
        <v>24</v>
      </c>
      <c r="K1702" s="1">
        <v>0</v>
      </c>
    </row>
    <row r="1703" spans="1:11" x14ac:dyDescent="0.2">
      <c r="A1703" s="1" t="s">
        <v>1578</v>
      </c>
      <c r="B1703" s="1" t="s">
        <v>1626</v>
      </c>
      <c r="C1703" s="1" t="str">
        <f>"66298848112803"</f>
        <v>66298848112803</v>
      </c>
      <c r="D1703" s="1" t="str">
        <f>"400679"</f>
        <v>400679</v>
      </c>
      <c r="E1703" s="1" t="s">
        <v>17</v>
      </c>
      <c r="F1703" s="1">
        <v>13</v>
      </c>
      <c r="G1703" s="1">
        <v>2539</v>
      </c>
      <c r="H1703" s="1">
        <v>33007</v>
      </c>
      <c r="I1703" s="1">
        <v>0</v>
      </c>
      <c r="J1703" s="1">
        <v>13</v>
      </c>
      <c r="K1703" s="1">
        <v>0</v>
      </c>
    </row>
    <row r="1704" spans="1:11" x14ac:dyDescent="0.2">
      <c r="A1704" s="1" t="s">
        <v>1578</v>
      </c>
      <c r="B1704" s="1" t="s">
        <v>1627</v>
      </c>
      <c r="C1704" s="1" t="str">
        <f>"66298848154338"</f>
        <v>66298848154338</v>
      </c>
      <c r="D1704" s="1" t="str">
        <f>"400678"</f>
        <v>400678</v>
      </c>
      <c r="E1704" s="1" t="s">
        <v>17</v>
      </c>
      <c r="F1704" s="1">
        <v>17</v>
      </c>
      <c r="G1704" s="1">
        <v>1464</v>
      </c>
      <c r="H1704" s="1">
        <v>24888</v>
      </c>
      <c r="I1704" s="1">
        <v>0</v>
      </c>
      <c r="J1704" s="1">
        <v>17</v>
      </c>
      <c r="K1704" s="1">
        <v>0</v>
      </c>
    </row>
    <row r="1705" spans="1:11" x14ac:dyDescent="0.2">
      <c r="A1705" s="1" t="s">
        <v>1578</v>
      </c>
      <c r="B1705" s="1" t="s">
        <v>1628</v>
      </c>
      <c r="C1705" s="1" t="str">
        <f>"66298848196303"</f>
        <v>66298848196303</v>
      </c>
      <c r="D1705" s="1" t="str">
        <f>"400680"</f>
        <v>400680</v>
      </c>
      <c r="E1705" s="1" t="s">
        <v>17</v>
      </c>
      <c r="F1705" s="1">
        <v>19</v>
      </c>
      <c r="G1705" s="1">
        <v>1743</v>
      </c>
      <c r="H1705" s="1">
        <v>33117</v>
      </c>
      <c r="I1705" s="1">
        <v>0</v>
      </c>
      <c r="J1705" s="1">
        <v>19</v>
      </c>
      <c r="K1705" s="1">
        <v>0</v>
      </c>
    </row>
    <row r="1706" spans="1:11" x14ac:dyDescent="0.2">
      <c r="A1706" s="1" t="s">
        <v>1578</v>
      </c>
      <c r="B1706" s="1" t="s">
        <v>1629</v>
      </c>
      <c r="C1706" s="1" t="str">
        <f>"66298848239798"</f>
        <v>66298848239798</v>
      </c>
      <c r="D1706" s="1" t="str">
        <f>"400676"</f>
        <v>400676</v>
      </c>
      <c r="E1706" s="1" t="s">
        <v>17</v>
      </c>
      <c r="F1706" s="1">
        <v>18</v>
      </c>
      <c r="G1706" s="1">
        <v>2291</v>
      </c>
      <c r="H1706" s="1">
        <v>41238</v>
      </c>
      <c r="I1706" s="1">
        <v>0</v>
      </c>
      <c r="J1706" s="1">
        <v>18</v>
      </c>
      <c r="K1706" s="1">
        <v>0</v>
      </c>
    </row>
    <row r="1707" spans="1:11" x14ac:dyDescent="0.2">
      <c r="A1707" s="1" t="s">
        <v>1578</v>
      </c>
      <c r="B1707" s="1" t="s">
        <v>1630</v>
      </c>
      <c r="C1707" s="1" t="str">
        <f>"24648"</f>
        <v>24648</v>
      </c>
      <c r="D1707" s="1" t="str">
        <f>"24648"</f>
        <v>24648</v>
      </c>
      <c r="E1707" s="1" t="s">
        <v>17</v>
      </c>
      <c r="F1707" s="1">
        <v>2</v>
      </c>
      <c r="G1707" s="1">
        <v>2315</v>
      </c>
      <c r="H1707" s="1">
        <v>4630</v>
      </c>
      <c r="I1707" s="1">
        <v>0</v>
      </c>
      <c r="J1707" s="1">
        <v>2</v>
      </c>
      <c r="K1707" s="1">
        <v>0</v>
      </c>
    </row>
    <row r="1708" spans="1:11" x14ac:dyDescent="0.2">
      <c r="A1708" s="1" t="s">
        <v>1578</v>
      </c>
      <c r="B1708" s="1" t="s">
        <v>1631</v>
      </c>
      <c r="C1708" s="1" t="str">
        <f>"66298848326497"</f>
        <v>66298848326497</v>
      </c>
      <c r="D1708" s="1" t="str">
        <f>"400748"</f>
        <v>400748</v>
      </c>
      <c r="E1708" s="1" t="s">
        <v>17</v>
      </c>
      <c r="F1708" s="1">
        <v>9</v>
      </c>
      <c r="G1708" s="1">
        <v>1932</v>
      </c>
      <c r="H1708" s="1">
        <v>17388</v>
      </c>
      <c r="I1708" s="1">
        <v>0</v>
      </c>
      <c r="J1708" s="1">
        <v>9</v>
      </c>
      <c r="K1708" s="1">
        <v>0</v>
      </c>
    </row>
    <row r="1709" spans="1:11" x14ac:dyDescent="0.2">
      <c r="A1709" s="1" t="s">
        <v>1578</v>
      </c>
      <c r="B1709" s="1" t="s">
        <v>1632</v>
      </c>
      <c r="C1709" s="1" t="str">
        <f>"66298848371319"</f>
        <v>66298848371319</v>
      </c>
      <c r="D1709" s="1" t="str">
        <f>"400749"</f>
        <v>400749</v>
      </c>
      <c r="E1709" s="1" t="s">
        <v>17</v>
      </c>
      <c r="F1709" s="1">
        <v>8</v>
      </c>
      <c r="G1709" s="1">
        <v>2038</v>
      </c>
      <c r="H1709" s="1">
        <v>16304</v>
      </c>
      <c r="I1709" s="1">
        <v>0</v>
      </c>
      <c r="J1709" s="1">
        <v>8</v>
      </c>
      <c r="K1709" s="1">
        <v>0</v>
      </c>
    </row>
    <row r="1710" spans="1:11" x14ac:dyDescent="0.2">
      <c r="A1710" s="1" t="s">
        <v>1578</v>
      </c>
      <c r="B1710" s="1" t="s">
        <v>1633</v>
      </c>
      <c r="C1710" s="1" t="str">
        <f>"66298848416535"</f>
        <v>66298848416535</v>
      </c>
      <c r="D1710" s="1" t="str">
        <f>"400751"</f>
        <v>400751</v>
      </c>
      <c r="E1710" s="1" t="s">
        <v>17</v>
      </c>
      <c r="F1710" s="1">
        <v>13</v>
      </c>
      <c r="G1710" s="1">
        <v>2126</v>
      </c>
      <c r="H1710" s="1">
        <v>27638</v>
      </c>
      <c r="I1710" s="1">
        <v>0</v>
      </c>
      <c r="J1710" s="1">
        <v>13</v>
      </c>
      <c r="K1710" s="1">
        <v>0</v>
      </c>
    </row>
    <row r="1711" spans="1:11" x14ac:dyDescent="0.2">
      <c r="A1711" s="1" t="s">
        <v>1578</v>
      </c>
      <c r="B1711" s="1" t="s">
        <v>1634</v>
      </c>
      <c r="C1711" s="1" t="str">
        <f>"H1116"</f>
        <v>H1116</v>
      </c>
      <c r="D1711" s="1" t="str">
        <f>"H1116"</f>
        <v>H1116</v>
      </c>
      <c r="E1711" s="1" t="s">
        <v>17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</row>
    <row r="1712" spans="1:11" x14ac:dyDescent="0.2">
      <c r="A1712" s="1" t="s">
        <v>1578</v>
      </c>
      <c r="B1712" s="1" t="s">
        <v>1635</v>
      </c>
      <c r="C1712" s="1" t="str">
        <f>"66298848458331"</f>
        <v>66298848458331</v>
      </c>
      <c r="D1712" s="1" t="str">
        <f>"400750"</f>
        <v>400750</v>
      </c>
      <c r="E1712" s="1" t="s">
        <v>17</v>
      </c>
      <c r="F1712" s="1">
        <v>22</v>
      </c>
      <c r="G1712" s="1">
        <v>3926</v>
      </c>
      <c r="H1712" s="1">
        <v>86372</v>
      </c>
      <c r="I1712" s="1">
        <v>0</v>
      </c>
      <c r="J1712" s="1">
        <v>22</v>
      </c>
      <c r="K1712" s="1">
        <v>0</v>
      </c>
    </row>
    <row r="1713" spans="1:11" x14ac:dyDescent="0.2">
      <c r="A1713" s="1" t="s">
        <v>1578</v>
      </c>
      <c r="B1713" s="1" t="s">
        <v>1636</v>
      </c>
      <c r="C1713" s="1" t="str">
        <f>"66298848502114"</f>
        <v>66298848502114</v>
      </c>
      <c r="D1713" s="1" t="str">
        <f>"24103H3E061H000"</f>
        <v>24103H3E061H000</v>
      </c>
      <c r="E1713" s="1" t="s">
        <v>17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</row>
    <row r="1714" spans="1:11" x14ac:dyDescent="0.2">
      <c r="A1714" s="1" t="s">
        <v>1578</v>
      </c>
      <c r="B1714" s="1" t="s">
        <v>1637</v>
      </c>
      <c r="C1714" s="1" t="str">
        <f>"66298848544753"</f>
        <v>66298848544753</v>
      </c>
      <c r="D1714" s="1" t="str">
        <f>"CBP180-E15-31"</f>
        <v>CBP180-E15-31</v>
      </c>
      <c r="E1714" s="1" t="s">
        <v>17</v>
      </c>
      <c r="F1714" s="1">
        <v>1</v>
      </c>
      <c r="G1714" s="1">
        <v>16849</v>
      </c>
      <c r="H1714" s="1">
        <v>16849</v>
      </c>
      <c r="I1714" s="1">
        <v>0</v>
      </c>
      <c r="J1714" s="1">
        <v>1</v>
      </c>
      <c r="K1714" s="1">
        <v>0</v>
      </c>
    </row>
    <row r="1715" spans="1:11" x14ac:dyDescent="0.2">
      <c r="A1715" s="1" t="s">
        <v>1578</v>
      </c>
      <c r="B1715" s="1" t="s">
        <v>1638</v>
      </c>
      <c r="C1715" s="1" t="str">
        <f>"66298848584138"</f>
        <v>66298848584138</v>
      </c>
      <c r="D1715" s="1" t="str">
        <f>"24651"</f>
        <v>24651</v>
      </c>
      <c r="E1715" s="1" t="s">
        <v>17</v>
      </c>
      <c r="F1715" s="1">
        <v>2</v>
      </c>
      <c r="G1715" s="1">
        <v>3700</v>
      </c>
      <c r="H1715" s="1">
        <v>7400</v>
      </c>
      <c r="I1715" s="1">
        <v>0</v>
      </c>
      <c r="J1715" s="1">
        <v>2</v>
      </c>
      <c r="K1715" s="1">
        <v>0</v>
      </c>
    </row>
    <row r="1716" spans="1:11" x14ac:dyDescent="0.2">
      <c r="A1716" s="1" t="s">
        <v>1578</v>
      </c>
      <c r="B1716" s="1" t="s">
        <v>1639</v>
      </c>
      <c r="C1716" s="1" t="str">
        <f>"66298848629436"</f>
        <v>66298848629436</v>
      </c>
      <c r="D1716" s="1" t="str">
        <f>"24102H3E010H000"</f>
        <v>24102H3E010H000</v>
      </c>
      <c r="E1716" s="1" t="s">
        <v>17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</row>
    <row r="1717" spans="1:11" x14ac:dyDescent="0.2">
      <c r="A1717" s="1" t="s">
        <v>1578</v>
      </c>
      <c r="B1717" s="1" t="s">
        <v>1640</v>
      </c>
      <c r="C1717" s="1" t="str">
        <f>"66298848672052"</f>
        <v>66298848672052</v>
      </c>
      <c r="D1717" s="1" t="str">
        <f>"CBP180-E15-32"</f>
        <v>CBP180-E15-32</v>
      </c>
      <c r="E1717" s="1" t="s">
        <v>17</v>
      </c>
      <c r="F1717" s="1">
        <v>1</v>
      </c>
      <c r="G1717" s="1">
        <v>15796</v>
      </c>
      <c r="H1717" s="1">
        <v>15796</v>
      </c>
      <c r="I1717" s="1">
        <v>0</v>
      </c>
      <c r="J1717" s="1">
        <v>1</v>
      </c>
      <c r="K1717" s="1">
        <v>0</v>
      </c>
    </row>
    <row r="1718" spans="1:11" x14ac:dyDescent="0.2">
      <c r="A1718" s="1" t="s">
        <v>1578</v>
      </c>
      <c r="B1718" s="1" t="s">
        <v>1641</v>
      </c>
      <c r="C1718" s="1" t="str">
        <f>"66298848711146"</f>
        <v>66298848711146</v>
      </c>
      <c r="D1718" s="1" t="str">
        <f>"19"</f>
        <v>19</v>
      </c>
      <c r="E1718" s="1" t="s">
        <v>17</v>
      </c>
      <c r="F1718" s="1">
        <v>1</v>
      </c>
      <c r="G1718" s="1">
        <v>1550</v>
      </c>
      <c r="H1718" s="1">
        <v>1550</v>
      </c>
      <c r="I1718" s="1">
        <v>0</v>
      </c>
      <c r="J1718" s="1">
        <v>1</v>
      </c>
      <c r="K1718" s="1">
        <v>0</v>
      </c>
    </row>
    <row r="1719" spans="1:11" x14ac:dyDescent="0.2">
      <c r="A1719" s="1" t="s">
        <v>1578</v>
      </c>
      <c r="B1719" s="1" t="s">
        <v>1642</v>
      </c>
      <c r="C1719" s="1" t="str">
        <f>"66298848752886"</f>
        <v>66298848752886</v>
      </c>
      <c r="D1719" s="1" t="str">
        <f>"26"</f>
        <v>26</v>
      </c>
      <c r="E1719" s="1" t="s">
        <v>17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</row>
    <row r="1720" spans="1:11" x14ac:dyDescent="0.2">
      <c r="A1720" s="1" t="s">
        <v>1578</v>
      </c>
      <c r="B1720" s="1" t="s">
        <v>1643</v>
      </c>
      <c r="C1720" s="1" t="str">
        <f>"66298848794784"</f>
        <v>66298848794784</v>
      </c>
      <c r="D1720" s="1" t="str">
        <f>"25"</f>
        <v>25</v>
      </c>
      <c r="E1720" s="1" t="s">
        <v>17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</row>
    <row r="1721" spans="1:11" x14ac:dyDescent="0.2">
      <c r="A1721" s="1" t="s">
        <v>1578</v>
      </c>
      <c r="B1721" s="1" t="s">
        <v>1644</v>
      </c>
      <c r="C1721" s="1" t="str">
        <f>"66298848831349"</f>
        <v>66298848831349</v>
      </c>
      <c r="D1721" s="1" t="str">
        <f>"85024"</f>
        <v>85024</v>
      </c>
      <c r="E1721" s="1" t="s">
        <v>17</v>
      </c>
      <c r="F1721" s="1">
        <v>4</v>
      </c>
      <c r="G1721" s="1">
        <v>824</v>
      </c>
      <c r="H1721" s="1">
        <v>3296</v>
      </c>
      <c r="I1721" s="1">
        <v>0</v>
      </c>
      <c r="J1721" s="1">
        <v>4</v>
      </c>
      <c r="K1721" s="1">
        <v>0</v>
      </c>
    </row>
    <row r="1722" spans="1:11" x14ac:dyDescent="0.2">
      <c r="A1722" s="1" t="s">
        <v>1578</v>
      </c>
      <c r="B1722" s="1" t="s">
        <v>1645</v>
      </c>
      <c r="C1722" s="1" t="str">
        <f>"GJ012"</f>
        <v>GJ012</v>
      </c>
      <c r="D1722" s="1" t="str">
        <f>"GJ012"</f>
        <v>GJ012</v>
      </c>
      <c r="E1722" s="1" t="s">
        <v>17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</row>
    <row r="1723" spans="1:11" x14ac:dyDescent="0.2">
      <c r="A1723" s="1" t="s">
        <v>1578</v>
      </c>
      <c r="B1723" s="1" t="s">
        <v>1646</v>
      </c>
      <c r="C1723" s="1" t="str">
        <f>"GJ011"</f>
        <v>GJ011</v>
      </c>
      <c r="D1723" s="1" t="str">
        <f>"GJ011"</f>
        <v>GJ011</v>
      </c>
      <c r="E1723" s="1" t="s">
        <v>17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 x14ac:dyDescent="0.2">
      <c r="A1724" s="1" t="s">
        <v>1578</v>
      </c>
      <c r="B1724" s="1" t="s">
        <v>1647</v>
      </c>
      <c r="C1724" s="1" t="str">
        <f>"66298848872274"</f>
        <v>66298848872274</v>
      </c>
      <c r="D1724" s="1" t="str">
        <f>"GJ014"</f>
        <v>GJ014</v>
      </c>
      <c r="E1724" s="1" t="s">
        <v>17</v>
      </c>
      <c r="F1724" s="1">
        <v>4</v>
      </c>
      <c r="G1724" s="1">
        <v>1265</v>
      </c>
      <c r="H1724" s="1">
        <v>5060</v>
      </c>
      <c r="I1724" s="1">
        <v>0</v>
      </c>
      <c r="J1724" s="1">
        <v>4</v>
      </c>
      <c r="K1724" s="1">
        <v>0</v>
      </c>
    </row>
    <row r="1725" spans="1:11" x14ac:dyDescent="0.2">
      <c r="A1725" s="1" t="s">
        <v>1578</v>
      </c>
      <c r="B1725" s="1" t="s">
        <v>1648</v>
      </c>
      <c r="C1725" s="1" t="str">
        <f>"GJ005"</f>
        <v>GJ005</v>
      </c>
      <c r="D1725" s="1" t="str">
        <f>"GJ005"</f>
        <v>GJ005</v>
      </c>
      <c r="E1725" s="1" t="s">
        <v>17</v>
      </c>
      <c r="F1725" s="1">
        <v>3</v>
      </c>
      <c r="G1725" s="1">
        <v>1535</v>
      </c>
      <c r="H1725" s="1">
        <v>4605</v>
      </c>
      <c r="I1725" s="1">
        <v>0</v>
      </c>
      <c r="J1725" s="1">
        <v>3</v>
      </c>
      <c r="K1725" s="1">
        <v>0</v>
      </c>
    </row>
    <row r="1726" spans="1:11" x14ac:dyDescent="0.2">
      <c r="A1726" s="1" t="s">
        <v>1578</v>
      </c>
      <c r="B1726" s="1" t="s">
        <v>1649</v>
      </c>
      <c r="C1726" s="1" t="str">
        <f>"GJ002"</f>
        <v>GJ002</v>
      </c>
      <c r="D1726" s="1" t="str">
        <f>"GJ002"</f>
        <v>GJ002</v>
      </c>
      <c r="E1726" s="1" t="s">
        <v>17</v>
      </c>
      <c r="F1726" s="1">
        <v>3</v>
      </c>
      <c r="G1726" s="1">
        <v>1265</v>
      </c>
      <c r="H1726" s="1">
        <v>3795</v>
      </c>
      <c r="I1726" s="1">
        <v>0</v>
      </c>
      <c r="J1726" s="1">
        <v>3</v>
      </c>
      <c r="K1726" s="1">
        <v>0</v>
      </c>
    </row>
    <row r="1727" spans="1:11" x14ac:dyDescent="0.2">
      <c r="A1727" s="1" t="s">
        <v>1213</v>
      </c>
      <c r="B1727" s="1" t="s">
        <v>1650</v>
      </c>
      <c r="C1727" s="1" t="str">
        <f>"11551"</f>
        <v>11551</v>
      </c>
      <c r="D1727" s="1" t="str">
        <f>"11551"</f>
        <v>11551</v>
      </c>
      <c r="E1727" s="1" t="s">
        <v>17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</row>
    <row r="1728" spans="1:11" x14ac:dyDescent="0.2">
      <c r="A1728" s="1" t="s">
        <v>1213</v>
      </c>
      <c r="B1728" s="1" t="s">
        <v>1651</v>
      </c>
      <c r="C1728" s="1" t="str">
        <f>"66298849226190"</f>
        <v>66298849226190</v>
      </c>
      <c r="D1728" s="1" t="str">
        <f>"2301A-KEC6-C00JP"</f>
        <v>2301A-KEC6-C00JP</v>
      </c>
      <c r="E1728" s="1" t="s">
        <v>17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</row>
    <row r="1729" spans="1:11" x14ac:dyDescent="0.2">
      <c r="A1729" s="1" t="s">
        <v>1213</v>
      </c>
      <c r="B1729" s="1" t="s">
        <v>1652</v>
      </c>
      <c r="C1729" s="1" t="str">
        <f>"66298849271753"</f>
        <v>66298849271753</v>
      </c>
      <c r="D1729" s="1" t="str">
        <f>"22535-KRW-900"</f>
        <v>22535-KRW-900</v>
      </c>
      <c r="E1729" s="1" t="s">
        <v>17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</row>
    <row r="1730" spans="1:11" x14ac:dyDescent="0.2">
      <c r="A1730" s="1" t="s">
        <v>1213</v>
      </c>
      <c r="B1730" s="1" t="s">
        <v>1653</v>
      </c>
      <c r="C1730" s="1" t="str">
        <f>"66298849321299"</f>
        <v>66298849321299</v>
      </c>
      <c r="D1730" s="1" t="str">
        <f>"CD018"</f>
        <v>CD018</v>
      </c>
      <c r="E1730" s="1" t="s">
        <v>17</v>
      </c>
      <c r="F1730" s="1">
        <v>4</v>
      </c>
      <c r="G1730" s="1">
        <v>3701</v>
      </c>
      <c r="H1730" s="1">
        <v>14804</v>
      </c>
      <c r="I1730" s="1">
        <v>0</v>
      </c>
      <c r="J1730" s="1">
        <v>4</v>
      </c>
      <c r="K1730" s="1">
        <v>0</v>
      </c>
    </row>
    <row r="1731" spans="1:11" x14ac:dyDescent="0.2">
      <c r="A1731" s="1" t="s">
        <v>1213</v>
      </c>
      <c r="B1731" s="1" t="s">
        <v>1653</v>
      </c>
      <c r="C1731" s="1" t="str">
        <f>"66298849326472"</f>
        <v>66298849326472</v>
      </c>
      <c r="D1731" s="1" t="str">
        <f>"CD017"</f>
        <v>CD017</v>
      </c>
      <c r="E1731" s="1" t="s">
        <v>17</v>
      </c>
      <c r="F1731" s="1">
        <v>6</v>
      </c>
      <c r="G1731" s="1">
        <v>2223</v>
      </c>
      <c r="H1731" s="1">
        <v>13338</v>
      </c>
      <c r="I1731" s="1">
        <v>0</v>
      </c>
      <c r="J1731" s="1">
        <v>6</v>
      </c>
      <c r="K1731" s="1">
        <v>0</v>
      </c>
    </row>
    <row r="1732" spans="1:11" x14ac:dyDescent="0.2">
      <c r="A1732" s="1" t="s">
        <v>1213</v>
      </c>
      <c r="B1732" s="1" t="s">
        <v>1654</v>
      </c>
      <c r="C1732" s="1" t="str">
        <f>"66298849378315"</f>
        <v>66298849378315</v>
      </c>
      <c r="D1732" s="1" t="str">
        <f>"400714"</f>
        <v>400714</v>
      </c>
      <c r="E1732" s="1" t="s">
        <v>17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</row>
    <row r="1733" spans="1:11" x14ac:dyDescent="0.2">
      <c r="A1733" s="1" t="s">
        <v>1213</v>
      </c>
      <c r="B1733" s="1" t="s">
        <v>1655</v>
      </c>
      <c r="C1733" s="1" t="str">
        <f>"66298849417655"</f>
        <v>66298849417655</v>
      </c>
      <c r="D1733" s="1" t="str">
        <f>"400715"</f>
        <v>400715</v>
      </c>
      <c r="E1733" s="1" t="s">
        <v>17</v>
      </c>
      <c r="F1733" s="1">
        <v>5</v>
      </c>
      <c r="G1733" s="1">
        <v>11953</v>
      </c>
      <c r="H1733" s="1">
        <v>59765</v>
      </c>
      <c r="I1733" s="1">
        <v>0</v>
      </c>
      <c r="J1733" s="1">
        <v>5</v>
      </c>
      <c r="K1733" s="1">
        <v>0</v>
      </c>
    </row>
    <row r="1734" spans="1:11" x14ac:dyDescent="0.2">
      <c r="A1734" s="1" t="s">
        <v>1213</v>
      </c>
      <c r="B1734" s="1" t="s">
        <v>1656</v>
      </c>
      <c r="C1734" s="1" t="str">
        <f>"66298849458330"</f>
        <v>66298849458330</v>
      </c>
      <c r="D1734" s="1" t="str">
        <f>"400716"</f>
        <v>400716</v>
      </c>
      <c r="E1734" s="1" t="s">
        <v>17</v>
      </c>
      <c r="F1734" s="1">
        <v>4</v>
      </c>
      <c r="G1734" s="1">
        <v>17281</v>
      </c>
      <c r="H1734" s="1">
        <v>69124</v>
      </c>
      <c r="I1734" s="1">
        <v>0</v>
      </c>
      <c r="J1734" s="1">
        <v>4</v>
      </c>
      <c r="K1734" s="1">
        <v>0</v>
      </c>
    </row>
    <row r="1735" spans="1:11" ht="30" x14ac:dyDescent="0.2">
      <c r="A1735" s="1" t="s">
        <v>1213</v>
      </c>
      <c r="B1735" s="1" t="s">
        <v>1657</v>
      </c>
      <c r="C1735" s="1" t="str">
        <f>"66298849496895"</f>
        <v>66298849496895</v>
      </c>
      <c r="D1735" s="1" t="str">
        <f>"C202"</f>
        <v>C202</v>
      </c>
      <c r="E1735" s="1" t="s">
        <v>17</v>
      </c>
      <c r="F1735" s="1">
        <v>4</v>
      </c>
      <c r="G1735" s="1">
        <v>6389</v>
      </c>
      <c r="H1735" s="1">
        <v>25556</v>
      </c>
      <c r="I1735" s="1">
        <v>0</v>
      </c>
      <c r="J1735" s="1">
        <v>4</v>
      </c>
      <c r="K1735" s="1">
        <v>0</v>
      </c>
    </row>
    <row r="1736" spans="1:11" x14ac:dyDescent="0.2">
      <c r="A1736" s="1" t="s">
        <v>1213</v>
      </c>
      <c r="B1736" s="1" t="s">
        <v>1658</v>
      </c>
      <c r="C1736" s="1" t="str">
        <f>"66298849542073"</f>
        <v>66298849542073</v>
      </c>
      <c r="D1736" s="1" t="str">
        <f>"CA003"</f>
        <v>CA003</v>
      </c>
      <c r="E1736" s="1" t="s">
        <v>17</v>
      </c>
      <c r="F1736" s="1">
        <v>4</v>
      </c>
      <c r="G1736" s="1">
        <v>8342</v>
      </c>
      <c r="H1736" s="1">
        <v>33368</v>
      </c>
      <c r="I1736" s="1">
        <v>0</v>
      </c>
      <c r="J1736" s="1">
        <v>4</v>
      </c>
      <c r="K1736" s="1">
        <v>0</v>
      </c>
    </row>
    <row r="1737" spans="1:11" x14ac:dyDescent="0.2">
      <c r="A1737" s="1" t="s">
        <v>1213</v>
      </c>
      <c r="B1737" s="1" t="s">
        <v>1658</v>
      </c>
      <c r="C1737" s="1" t="str">
        <f>"66298849548648"</f>
        <v>66298849548648</v>
      </c>
      <c r="D1737" s="1" t="str">
        <f>"CA003-A"</f>
        <v>CA003-A</v>
      </c>
      <c r="E1737" s="1" t="s">
        <v>17</v>
      </c>
      <c r="F1737" s="1">
        <v>4</v>
      </c>
      <c r="G1737" s="1">
        <v>8398</v>
      </c>
      <c r="H1737" s="1">
        <v>33592</v>
      </c>
      <c r="I1737" s="1">
        <v>0</v>
      </c>
      <c r="J1737" s="1">
        <v>4</v>
      </c>
      <c r="K1737" s="1">
        <v>0</v>
      </c>
    </row>
    <row r="1738" spans="1:11" x14ac:dyDescent="0.2">
      <c r="A1738" s="1" t="s">
        <v>1213</v>
      </c>
      <c r="B1738" s="1" t="s">
        <v>1659</v>
      </c>
      <c r="C1738" s="1" t="str">
        <f>"66298849607619"</f>
        <v>66298849607619</v>
      </c>
      <c r="D1738" s="1" t="str">
        <f>"C212"</f>
        <v>C212</v>
      </c>
      <c r="E1738" s="1" t="s">
        <v>17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</row>
    <row r="1739" spans="1:11" x14ac:dyDescent="0.2">
      <c r="A1739" s="1" t="s">
        <v>1213</v>
      </c>
      <c r="B1739" s="1" t="s">
        <v>1660</v>
      </c>
      <c r="C1739" s="1" t="str">
        <f>"49CC91"</f>
        <v>49CC91</v>
      </c>
      <c r="D1739" s="1" t="str">
        <f>"49CC91"</f>
        <v>49CC91</v>
      </c>
      <c r="E1739" s="1" t="s">
        <v>17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 x14ac:dyDescent="0.2">
      <c r="A1740" s="1" t="s">
        <v>1213</v>
      </c>
      <c r="B1740" s="1" t="s">
        <v>1661</v>
      </c>
      <c r="C1740" s="1" t="str">
        <f>"11484"</f>
        <v>11484</v>
      </c>
      <c r="D1740" s="1" t="str">
        <f>"11484"</f>
        <v>11484</v>
      </c>
      <c r="E1740" s="1" t="s">
        <v>17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</row>
    <row r="1741" spans="1:11" x14ac:dyDescent="0.2">
      <c r="A1741" s="1" t="s">
        <v>1213</v>
      </c>
      <c r="B1741" s="1" t="s">
        <v>1662</v>
      </c>
      <c r="C1741" s="1" t="str">
        <f>"66298849657839"</f>
        <v>66298849657839</v>
      </c>
      <c r="D1741" s="1" t="str">
        <f>"22120-KWS-901-K"</f>
        <v>22120-KWS-901-K</v>
      </c>
      <c r="E1741" s="1" t="s">
        <v>17</v>
      </c>
      <c r="F1741" s="1">
        <v>4</v>
      </c>
      <c r="G1741" s="1">
        <v>11541</v>
      </c>
      <c r="H1741" s="1">
        <v>46164</v>
      </c>
      <c r="I1741" s="1">
        <v>0</v>
      </c>
      <c r="J1741" s="1">
        <v>4</v>
      </c>
      <c r="K1741" s="1">
        <v>0</v>
      </c>
    </row>
    <row r="1742" spans="1:11" x14ac:dyDescent="0.2">
      <c r="A1742" s="1" t="s">
        <v>1213</v>
      </c>
      <c r="B1742" s="1" t="s">
        <v>1662</v>
      </c>
      <c r="C1742" s="1" t="str">
        <f>"66298849664651"</f>
        <v>66298849664651</v>
      </c>
      <c r="D1742" s="1" t="str">
        <f>"C210"</f>
        <v>C210</v>
      </c>
      <c r="E1742" s="1" t="s">
        <v>17</v>
      </c>
      <c r="F1742" s="1">
        <v>4</v>
      </c>
      <c r="G1742" s="1">
        <v>9133</v>
      </c>
      <c r="H1742" s="1">
        <v>36532</v>
      </c>
      <c r="I1742" s="1">
        <v>0</v>
      </c>
      <c r="J1742" s="1">
        <v>4</v>
      </c>
      <c r="K1742" s="1">
        <v>0</v>
      </c>
    </row>
    <row r="1743" spans="1:11" x14ac:dyDescent="0.2">
      <c r="A1743" s="1" t="s">
        <v>1213</v>
      </c>
      <c r="B1743" s="1" t="s">
        <v>1663</v>
      </c>
      <c r="C1743" s="1" t="str">
        <f>"66298849720603"</f>
        <v>66298849720603</v>
      </c>
      <c r="D1743" s="1" t="str">
        <f>"400729"</f>
        <v>400729</v>
      </c>
      <c r="E1743" s="1" t="s">
        <v>17</v>
      </c>
      <c r="F1743" s="1">
        <v>9</v>
      </c>
      <c r="G1743" s="1">
        <v>6701</v>
      </c>
      <c r="H1743" s="1">
        <v>60309</v>
      </c>
      <c r="I1743" s="1">
        <v>0</v>
      </c>
      <c r="J1743" s="1">
        <v>9</v>
      </c>
      <c r="K1743" s="1">
        <v>0</v>
      </c>
    </row>
    <row r="1744" spans="1:11" x14ac:dyDescent="0.2">
      <c r="A1744" s="1" t="s">
        <v>1213</v>
      </c>
      <c r="B1744" s="1" t="s">
        <v>1664</v>
      </c>
      <c r="C1744" s="1" t="str">
        <f>"66298849761333"</f>
        <v>66298849761333</v>
      </c>
      <c r="D1744" s="1" t="str">
        <f>"22120-KTE-901-K"</f>
        <v>22120-KTE-901-K</v>
      </c>
      <c r="E1744" s="1" t="s">
        <v>17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</row>
    <row r="1745" spans="1:11" x14ac:dyDescent="0.2">
      <c r="A1745" s="1" t="s">
        <v>1213</v>
      </c>
      <c r="B1745" s="1" t="s">
        <v>1665</v>
      </c>
      <c r="C1745" s="1" t="str">
        <f>"66298849801400"</f>
        <v>66298849801400</v>
      </c>
      <c r="D1745" s="1" t="str">
        <f>"400727"</f>
        <v>400727</v>
      </c>
      <c r="E1745" s="1" t="s">
        <v>17</v>
      </c>
      <c r="F1745" s="1">
        <v>7</v>
      </c>
      <c r="G1745" s="1">
        <v>4801</v>
      </c>
      <c r="H1745" s="1">
        <v>33607</v>
      </c>
      <c r="I1745" s="1">
        <v>0</v>
      </c>
      <c r="J1745" s="1">
        <v>7</v>
      </c>
      <c r="K1745" s="1">
        <v>0</v>
      </c>
    </row>
    <row r="1746" spans="1:11" x14ac:dyDescent="0.2">
      <c r="A1746" s="1" t="s">
        <v>1213</v>
      </c>
      <c r="B1746" s="1" t="s">
        <v>1666</v>
      </c>
      <c r="C1746" s="1" t="str">
        <f>"66298849924730"</f>
        <v>66298849924730</v>
      </c>
      <c r="D1746" s="1" t="str">
        <f>"400730"</f>
        <v>400730</v>
      </c>
      <c r="E1746" s="1" t="s">
        <v>17</v>
      </c>
      <c r="F1746" s="1">
        <v>5</v>
      </c>
      <c r="G1746" s="1">
        <v>8265</v>
      </c>
      <c r="H1746" s="1">
        <v>41325</v>
      </c>
      <c r="I1746" s="1">
        <v>0</v>
      </c>
      <c r="J1746" s="1">
        <v>5</v>
      </c>
      <c r="K1746" s="1">
        <v>0</v>
      </c>
    </row>
    <row r="1747" spans="1:11" x14ac:dyDescent="0.2">
      <c r="A1747" s="1" t="s">
        <v>1213</v>
      </c>
      <c r="B1747" s="1" t="s">
        <v>1667</v>
      </c>
      <c r="C1747" s="1" t="str">
        <f>"66298849839322"</f>
        <v>66298849839322</v>
      </c>
      <c r="D1747" s="1" t="str">
        <f>"21C-E6371-00-K"</f>
        <v>21C-E6371-00-K</v>
      </c>
      <c r="E1747" s="1" t="s">
        <v>17</v>
      </c>
      <c r="F1747" s="1">
        <v>1</v>
      </c>
      <c r="G1747" s="1">
        <v>18763</v>
      </c>
      <c r="H1747" s="1">
        <v>18763</v>
      </c>
      <c r="I1747" s="1">
        <v>0</v>
      </c>
      <c r="J1747" s="1">
        <v>1</v>
      </c>
      <c r="K1747" s="1">
        <v>0</v>
      </c>
    </row>
    <row r="1748" spans="1:11" x14ac:dyDescent="0.2">
      <c r="A1748" s="1" t="s">
        <v>1213</v>
      </c>
      <c r="B1748" s="1" t="s">
        <v>1667</v>
      </c>
      <c r="C1748" s="1" t="str">
        <f>"66298849879548"</f>
        <v>66298849879548</v>
      </c>
      <c r="D1748" s="1" t="str">
        <f>"C209"</f>
        <v>C209</v>
      </c>
      <c r="E1748" s="1" t="s">
        <v>17</v>
      </c>
      <c r="F1748" s="1">
        <v>6</v>
      </c>
      <c r="G1748" s="1">
        <v>12332</v>
      </c>
      <c r="H1748" s="1">
        <v>73992</v>
      </c>
      <c r="I1748" s="1">
        <v>0</v>
      </c>
      <c r="J1748" s="1">
        <v>6</v>
      </c>
      <c r="K1748" s="1">
        <v>0</v>
      </c>
    </row>
    <row r="1749" spans="1:11" x14ac:dyDescent="0.2">
      <c r="A1749" s="1" t="s">
        <v>1213</v>
      </c>
      <c r="B1749" s="1" t="s">
        <v>1668</v>
      </c>
      <c r="C1749" s="1" t="str">
        <f>"66298849966815"</f>
        <v>66298849966815</v>
      </c>
      <c r="D1749" s="1" t="str">
        <f>"400731"</f>
        <v>400731</v>
      </c>
      <c r="E1749" s="1" t="s">
        <v>17</v>
      </c>
      <c r="F1749" s="1">
        <v>6</v>
      </c>
      <c r="G1749" s="1">
        <v>5254</v>
      </c>
      <c r="H1749" s="1">
        <v>31524</v>
      </c>
      <c r="I1749" s="1">
        <v>0</v>
      </c>
      <c r="J1749" s="1">
        <v>6</v>
      </c>
      <c r="K1749" s="1">
        <v>0</v>
      </c>
    </row>
    <row r="1750" spans="1:11" x14ac:dyDescent="0.2">
      <c r="A1750" s="1" t="s">
        <v>1213</v>
      </c>
      <c r="B1750" s="1" t="s">
        <v>1669</v>
      </c>
      <c r="C1750" s="1" t="str">
        <f>"66298850017182"</f>
        <v>66298850017182</v>
      </c>
      <c r="D1750" s="1" t="str">
        <f>"JE-5514-00"</f>
        <v>JE-5514-00</v>
      </c>
      <c r="E1750" s="1" t="s">
        <v>17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</row>
    <row r="1751" spans="1:11" x14ac:dyDescent="0.2">
      <c r="A1751" s="1" t="s">
        <v>1213</v>
      </c>
      <c r="B1751" s="1" t="s">
        <v>1670</v>
      </c>
      <c r="C1751" s="1" t="str">
        <f>"DK-1015-63"</f>
        <v>DK-1015-63</v>
      </c>
      <c r="D1751" s="1" t="str">
        <f>"DK-1015-63"</f>
        <v>DK-1015-63</v>
      </c>
      <c r="E1751" s="1" t="s">
        <v>17</v>
      </c>
      <c r="F1751" s="1">
        <v>3</v>
      </c>
      <c r="G1751" s="1">
        <v>13285</v>
      </c>
      <c r="H1751" s="1">
        <v>39855</v>
      </c>
      <c r="I1751" s="1">
        <v>0</v>
      </c>
      <c r="J1751" s="1">
        <v>3</v>
      </c>
      <c r="K1751" s="1">
        <v>0</v>
      </c>
    </row>
    <row r="1752" spans="1:11" x14ac:dyDescent="0.2">
      <c r="A1752" s="1" t="s">
        <v>1213</v>
      </c>
      <c r="B1752" s="1" t="s">
        <v>1671</v>
      </c>
      <c r="C1752" s="1" t="str">
        <f>"66298850115445"</f>
        <v>66298850115445</v>
      </c>
      <c r="D1752" s="1" t="str">
        <f>"400725"</f>
        <v>400725</v>
      </c>
      <c r="E1752" s="1" t="s">
        <v>17</v>
      </c>
      <c r="F1752" s="1">
        <v>13</v>
      </c>
      <c r="G1752" s="1">
        <v>7924</v>
      </c>
      <c r="H1752" s="1">
        <v>103012</v>
      </c>
      <c r="I1752" s="1">
        <v>0</v>
      </c>
      <c r="J1752" s="1">
        <v>13</v>
      </c>
      <c r="K1752" s="1">
        <v>0</v>
      </c>
    </row>
    <row r="1753" spans="1:11" x14ac:dyDescent="0.2">
      <c r="A1753" s="1" t="s">
        <v>1213</v>
      </c>
      <c r="B1753" s="1" t="s">
        <v>1672</v>
      </c>
      <c r="C1753" s="1" t="str">
        <f>"C217"</f>
        <v>C217</v>
      </c>
      <c r="D1753" s="1" t="str">
        <f>"C217"</f>
        <v>C217</v>
      </c>
      <c r="E1753" s="1" t="s">
        <v>17</v>
      </c>
      <c r="F1753" s="1">
        <v>2</v>
      </c>
      <c r="G1753" s="1">
        <v>7875.01</v>
      </c>
      <c r="H1753" s="1">
        <v>15750</v>
      </c>
      <c r="I1753" s="1">
        <v>0</v>
      </c>
      <c r="J1753" s="1">
        <v>2</v>
      </c>
      <c r="K1753" s="1">
        <v>0</v>
      </c>
    </row>
    <row r="1754" spans="1:11" ht="30" x14ac:dyDescent="0.2">
      <c r="A1754" s="1" t="s">
        <v>1213</v>
      </c>
      <c r="B1754" s="1" t="s">
        <v>1673</v>
      </c>
      <c r="C1754" s="1" t="str">
        <f>"66298850195872"</f>
        <v>66298850195872</v>
      </c>
      <c r="D1754" s="1" t="str">
        <f>"400726"</f>
        <v>400726</v>
      </c>
      <c r="E1754" s="1" t="s">
        <v>17</v>
      </c>
      <c r="F1754" s="1">
        <v>2</v>
      </c>
      <c r="G1754" s="1">
        <v>11291</v>
      </c>
      <c r="H1754" s="1">
        <v>22582</v>
      </c>
      <c r="I1754" s="1">
        <v>0</v>
      </c>
      <c r="J1754" s="1">
        <v>2</v>
      </c>
      <c r="K1754" s="1">
        <v>0</v>
      </c>
    </row>
    <row r="1755" spans="1:11" x14ac:dyDescent="0.2">
      <c r="A1755" s="1" t="s">
        <v>1213</v>
      </c>
      <c r="B1755" s="1" t="s">
        <v>1674</v>
      </c>
      <c r="C1755" s="1" t="str">
        <f>"66298850347445"</f>
        <v>66298850347445</v>
      </c>
      <c r="D1755" s="1" t="str">
        <f>"400733"</f>
        <v>400733</v>
      </c>
      <c r="E1755" s="1" t="s">
        <v>17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</row>
    <row r="1756" spans="1:11" x14ac:dyDescent="0.2">
      <c r="A1756" s="1" t="s">
        <v>1213</v>
      </c>
      <c r="B1756" s="1" t="s">
        <v>1675</v>
      </c>
      <c r="C1756" s="1" t="str">
        <f>"66298850257140"</f>
        <v>66298850257140</v>
      </c>
      <c r="D1756" s="1" t="str">
        <f>"5RE-E6371-00-K"</f>
        <v>5RE-E6371-00-K</v>
      </c>
      <c r="E1756" s="1" t="s">
        <v>17</v>
      </c>
      <c r="F1756" s="1">
        <v>1</v>
      </c>
      <c r="G1756" s="1">
        <v>13819</v>
      </c>
      <c r="H1756" s="1">
        <v>13819</v>
      </c>
      <c r="I1756" s="1">
        <v>0</v>
      </c>
      <c r="J1756" s="1">
        <v>1</v>
      </c>
      <c r="K1756" s="1">
        <v>0</v>
      </c>
    </row>
    <row r="1757" spans="1:11" ht="30" x14ac:dyDescent="0.2">
      <c r="A1757" s="1" t="s">
        <v>1213</v>
      </c>
      <c r="B1757" s="1" t="s">
        <v>1676</v>
      </c>
      <c r="C1757" s="1" t="str">
        <f>"66298850301405"</f>
        <v>66298850301405</v>
      </c>
      <c r="D1757" s="1" t="str">
        <f>"400734"</f>
        <v>400734</v>
      </c>
      <c r="E1757" s="1" t="s">
        <v>17</v>
      </c>
      <c r="F1757" s="1">
        <v>4</v>
      </c>
      <c r="G1757" s="1">
        <v>4652</v>
      </c>
      <c r="H1757" s="1">
        <v>18608</v>
      </c>
      <c r="I1757" s="1">
        <v>0</v>
      </c>
      <c r="J1757" s="1">
        <v>4</v>
      </c>
      <c r="K1757" s="1">
        <v>0</v>
      </c>
    </row>
    <row r="1758" spans="1:11" x14ac:dyDescent="0.2">
      <c r="A1758" s="1" t="s">
        <v>1213</v>
      </c>
      <c r="B1758" s="1" t="s">
        <v>1677</v>
      </c>
      <c r="C1758" s="1" t="str">
        <f>"C205"</f>
        <v>C205</v>
      </c>
      <c r="D1758" s="1" t="str">
        <f>"C205"</f>
        <v>C205</v>
      </c>
      <c r="E1758" s="1" t="s">
        <v>17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</row>
    <row r="1759" spans="1:11" x14ac:dyDescent="0.2">
      <c r="A1759" s="1" t="s">
        <v>1678</v>
      </c>
      <c r="B1759" s="1" t="s">
        <v>1679</v>
      </c>
      <c r="C1759" s="1" t="str">
        <f>"3MTB101303"</f>
        <v>3MTB101303</v>
      </c>
      <c r="D1759" s="1" t="str">
        <f>"3MTB101303"</f>
        <v>3MTB101303</v>
      </c>
      <c r="E1759" s="1" t="s">
        <v>17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</row>
    <row r="1760" spans="1:11" ht="30" x14ac:dyDescent="0.2">
      <c r="A1760" s="1" t="s">
        <v>1213</v>
      </c>
      <c r="B1760" s="1" t="s">
        <v>1680</v>
      </c>
      <c r="C1760" s="1" t="str">
        <f>"66298850521522"</f>
        <v>66298850521522</v>
      </c>
      <c r="D1760" s="1" t="str">
        <f>"400907"</f>
        <v>400907</v>
      </c>
      <c r="E1760" s="1" t="s">
        <v>17</v>
      </c>
      <c r="F1760" s="1">
        <v>33</v>
      </c>
      <c r="G1760" s="1">
        <v>4161</v>
      </c>
      <c r="H1760" s="1">
        <v>137313</v>
      </c>
      <c r="I1760" s="1">
        <v>0</v>
      </c>
      <c r="J1760" s="1">
        <v>33</v>
      </c>
      <c r="K1760" s="1">
        <v>0</v>
      </c>
    </row>
    <row r="1761" spans="1:11" ht="30" x14ac:dyDescent="0.2">
      <c r="A1761" s="1" t="s">
        <v>1213</v>
      </c>
      <c r="B1761" s="1" t="s">
        <v>1681</v>
      </c>
      <c r="C1761" s="1" t="str">
        <f>"66298850478250"</f>
        <v>66298850478250</v>
      </c>
      <c r="D1761" s="1" t="str">
        <f>"CB008"</f>
        <v>CB008</v>
      </c>
      <c r="E1761" s="1" t="s">
        <v>17</v>
      </c>
      <c r="F1761" s="1">
        <v>2</v>
      </c>
      <c r="G1761" s="1">
        <v>9179</v>
      </c>
      <c r="H1761" s="1">
        <v>18358</v>
      </c>
      <c r="I1761" s="1">
        <v>0</v>
      </c>
      <c r="J1761" s="1">
        <v>2</v>
      </c>
      <c r="K1761" s="1">
        <v>0</v>
      </c>
    </row>
    <row r="1762" spans="1:11" x14ac:dyDescent="0.2">
      <c r="A1762" s="1" t="s">
        <v>1213</v>
      </c>
      <c r="B1762" s="1" t="s">
        <v>1682</v>
      </c>
      <c r="C1762" s="1" t="str">
        <f>"66298850561804"</f>
        <v>66298850561804</v>
      </c>
      <c r="D1762" s="1" t="str">
        <f>"28125-KW3-006"</f>
        <v>28125-KW3-006</v>
      </c>
      <c r="E1762" s="1" t="s">
        <v>17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</row>
    <row r="1763" spans="1:11" ht="30" x14ac:dyDescent="0.2">
      <c r="A1763" s="1" t="s">
        <v>1213</v>
      </c>
      <c r="B1763" s="1" t="s">
        <v>1683</v>
      </c>
      <c r="C1763" s="1" t="str">
        <f>"66298850603420"</f>
        <v>66298850603420</v>
      </c>
      <c r="D1763" s="1" t="str">
        <f>"28120-KWA-941JP"</f>
        <v>28120-KWA-941JP</v>
      </c>
      <c r="E1763" s="1" t="s">
        <v>17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</row>
    <row r="1764" spans="1:11" ht="30" x14ac:dyDescent="0.2">
      <c r="A1764" s="1" t="s">
        <v>1213</v>
      </c>
      <c r="B1764" s="1" t="s">
        <v>1684</v>
      </c>
      <c r="C1764" s="1" t="str">
        <f>"66298850425402"</f>
        <v>66298850425402</v>
      </c>
      <c r="D1764" s="1" t="str">
        <f>"400685"</f>
        <v>400685</v>
      </c>
      <c r="E1764" s="1" t="s">
        <v>17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</row>
    <row r="1765" spans="1:11" x14ac:dyDescent="0.2">
      <c r="A1765" s="1" t="s">
        <v>1213</v>
      </c>
      <c r="B1765" s="1" t="s">
        <v>1685</v>
      </c>
      <c r="C1765" s="1" t="str">
        <f>"CB007"</f>
        <v>CB007</v>
      </c>
      <c r="D1765" s="1" t="str">
        <f>"CB007"</f>
        <v>CB007</v>
      </c>
      <c r="E1765" s="1" t="s">
        <v>17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</row>
    <row r="1766" spans="1:11" x14ac:dyDescent="0.2">
      <c r="A1766" s="1" t="s">
        <v>1213</v>
      </c>
      <c r="B1766" s="1" t="s">
        <v>1686</v>
      </c>
      <c r="C1766" s="1" t="str">
        <f>"66298850697260"</f>
        <v>66298850697260</v>
      </c>
      <c r="D1766" s="1" t="str">
        <f>"400693"</f>
        <v>400693</v>
      </c>
      <c r="E1766" s="1" t="s">
        <v>17</v>
      </c>
      <c r="F1766" s="1">
        <v>33</v>
      </c>
      <c r="G1766" s="1">
        <v>2301</v>
      </c>
      <c r="H1766" s="1">
        <v>75933</v>
      </c>
      <c r="I1766" s="1">
        <v>0</v>
      </c>
      <c r="J1766" s="1">
        <v>33</v>
      </c>
      <c r="K1766" s="1">
        <v>0</v>
      </c>
    </row>
    <row r="1767" spans="1:11" x14ac:dyDescent="0.2">
      <c r="A1767" s="1" t="s">
        <v>1213</v>
      </c>
      <c r="B1767" s="1" t="s">
        <v>1687</v>
      </c>
      <c r="C1767" s="1" t="str">
        <f>"66298850649342"</f>
        <v>66298850649342</v>
      </c>
      <c r="D1767" s="1" t="str">
        <f>"21C-E5580-10JP"</f>
        <v>21C-E5580-10JP</v>
      </c>
      <c r="E1767" s="1" t="s">
        <v>17</v>
      </c>
      <c r="F1767" s="1">
        <v>5</v>
      </c>
      <c r="G1767" s="1">
        <v>7398</v>
      </c>
      <c r="H1767" s="1">
        <v>36990</v>
      </c>
      <c r="I1767" s="1">
        <v>0</v>
      </c>
      <c r="J1767" s="1">
        <v>5</v>
      </c>
      <c r="K1767" s="1">
        <v>0</v>
      </c>
    </row>
    <row r="1768" spans="1:11" x14ac:dyDescent="0.2">
      <c r="A1768" s="1" t="s">
        <v>1213</v>
      </c>
      <c r="B1768" s="1" t="s">
        <v>1688</v>
      </c>
      <c r="C1768" s="1" t="str">
        <f>"66298850735679"</f>
        <v>66298850735679</v>
      </c>
      <c r="D1768" s="1" t="str">
        <f>"400688"</f>
        <v>400688</v>
      </c>
      <c r="E1768" s="1" t="s">
        <v>17</v>
      </c>
      <c r="F1768" s="1">
        <v>1</v>
      </c>
      <c r="G1768" s="1">
        <v>1786</v>
      </c>
      <c r="H1768" s="1">
        <v>1786</v>
      </c>
      <c r="I1768" s="1">
        <v>0</v>
      </c>
      <c r="J1768" s="1">
        <v>1</v>
      </c>
      <c r="K1768" s="1">
        <v>0</v>
      </c>
    </row>
    <row r="1769" spans="1:11" ht="30" x14ac:dyDescent="0.2">
      <c r="A1769" s="1" t="s">
        <v>1213</v>
      </c>
      <c r="B1769" s="1" t="s">
        <v>1689</v>
      </c>
      <c r="C1769" s="1" t="str">
        <f>"400687"</f>
        <v>400687</v>
      </c>
      <c r="D1769" s="1" t="str">
        <f>"400687"</f>
        <v>400687</v>
      </c>
      <c r="E1769" s="1" t="s">
        <v>17</v>
      </c>
      <c r="F1769" s="1">
        <v>40</v>
      </c>
      <c r="G1769" s="1">
        <v>3286</v>
      </c>
      <c r="H1769" s="1">
        <v>131440</v>
      </c>
      <c r="I1769" s="1">
        <v>0</v>
      </c>
      <c r="J1769" s="1">
        <v>40</v>
      </c>
      <c r="K1769" s="1">
        <v>0</v>
      </c>
    </row>
    <row r="1770" spans="1:11" x14ac:dyDescent="0.2">
      <c r="A1770" s="1" t="s">
        <v>1213</v>
      </c>
      <c r="B1770" s="1" t="s">
        <v>1690</v>
      </c>
      <c r="C1770" s="1" t="str">
        <f>"66298850824682"</f>
        <v>66298850824682</v>
      </c>
      <c r="D1770" s="1" t="str">
        <f>"28125-KFC-791JP"</f>
        <v>28125-KFC-791JP</v>
      </c>
      <c r="E1770" s="1" t="s">
        <v>17</v>
      </c>
      <c r="F1770" s="1">
        <v>2</v>
      </c>
      <c r="G1770" s="1">
        <v>10822</v>
      </c>
      <c r="H1770" s="1">
        <v>21644</v>
      </c>
      <c r="I1770" s="1">
        <v>0</v>
      </c>
      <c r="J1770" s="1">
        <v>2</v>
      </c>
      <c r="K1770" s="1">
        <v>0</v>
      </c>
    </row>
    <row r="1771" spans="1:11" x14ac:dyDescent="0.2">
      <c r="A1771" s="1" t="s">
        <v>1213</v>
      </c>
      <c r="B1771" s="1" t="s">
        <v>1691</v>
      </c>
      <c r="C1771" s="1" t="str">
        <f>"66298850865518"</f>
        <v>66298850865518</v>
      </c>
      <c r="D1771" s="1" t="str">
        <f>"JA-6214-14"</f>
        <v>JA-6214-14</v>
      </c>
      <c r="E1771" s="1" t="s">
        <v>17</v>
      </c>
      <c r="F1771" s="1">
        <v>4</v>
      </c>
      <c r="G1771" s="1">
        <v>4434</v>
      </c>
      <c r="H1771" s="1">
        <v>17736</v>
      </c>
      <c r="I1771" s="1">
        <v>0</v>
      </c>
      <c r="J1771" s="1">
        <v>4</v>
      </c>
      <c r="K1771" s="1">
        <v>0</v>
      </c>
    </row>
    <row r="1772" spans="1:11" x14ac:dyDescent="0.2">
      <c r="A1772" s="1" t="s">
        <v>1213</v>
      </c>
      <c r="B1772" s="1" t="s">
        <v>1692</v>
      </c>
      <c r="C1772" s="1" t="str">
        <f>"66298850903182"</f>
        <v>66298850903182</v>
      </c>
      <c r="D1772" s="1" t="str">
        <f>"36-DH40-08JP"</f>
        <v>36-DH40-08JP</v>
      </c>
      <c r="E1772" s="1" t="s">
        <v>17</v>
      </c>
      <c r="F1772" s="1">
        <v>7</v>
      </c>
      <c r="G1772" s="1">
        <v>6567</v>
      </c>
      <c r="H1772" s="1">
        <v>45969</v>
      </c>
      <c r="I1772" s="1">
        <v>0</v>
      </c>
      <c r="J1772" s="1">
        <v>7</v>
      </c>
      <c r="K1772" s="1">
        <v>0</v>
      </c>
    </row>
    <row r="1773" spans="1:11" x14ac:dyDescent="0.2">
      <c r="A1773" s="1" t="s">
        <v>1213</v>
      </c>
      <c r="B1773" s="1" t="s">
        <v>1693</v>
      </c>
      <c r="C1773" s="1" t="str">
        <f>"66298850943601"</f>
        <v>66298850943601</v>
      </c>
      <c r="D1773" s="1" t="str">
        <f>"400689"</f>
        <v>400689</v>
      </c>
      <c r="E1773" s="1" t="s">
        <v>17</v>
      </c>
      <c r="F1773" s="1">
        <v>38</v>
      </c>
      <c r="G1773" s="1">
        <v>6985</v>
      </c>
      <c r="H1773" s="1">
        <v>265430</v>
      </c>
      <c r="I1773" s="1">
        <v>0</v>
      </c>
      <c r="J1773" s="1">
        <v>38</v>
      </c>
      <c r="K1773" s="1">
        <v>0</v>
      </c>
    </row>
    <row r="1774" spans="1:11" x14ac:dyDescent="0.2">
      <c r="A1774" s="1" t="s">
        <v>1213</v>
      </c>
      <c r="B1774" s="1" t="s">
        <v>1694</v>
      </c>
      <c r="C1774" s="1" t="str">
        <f>"66298850985832"</f>
        <v>66298850985832</v>
      </c>
      <c r="D1774" s="1" t="str">
        <f>"U008"</f>
        <v>U008</v>
      </c>
      <c r="E1774" s="1" t="s">
        <v>17</v>
      </c>
      <c r="F1774" s="1">
        <v>3</v>
      </c>
      <c r="G1774" s="1">
        <v>22200</v>
      </c>
      <c r="H1774" s="1">
        <v>66600</v>
      </c>
      <c r="I1774" s="1">
        <v>0</v>
      </c>
      <c r="J1774" s="1">
        <v>3</v>
      </c>
      <c r="K1774" s="1">
        <v>0</v>
      </c>
    </row>
    <row r="1775" spans="1:11" ht="30" x14ac:dyDescent="0.2">
      <c r="A1775" s="1" t="s">
        <v>1213</v>
      </c>
      <c r="B1775" s="1" t="s">
        <v>1695</v>
      </c>
      <c r="C1775" s="1" t="str">
        <f>"66298850386378"</f>
        <v>66298850386378</v>
      </c>
      <c r="D1775" s="1" t="str">
        <f>"400686"</f>
        <v>400686</v>
      </c>
      <c r="E1775" s="1" t="s">
        <v>17</v>
      </c>
      <c r="F1775" s="1">
        <v>23</v>
      </c>
      <c r="G1775" s="1">
        <v>1358</v>
      </c>
      <c r="H1775" s="1">
        <v>31234</v>
      </c>
      <c r="I1775" s="1">
        <v>0</v>
      </c>
      <c r="J1775" s="1">
        <v>23</v>
      </c>
      <c r="K1775" s="1">
        <v>0</v>
      </c>
    </row>
    <row r="1776" spans="1:11" x14ac:dyDescent="0.2">
      <c r="A1776" s="1" t="s">
        <v>1213</v>
      </c>
      <c r="B1776" s="1" t="s">
        <v>1696</v>
      </c>
      <c r="C1776" s="1" t="str">
        <f>"66298851030229"</f>
        <v>66298851030229</v>
      </c>
      <c r="D1776" s="1" t="str">
        <f>"28120-GFY6-C10JP"</f>
        <v>28120-GFY6-C10JP</v>
      </c>
      <c r="E1776" s="1" t="s">
        <v>17</v>
      </c>
      <c r="F1776" s="1">
        <v>7</v>
      </c>
      <c r="G1776" s="1">
        <v>9127</v>
      </c>
      <c r="H1776" s="1">
        <v>63889</v>
      </c>
      <c r="I1776" s="1">
        <v>0</v>
      </c>
      <c r="J1776" s="1">
        <v>7</v>
      </c>
      <c r="K1776" s="1">
        <v>0</v>
      </c>
    </row>
    <row r="1777" spans="1:11" x14ac:dyDescent="0.2">
      <c r="A1777" s="1" t="s">
        <v>1213</v>
      </c>
      <c r="B1777" s="1" t="s">
        <v>1697</v>
      </c>
      <c r="C1777" s="1" t="str">
        <f>"66298851070515"</f>
        <v>66298851070515</v>
      </c>
      <c r="D1777" s="1" t="str">
        <f>"400683"</f>
        <v>400683</v>
      </c>
      <c r="E1777" s="1" t="s">
        <v>17</v>
      </c>
      <c r="F1777" s="1">
        <v>19</v>
      </c>
      <c r="G1777" s="1">
        <v>3544</v>
      </c>
      <c r="H1777" s="1">
        <v>67336</v>
      </c>
      <c r="I1777" s="1">
        <v>0</v>
      </c>
      <c r="J1777" s="1">
        <v>19</v>
      </c>
      <c r="K1777" s="1">
        <v>0</v>
      </c>
    </row>
    <row r="1778" spans="1:11" x14ac:dyDescent="0.2">
      <c r="A1778" s="1" t="s">
        <v>1213</v>
      </c>
      <c r="B1778" s="1" t="s">
        <v>1698</v>
      </c>
      <c r="C1778" s="1" t="str">
        <f>"66298851116894"</f>
        <v>66298851116894</v>
      </c>
      <c r="D1778" s="1" t="str">
        <f>"400684"</f>
        <v>400684</v>
      </c>
      <c r="E1778" s="1" t="s">
        <v>17</v>
      </c>
      <c r="F1778" s="1">
        <v>20</v>
      </c>
      <c r="G1778" s="1">
        <v>4592</v>
      </c>
      <c r="H1778" s="1">
        <v>91840</v>
      </c>
      <c r="I1778" s="1">
        <v>0</v>
      </c>
      <c r="J1778" s="1">
        <v>20</v>
      </c>
      <c r="K1778" s="1">
        <v>0</v>
      </c>
    </row>
    <row r="1779" spans="1:11" ht="30" x14ac:dyDescent="0.2">
      <c r="A1779" s="1" t="s">
        <v>1213</v>
      </c>
      <c r="B1779" s="1" t="s">
        <v>1699</v>
      </c>
      <c r="C1779" s="1" t="str">
        <f>"66298851159887"</f>
        <v>66298851159887</v>
      </c>
      <c r="D1779" s="1" t="str">
        <f>"400691"</f>
        <v>400691</v>
      </c>
      <c r="E1779" s="1" t="s">
        <v>17</v>
      </c>
      <c r="F1779" s="1">
        <v>44</v>
      </c>
      <c r="G1779" s="1">
        <v>7564</v>
      </c>
      <c r="H1779" s="1">
        <v>332816</v>
      </c>
      <c r="I1779" s="1">
        <v>0</v>
      </c>
      <c r="J1779" s="1">
        <v>44</v>
      </c>
      <c r="K1779" s="1">
        <v>0</v>
      </c>
    </row>
    <row r="1780" spans="1:11" x14ac:dyDescent="0.2">
      <c r="A1780" s="1" t="s">
        <v>1213</v>
      </c>
      <c r="B1780" s="1" t="s">
        <v>1700</v>
      </c>
      <c r="C1780" s="1" t="str">
        <f>"66298851197731"</f>
        <v>66298851197731</v>
      </c>
      <c r="D1780" s="1" t="str">
        <f>"5US-E5590-00JP"</f>
        <v>5US-E5590-00JP</v>
      </c>
      <c r="E1780" s="1" t="s">
        <v>17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</row>
    <row r="1781" spans="1:11" x14ac:dyDescent="0.2">
      <c r="A1781" s="1" t="s">
        <v>1213</v>
      </c>
      <c r="B1781" s="1" t="s">
        <v>1701</v>
      </c>
      <c r="C1781" s="1" t="str">
        <f>"66298851312763"</f>
        <v>66298851312763</v>
      </c>
      <c r="D1781" s="1" t="str">
        <f>"400690"</f>
        <v>400690</v>
      </c>
      <c r="E1781" s="1" t="s">
        <v>17</v>
      </c>
      <c r="F1781" s="1">
        <v>43</v>
      </c>
      <c r="G1781" s="1">
        <v>4108</v>
      </c>
      <c r="H1781" s="1">
        <v>176644</v>
      </c>
      <c r="I1781" s="1">
        <v>0</v>
      </c>
      <c r="J1781" s="1">
        <v>43</v>
      </c>
      <c r="K1781" s="1">
        <v>0</v>
      </c>
    </row>
    <row r="1782" spans="1:11" x14ac:dyDescent="0.2">
      <c r="A1782" s="1" t="s">
        <v>1213</v>
      </c>
      <c r="B1782" s="1" t="s">
        <v>1702</v>
      </c>
      <c r="C1782" s="1" t="str">
        <f>"66298851245011"</f>
        <v>66298851245011</v>
      </c>
      <c r="D1782" s="1" t="str">
        <f>"1BK-E5580-00"</f>
        <v>1BK-E5580-00</v>
      </c>
      <c r="E1782" s="1" t="s">
        <v>17</v>
      </c>
      <c r="F1782" s="1">
        <v>7</v>
      </c>
      <c r="G1782" s="1">
        <v>8447</v>
      </c>
      <c r="H1782" s="1">
        <v>59129</v>
      </c>
      <c r="I1782" s="1">
        <v>0</v>
      </c>
      <c r="J1782" s="1">
        <v>7</v>
      </c>
      <c r="K1782" s="1">
        <v>0</v>
      </c>
    </row>
    <row r="1783" spans="1:11" x14ac:dyDescent="0.2">
      <c r="A1783" s="1" t="s">
        <v>1213</v>
      </c>
      <c r="B1783" s="1" t="s">
        <v>1702</v>
      </c>
      <c r="C1783" s="1" t="str">
        <f>"66298851254701"</f>
        <v>66298851254701</v>
      </c>
      <c r="D1783" s="1" t="str">
        <f>"CB002"</f>
        <v>CB002</v>
      </c>
      <c r="E1783" s="1" t="s">
        <v>17</v>
      </c>
      <c r="F1783" s="1">
        <v>5</v>
      </c>
      <c r="G1783" s="1">
        <v>13280</v>
      </c>
      <c r="H1783" s="1">
        <v>66400</v>
      </c>
      <c r="I1783" s="1">
        <v>0</v>
      </c>
      <c r="J1783" s="1">
        <v>5</v>
      </c>
      <c r="K1783" s="1">
        <v>0</v>
      </c>
    </row>
    <row r="1784" spans="1:11" x14ac:dyDescent="0.2">
      <c r="A1784" s="1" t="s">
        <v>1213</v>
      </c>
      <c r="B1784" s="1" t="s">
        <v>1703</v>
      </c>
      <c r="C1784" s="1" t="str">
        <f>"66298851357650"</f>
        <v>66298851357650</v>
      </c>
      <c r="D1784" s="1" t="str">
        <f>"5TY-E5570-01JP"</f>
        <v>5TY-E5570-01JP</v>
      </c>
      <c r="E1784" s="1" t="s">
        <v>17</v>
      </c>
      <c r="F1784" s="1">
        <v>3</v>
      </c>
      <c r="G1784" s="1">
        <v>8875</v>
      </c>
      <c r="H1784" s="1">
        <v>26625</v>
      </c>
      <c r="I1784" s="1">
        <v>0</v>
      </c>
      <c r="J1784" s="1">
        <v>3</v>
      </c>
      <c r="K1784" s="1">
        <v>0</v>
      </c>
    </row>
    <row r="1785" spans="1:11" x14ac:dyDescent="0.2">
      <c r="A1785" s="1" t="s">
        <v>1213</v>
      </c>
      <c r="B1785" s="1" t="s">
        <v>1704</v>
      </c>
      <c r="C1785" s="1" t="str">
        <f>"66298851407886"</f>
        <v>66298851407886</v>
      </c>
      <c r="D1785" s="1" t="str">
        <f>"257"</f>
        <v>257</v>
      </c>
      <c r="E1785" s="1" t="s">
        <v>17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</row>
    <row r="1786" spans="1:11" x14ac:dyDescent="0.2">
      <c r="A1786" s="1" t="s">
        <v>1213</v>
      </c>
      <c r="B1786" s="1" t="s">
        <v>1704</v>
      </c>
      <c r="C1786" s="1" t="str">
        <f>"66298851413715"</f>
        <v>66298851413715</v>
      </c>
      <c r="D1786" s="1" t="str">
        <f>"54B-E5580-00"</f>
        <v>54B-E5580-00</v>
      </c>
      <c r="E1786" s="1" t="s">
        <v>17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</row>
    <row r="1787" spans="1:11" x14ac:dyDescent="0.2">
      <c r="A1787" s="1" t="s">
        <v>1705</v>
      </c>
      <c r="B1787" s="1" t="s">
        <v>1706</v>
      </c>
      <c r="C1787" s="1" t="str">
        <f>"66298851470524"</f>
        <v>66298851470524</v>
      </c>
      <c r="D1787" s="1" t="str">
        <f>"02K274"</f>
        <v>02K274</v>
      </c>
      <c r="E1787" s="1" t="s">
        <v>17</v>
      </c>
      <c r="F1787" s="1">
        <v>1</v>
      </c>
      <c r="G1787" s="1">
        <v>177</v>
      </c>
      <c r="H1787" s="1">
        <v>177</v>
      </c>
      <c r="I1787" s="1">
        <v>0</v>
      </c>
      <c r="J1787" s="1">
        <v>1</v>
      </c>
      <c r="K1787" s="1">
        <v>0</v>
      </c>
    </row>
    <row r="1788" spans="1:11" x14ac:dyDescent="0.2">
      <c r="A1788" s="1" t="s">
        <v>1705</v>
      </c>
      <c r="B1788" s="1" t="s">
        <v>1707</v>
      </c>
      <c r="C1788" s="1" t="str">
        <f>"66298851512658"</f>
        <v>66298851512658</v>
      </c>
      <c r="D1788" s="1" t="str">
        <f>"E06020023"</f>
        <v>E06020023</v>
      </c>
      <c r="E1788" s="1" t="s">
        <v>17</v>
      </c>
      <c r="F1788" s="1">
        <v>1</v>
      </c>
      <c r="G1788" s="1">
        <v>541</v>
      </c>
      <c r="H1788" s="1">
        <v>541</v>
      </c>
      <c r="I1788" s="1">
        <v>0</v>
      </c>
      <c r="J1788" s="1">
        <v>1</v>
      </c>
      <c r="K1788" s="1">
        <v>0</v>
      </c>
    </row>
    <row r="1789" spans="1:11" x14ac:dyDescent="0.2">
      <c r="A1789" s="1" t="s">
        <v>1705</v>
      </c>
      <c r="B1789" s="1" t="s">
        <v>1708</v>
      </c>
      <c r="C1789" s="1" t="str">
        <f>"66298851555050"</f>
        <v>66298851555050</v>
      </c>
      <c r="D1789" s="1" t="str">
        <f>"02K318"</f>
        <v>02K318</v>
      </c>
      <c r="E1789" s="1" t="s">
        <v>17</v>
      </c>
      <c r="F1789" s="1">
        <v>3</v>
      </c>
      <c r="G1789" s="1">
        <v>199</v>
      </c>
      <c r="H1789" s="1">
        <v>597</v>
      </c>
      <c r="I1789" s="1">
        <v>0</v>
      </c>
      <c r="J1789" s="1">
        <v>3</v>
      </c>
      <c r="K1789" s="1">
        <v>0</v>
      </c>
    </row>
    <row r="1790" spans="1:11" x14ac:dyDescent="0.2">
      <c r="A1790" s="1" t="s">
        <v>1705</v>
      </c>
      <c r="B1790" s="1" t="s">
        <v>1709</v>
      </c>
      <c r="C1790" s="1" t="str">
        <f>"66298851596782"</f>
        <v>66298851596782</v>
      </c>
      <c r="D1790" s="1" t="str">
        <f>"11241-34J00"</f>
        <v>11241-34J00</v>
      </c>
      <c r="E1790" s="1" t="s">
        <v>17</v>
      </c>
      <c r="F1790" s="1">
        <v>2</v>
      </c>
      <c r="G1790" s="1">
        <v>771</v>
      </c>
      <c r="H1790" s="1">
        <v>1542</v>
      </c>
      <c r="I1790" s="1">
        <v>0</v>
      </c>
      <c r="J1790" s="1">
        <v>2</v>
      </c>
      <c r="K1790" s="1">
        <v>0</v>
      </c>
    </row>
    <row r="1791" spans="1:11" x14ac:dyDescent="0.2">
      <c r="A1791" s="1" t="s">
        <v>1705</v>
      </c>
      <c r="B1791" s="1" t="s">
        <v>1709</v>
      </c>
      <c r="C1791" s="1" t="str">
        <f>"66298851639571"</f>
        <v>66298851639571</v>
      </c>
      <c r="D1791" s="1" t="str">
        <f>"02K340"</f>
        <v>02K340</v>
      </c>
      <c r="E1791" s="1" t="s">
        <v>17</v>
      </c>
      <c r="F1791" s="1">
        <v>2</v>
      </c>
      <c r="G1791" s="1">
        <v>183</v>
      </c>
      <c r="H1791" s="1">
        <v>366</v>
      </c>
      <c r="I1791" s="1">
        <v>0</v>
      </c>
      <c r="J1791" s="1">
        <v>2</v>
      </c>
      <c r="K1791" s="1">
        <v>0</v>
      </c>
    </row>
    <row r="1792" spans="1:11" x14ac:dyDescent="0.2">
      <c r="A1792" s="1" t="s">
        <v>1705</v>
      </c>
      <c r="B1792" s="1" t="s">
        <v>1710</v>
      </c>
      <c r="C1792" s="1" t="str">
        <f>"66298851680701"</f>
        <v>66298851680701</v>
      </c>
      <c r="D1792" s="1" t="str">
        <f>"12191-KPF-900BR"</f>
        <v>12191-KPF-900BR</v>
      </c>
      <c r="E1792" s="1" t="s">
        <v>17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</row>
    <row r="1793" spans="1:11" x14ac:dyDescent="0.2">
      <c r="A1793" s="1" t="s">
        <v>1705</v>
      </c>
      <c r="B1793" s="1" t="s">
        <v>1710</v>
      </c>
      <c r="C1793" s="1" t="str">
        <f>"66298851721867"</f>
        <v>66298851721867</v>
      </c>
      <c r="D1793" s="1" t="str">
        <f>"02K278"</f>
        <v>02K278</v>
      </c>
      <c r="E1793" s="1" t="s">
        <v>17</v>
      </c>
      <c r="F1793" s="1">
        <v>1</v>
      </c>
      <c r="G1793" s="1">
        <v>224</v>
      </c>
      <c r="H1793" s="1">
        <v>224</v>
      </c>
      <c r="I1793" s="1">
        <v>0</v>
      </c>
      <c r="J1793" s="1">
        <v>1</v>
      </c>
      <c r="K1793" s="1">
        <v>0</v>
      </c>
    </row>
    <row r="1794" spans="1:11" x14ac:dyDescent="0.2">
      <c r="A1794" s="1" t="s">
        <v>1705</v>
      </c>
      <c r="B1794" s="1" t="s">
        <v>1711</v>
      </c>
      <c r="C1794" s="1" t="str">
        <f>"66298851762316"</f>
        <v>66298851762316</v>
      </c>
      <c r="D1794" s="1" t="str">
        <f>"12191-KZ1-920BR"</f>
        <v>12191-KZ1-920BR</v>
      </c>
      <c r="E1794" s="1" t="s">
        <v>17</v>
      </c>
      <c r="F1794" s="1">
        <v>2</v>
      </c>
      <c r="G1794" s="1">
        <v>624</v>
      </c>
      <c r="H1794" s="1">
        <v>1248</v>
      </c>
      <c r="I1794" s="1">
        <v>0</v>
      </c>
      <c r="J1794" s="1">
        <v>2</v>
      </c>
      <c r="K1794" s="1">
        <v>0</v>
      </c>
    </row>
    <row r="1795" spans="1:11" x14ac:dyDescent="0.2">
      <c r="A1795" s="1" t="s">
        <v>1705</v>
      </c>
      <c r="B1795" s="1" t="s">
        <v>1712</v>
      </c>
      <c r="C1795" s="1" t="str">
        <f>"66298851802276"</f>
        <v>66298851802276</v>
      </c>
      <c r="D1795" s="1" t="str">
        <f>"02K200"</f>
        <v>02K200</v>
      </c>
      <c r="E1795" s="1" t="s">
        <v>17</v>
      </c>
      <c r="F1795" s="1">
        <v>1</v>
      </c>
      <c r="G1795" s="1">
        <v>233</v>
      </c>
      <c r="H1795" s="1">
        <v>233</v>
      </c>
      <c r="I1795" s="1">
        <v>0</v>
      </c>
      <c r="J1795" s="1">
        <v>1</v>
      </c>
      <c r="K1795" s="1">
        <v>0</v>
      </c>
    </row>
    <row r="1796" spans="1:11" x14ac:dyDescent="0.2">
      <c r="A1796" s="1" t="s">
        <v>1705</v>
      </c>
      <c r="B1796" s="1" t="s">
        <v>1713</v>
      </c>
      <c r="C1796" s="1" t="str">
        <f>"66298851842980"</f>
        <v>66298851842980</v>
      </c>
      <c r="D1796" s="1" t="str">
        <f>"02K219"</f>
        <v>02K219</v>
      </c>
      <c r="E1796" s="1" t="s">
        <v>17</v>
      </c>
      <c r="F1796" s="1">
        <v>2</v>
      </c>
      <c r="G1796" s="1">
        <v>158</v>
      </c>
      <c r="H1796" s="1">
        <v>316</v>
      </c>
      <c r="I1796" s="1">
        <v>0</v>
      </c>
      <c r="J1796" s="1">
        <v>2</v>
      </c>
      <c r="K1796" s="1">
        <v>0</v>
      </c>
    </row>
    <row r="1797" spans="1:11" x14ac:dyDescent="0.2">
      <c r="A1797" s="1" t="s">
        <v>1705</v>
      </c>
      <c r="B1797" s="1" t="s">
        <v>1714</v>
      </c>
      <c r="C1797" s="1" t="str">
        <f>"66298851883661"</f>
        <v>66298851883661</v>
      </c>
      <c r="D1797" s="1" t="str">
        <f>"02K290"</f>
        <v>02K290</v>
      </c>
      <c r="E1797" s="1" t="s">
        <v>17</v>
      </c>
      <c r="F1797" s="1">
        <v>3</v>
      </c>
      <c r="G1797" s="1">
        <v>199</v>
      </c>
      <c r="H1797" s="1">
        <v>597</v>
      </c>
      <c r="I1797" s="1">
        <v>0</v>
      </c>
      <c r="J1797" s="1">
        <v>3</v>
      </c>
      <c r="K1797" s="1">
        <v>0</v>
      </c>
    </row>
    <row r="1798" spans="1:11" x14ac:dyDescent="0.2">
      <c r="A1798" s="1" t="s">
        <v>1705</v>
      </c>
      <c r="B1798" s="1" t="s">
        <v>1715</v>
      </c>
      <c r="C1798" s="1" t="str">
        <f>"03M520LA"</f>
        <v>03M520LA</v>
      </c>
      <c r="D1798" s="1" t="str">
        <f>"03M520LA"</f>
        <v>03M520LA</v>
      </c>
      <c r="E1798" s="1" t="s">
        <v>17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</row>
    <row r="1799" spans="1:11" x14ac:dyDescent="0.2">
      <c r="A1799" s="1" t="s">
        <v>1705</v>
      </c>
      <c r="B1799" s="1" t="s">
        <v>1716</v>
      </c>
      <c r="C1799" s="1" t="str">
        <f>"U004"</f>
        <v>U004</v>
      </c>
      <c r="D1799" s="1" t="str">
        <f>"U004"</f>
        <v>U004</v>
      </c>
      <c r="E1799" s="1" t="s">
        <v>17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</row>
    <row r="1800" spans="1:11" x14ac:dyDescent="0.2">
      <c r="A1800" s="1" t="s">
        <v>1705</v>
      </c>
      <c r="B1800" s="1" t="s">
        <v>1717</v>
      </c>
      <c r="C1800" s="1" t="str">
        <f>"66298851984807"</f>
        <v>66298851984807</v>
      </c>
      <c r="D1800" s="1" t="str">
        <f>"12251-KPF-900BR"</f>
        <v>12251-KPF-900BR</v>
      </c>
      <c r="E1800" s="1" t="s">
        <v>17</v>
      </c>
      <c r="F1800" s="1">
        <v>3</v>
      </c>
      <c r="G1800" s="1">
        <v>3778</v>
      </c>
      <c r="H1800" s="1">
        <v>11334</v>
      </c>
      <c r="I1800" s="1">
        <v>0</v>
      </c>
      <c r="J1800" s="1">
        <v>3</v>
      </c>
      <c r="K1800" s="1">
        <v>0</v>
      </c>
    </row>
    <row r="1801" spans="1:11" x14ac:dyDescent="0.2">
      <c r="A1801" s="1" t="s">
        <v>1705</v>
      </c>
      <c r="B1801" s="1" t="s">
        <v>1718</v>
      </c>
      <c r="C1801" s="1" t="str">
        <f>"66298852029668"</f>
        <v>66298852029668</v>
      </c>
      <c r="D1801" s="1" t="str">
        <f>"03M326LA"</f>
        <v>03M326LA</v>
      </c>
      <c r="E1801" s="1" t="s">
        <v>17</v>
      </c>
      <c r="F1801" s="1">
        <v>1</v>
      </c>
      <c r="G1801" s="1">
        <v>308</v>
      </c>
      <c r="H1801" s="1">
        <v>308</v>
      </c>
      <c r="I1801" s="1">
        <v>0</v>
      </c>
      <c r="J1801" s="1">
        <v>1</v>
      </c>
      <c r="K1801" s="1">
        <v>0</v>
      </c>
    </row>
    <row r="1802" spans="1:11" x14ac:dyDescent="0.2">
      <c r="A1802" s="1" t="s">
        <v>1705</v>
      </c>
      <c r="B1802" s="1" t="s">
        <v>1719</v>
      </c>
      <c r="C1802" s="1" t="str">
        <f>"66298852067227"</f>
        <v>66298852067227</v>
      </c>
      <c r="D1802" s="1" t="str">
        <f>"03M408LA"</f>
        <v>03M408LA</v>
      </c>
      <c r="E1802" s="1" t="s">
        <v>17</v>
      </c>
      <c r="F1802" s="1">
        <v>1</v>
      </c>
      <c r="G1802" s="1">
        <v>449</v>
      </c>
      <c r="H1802" s="1">
        <v>449</v>
      </c>
      <c r="I1802" s="1">
        <v>0</v>
      </c>
      <c r="J1802" s="1">
        <v>1</v>
      </c>
      <c r="K1802" s="1">
        <v>0</v>
      </c>
    </row>
    <row r="1803" spans="1:11" x14ac:dyDescent="0.2">
      <c r="A1803" s="1" t="s">
        <v>1705</v>
      </c>
      <c r="B1803" s="1" t="s">
        <v>1720</v>
      </c>
      <c r="C1803" s="1" t="str">
        <f>"EM-ES-CB1"</f>
        <v>EM-ES-CB1</v>
      </c>
      <c r="D1803" s="1" t="str">
        <f>"EM-ES-CB1"</f>
        <v>EM-ES-CB1</v>
      </c>
      <c r="E1803" s="1" t="s">
        <v>17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</row>
    <row r="1804" spans="1:11" x14ac:dyDescent="0.2">
      <c r="A1804" s="1" t="s">
        <v>1705</v>
      </c>
      <c r="B1804" s="1" t="s">
        <v>1721</v>
      </c>
      <c r="C1804" s="1" t="str">
        <f>"66298852115506"</f>
        <v>66298852115506</v>
      </c>
      <c r="D1804" s="1" t="str">
        <f>"DM-E-00023"</f>
        <v>DM-E-00023</v>
      </c>
      <c r="E1804" s="1" t="s">
        <v>17</v>
      </c>
      <c r="F1804" s="1">
        <v>3</v>
      </c>
      <c r="G1804" s="1">
        <v>12</v>
      </c>
      <c r="H1804" s="1">
        <v>36</v>
      </c>
      <c r="I1804" s="1">
        <v>0</v>
      </c>
      <c r="J1804" s="1">
        <v>3</v>
      </c>
      <c r="K1804" s="1">
        <v>0</v>
      </c>
    </row>
    <row r="1805" spans="1:11" x14ac:dyDescent="0.2">
      <c r="A1805" s="1" t="s">
        <v>1705</v>
      </c>
      <c r="B1805" s="1" t="s">
        <v>1721</v>
      </c>
      <c r="C1805" s="1" t="str">
        <f>"66298852122804"</f>
        <v>66298852122804</v>
      </c>
      <c r="D1805" s="1" t="str">
        <f>"C022"</f>
        <v>C022</v>
      </c>
      <c r="E1805" s="1" t="s">
        <v>17</v>
      </c>
      <c r="F1805" s="1">
        <v>1</v>
      </c>
      <c r="G1805" s="1">
        <v>70</v>
      </c>
      <c r="H1805" s="1">
        <v>70</v>
      </c>
      <c r="I1805" s="1">
        <v>0</v>
      </c>
      <c r="J1805" s="1">
        <v>1</v>
      </c>
      <c r="K1805" s="1">
        <v>0</v>
      </c>
    </row>
    <row r="1806" spans="1:11" x14ac:dyDescent="0.2">
      <c r="A1806" s="1" t="s">
        <v>1705</v>
      </c>
      <c r="B1806" s="1" t="s">
        <v>1721</v>
      </c>
      <c r="C1806" s="1" t="str">
        <f>"66298852132980"</f>
        <v>66298852132980</v>
      </c>
      <c r="D1806" s="1" t="str">
        <f>"TK006"</f>
        <v>TK006</v>
      </c>
      <c r="E1806" s="1" t="s">
        <v>17</v>
      </c>
      <c r="F1806" s="1">
        <v>59</v>
      </c>
      <c r="G1806" s="1">
        <v>189</v>
      </c>
      <c r="H1806" s="1">
        <v>11151</v>
      </c>
      <c r="I1806" s="1">
        <v>0</v>
      </c>
      <c r="J1806" s="1">
        <v>59</v>
      </c>
      <c r="K1806" s="1">
        <v>0</v>
      </c>
    </row>
    <row r="1807" spans="1:11" x14ac:dyDescent="0.2">
      <c r="A1807" s="1" t="s">
        <v>1705</v>
      </c>
      <c r="B1807" s="1" t="s">
        <v>1722</v>
      </c>
      <c r="C1807" s="1" t="str">
        <f>"66298852198415"</f>
        <v>66298852198415</v>
      </c>
      <c r="D1807" s="1" t="str">
        <f>"11191-383-000"</f>
        <v>11191-383-000</v>
      </c>
      <c r="E1807" s="1" t="s">
        <v>17</v>
      </c>
      <c r="F1807" s="1">
        <v>1</v>
      </c>
      <c r="G1807" s="1">
        <v>500</v>
      </c>
      <c r="H1807" s="1">
        <v>500</v>
      </c>
      <c r="I1807" s="1">
        <v>0</v>
      </c>
      <c r="J1807" s="1">
        <v>1</v>
      </c>
      <c r="K1807" s="1">
        <v>0</v>
      </c>
    </row>
    <row r="1808" spans="1:11" x14ac:dyDescent="0.2">
      <c r="A1808" s="1" t="s">
        <v>1705</v>
      </c>
      <c r="B1808" s="1" t="s">
        <v>1723</v>
      </c>
      <c r="C1808" s="1" t="str">
        <f>"S4VS270008044"</f>
        <v>S4VS270008044</v>
      </c>
      <c r="D1808" s="1" t="str">
        <f>"S4VS270008044"</f>
        <v>S4VS270008044</v>
      </c>
      <c r="E1808" s="1" t="s">
        <v>17</v>
      </c>
      <c r="F1808" s="1">
        <v>1</v>
      </c>
      <c r="G1808" s="1">
        <v>3143</v>
      </c>
      <c r="H1808" s="1">
        <v>3143</v>
      </c>
      <c r="I1808" s="1">
        <v>0</v>
      </c>
      <c r="J1808" s="1">
        <v>1</v>
      </c>
      <c r="K1808" s="1">
        <v>0</v>
      </c>
    </row>
    <row r="1809" spans="1:11" ht="30" x14ac:dyDescent="0.2">
      <c r="A1809" s="1" t="s">
        <v>1705</v>
      </c>
      <c r="B1809" s="1" t="s">
        <v>1724</v>
      </c>
      <c r="C1809" s="1" t="str">
        <f>"VS10003090183"</f>
        <v>VS10003090183</v>
      </c>
      <c r="D1809" s="1" t="str">
        <f>"VS10003090183"</f>
        <v>VS10003090183</v>
      </c>
      <c r="E1809" s="1" t="s">
        <v>17</v>
      </c>
      <c r="F1809" s="1">
        <v>1</v>
      </c>
      <c r="G1809" s="1">
        <v>1843</v>
      </c>
      <c r="H1809" s="1">
        <v>1843</v>
      </c>
      <c r="I1809" s="1">
        <v>0</v>
      </c>
      <c r="J1809" s="1">
        <v>1</v>
      </c>
      <c r="K1809" s="1">
        <v>0</v>
      </c>
    </row>
    <row r="1810" spans="1:11" ht="30" x14ac:dyDescent="0.2">
      <c r="A1810" s="1" t="s">
        <v>1705</v>
      </c>
      <c r="B1810" s="1" t="s">
        <v>1725</v>
      </c>
      <c r="C1810" s="1" t="str">
        <f>"66298852235840"</f>
        <v>66298852235840</v>
      </c>
      <c r="D1810" s="1" t="str">
        <f>"01P104"</f>
        <v>01P104</v>
      </c>
      <c r="E1810" s="1" t="s">
        <v>17</v>
      </c>
      <c r="F1810" s="1">
        <v>1</v>
      </c>
      <c r="G1810" s="1">
        <v>614</v>
      </c>
      <c r="H1810" s="1">
        <v>614</v>
      </c>
      <c r="I1810" s="1">
        <v>0</v>
      </c>
      <c r="J1810" s="1">
        <v>1</v>
      </c>
      <c r="K1810" s="1">
        <v>0</v>
      </c>
    </row>
    <row r="1811" spans="1:11" x14ac:dyDescent="0.2">
      <c r="A1811" s="1" t="s">
        <v>1705</v>
      </c>
      <c r="B1811" s="1" t="s">
        <v>1726</v>
      </c>
      <c r="C1811" s="1" t="str">
        <f>"VS05003000263U"</f>
        <v>VS05003000263U</v>
      </c>
      <c r="D1811" s="1" t="str">
        <f>"VS05003000263U"</f>
        <v>VS05003000263U</v>
      </c>
      <c r="E1811" s="1" t="s">
        <v>17</v>
      </c>
      <c r="F1811" s="1">
        <v>6</v>
      </c>
      <c r="G1811" s="1">
        <v>1720</v>
      </c>
      <c r="H1811" s="1">
        <v>10320</v>
      </c>
      <c r="I1811" s="1">
        <v>0</v>
      </c>
      <c r="J1811" s="1">
        <v>6</v>
      </c>
      <c r="K1811" s="1">
        <v>0</v>
      </c>
    </row>
    <row r="1812" spans="1:11" ht="30" x14ac:dyDescent="0.2">
      <c r="A1812" s="1" t="s">
        <v>1705</v>
      </c>
      <c r="B1812" s="1" t="s">
        <v>1727</v>
      </c>
      <c r="C1812" s="1" t="str">
        <f>"VS05003000195U"</f>
        <v>VS05003000195U</v>
      </c>
      <c r="D1812" s="1" t="str">
        <f>"VS05003000195U"</f>
        <v>VS05003000195U</v>
      </c>
      <c r="E1812" s="1" t="s">
        <v>17</v>
      </c>
      <c r="F1812" s="1">
        <v>6</v>
      </c>
      <c r="G1812" s="1">
        <v>1758</v>
      </c>
      <c r="H1812" s="1">
        <v>10548</v>
      </c>
      <c r="I1812" s="1">
        <v>0</v>
      </c>
      <c r="J1812" s="1">
        <v>6</v>
      </c>
      <c r="K1812" s="1">
        <v>0</v>
      </c>
    </row>
    <row r="1813" spans="1:11" x14ac:dyDescent="0.2">
      <c r="A1813" s="1" t="s">
        <v>1705</v>
      </c>
      <c r="B1813" s="1" t="s">
        <v>1728</v>
      </c>
      <c r="C1813" s="1" t="str">
        <f>"66298852274483"</f>
        <v>66298852274483</v>
      </c>
      <c r="D1813" s="1" t="str">
        <f>"11394-KCY-671"</f>
        <v>11394-KCY-671</v>
      </c>
      <c r="E1813" s="1" t="s">
        <v>17</v>
      </c>
      <c r="F1813" s="1">
        <v>1</v>
      </c>
      <c r="G1813" s="1">
        <v>2050</v>
      </c>
      <c r="H1813" s="1">
        <v>2050</v>
      </c>
      <c r="I1813" s="1">
        <v>0</v>
      </c>
      <c r="J1813" s="1">
        <v>1</v>
      </c>
      <c r="K1813" s="1">
        <v>0</v>
      </c>
    </row>
    <row r="1814" spans="1:11" ht="30" x14ac:dyDescent="0.2">
      <c r="A1814" s="1" t="s">
        <v>1705</v>
      </c>
      <c r="B1814" s="1" t="s">
        <v>1729</v>
      </c>
      <c r="C1814" s="1" t="str">
        <f>"66298852320486"</f>
        <v>66298852320486</v>
      </c>
      <c r="D1814" s="1" t="str">
        <f>"01P174"</f>
        <v>01P174</v>
      </c>
      <c r="E1814" s="1" t="s">
        <v>17</v>
      </c>
      <c r="F1814" s="1">
        <v>4</v>
      </c>
      <c r="G1814" s="1">
        <v>815</v>
      </c>
      <c r="H1814" s="1">
        <v>3260</v>
      </c>
      <c r="I1814" s="1">
        <v>0</v>
      </c>
      <c r="J1814" s="1">
        <v>4</v>
      </c>
      <c r="K1814" s="1">
        <v>0</v>
      </c>
    </row>
    <row r="1815" spans="1:11" x14ac:dyDescent="0.2">
      <c r="A1815" s="1" t="s">
        <v>1705</v>
      </c>
      <c r="B1815" s="1" t="s">
        <v>1730</v>
      </c>
      <c r="C1815" s="1" t="str">
        <f>"66298852362247"</f>
        <v>66298852362247</v>
      </c>
      <c r="D1815" s="1" t="str">
        <f>"01P177"</f>
        <v>01P177</v>
      </c>
      <c r="E1815" s="1" t="s">
        <v>17</v>
      </c>
      <c r="F1815" s="1">
        <v>1</v>
      </c>
      <c r="G1815" s="1">
        <v>842</v>
      </c>
      <c r="H1815" s="1">
        <v>842</v>
      </c>
      <c r="I1815" s="1">
        <v>0</v>
      </c>
      <c r="J1815" s="1">
        <v>1</v>
      </c>
      <c r="K1815" s="1">
        <v>0</v>
      </c>
    </row>
    <row r="1816" spans="1:11" x14ac:dyDescent="0.2">
      <c r="A1816" s="1" t="s">
        <v>1705</v>
      </c>
      <c r="B1816" s="1" t="s">
        <v>1731</v>
      </c>
      <c r="C1816" s="1" t="str">
        <f>"66298852402498"</f>
        <v>66298852402498</v>
      </c>
      <c r="D1816" s="1" t="str">
        <f>"05X179"</f>
        <v>05X179</v>
      </c>
      <c r="E1816" s="1" t="s">
        <v>17</v>
      </c>
      <c r="F1816" s="1">
        <v>3</v>
      </c>
      <c r="G1816" s="1">
        <v>491</v>
      </c>
      <c r="H1816" s="1">
        <v>1473</v>
      </c>
      <c r="I1816" s="1">
        <v>0</v>
      </c>
      <c r="J1816" s="1">
        <v>3</v>
      </c>
      <c r="K1816" s="1">
        <v>0</v>
      </c>
    </row>
    <row r="1817" spans="1:11" x14ac:dyDescent="0.2">
      <c r="A1817" s="1" t="s">
        <v>1705</v>
      </c>
      <c r="B1817" s="1" t="s">
        <v>1732</v>
      </c>
      <c r="C1817" s="1" t="str">
        <f>"VS05004000015U"</f>
        <v>VS05004000015U</v>
      </c>
      <c r="D1817" s="1" t="str">
        <f>"VS05004000015U"</f>
        <v>VS05004000015U</v>
      </c>
      <c r="E1817" s="1" t="s">
        <v>17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</row>
    <row r="1818" spans="1:11" x14ac:dyDescent="0.2">
      <c r="A1818" s="1" t="s">
        <v>1705</v>
      </c>
      <c r="B1818" s="1" t="s">
        <v>1733</v>
      </c>
      <c r="C1818" s="1" t="str">
        <f>"S4VS270017003"</f>
        <v>S4VS270017003</v>
      </c>
      <c r="D1818" s="1" t="str">
        <f>"S4VS270017003"</f>
        <v>S4VS270017003</v>
      </c>
      <c r="E1818" s="1" t="s">
        <v>17</v>
      </c>
      <c r="F1818" s="1">
        <v>2</v>
      </c>
      <c r="G1818" s="1">
        <v>2955</v>
      </c>
      <c r="H1818" s="1">
        <v>5910</v>
      </c>
      <c r="I1818" s="1">
        <v>0</v>
      </c>
      <c r="J1818" s="1">
        <v>2</v>
      </c>
      <c r="K1818" s="1">
        <v>0</v>
      </c>
    </row>
    <row r="1819" spans="1:11" ht="30" x14ac:dyDescent="0.2">
      <c r="A1819" s="1" t="s">
        <v>1705</v>
      </c>
      <c r="B1819" s="1" t="s">
        <v>1734</v>
      </c>
      <c r="C1819" s="1" t="str">
        <f>"66298852442709"</f>
        <v>66298852442709</v>
      </c>
      <c r="D1819" s="1" t="str">
        <f>"05X177"</f>
        <v>05X177</v>
      </c>
      <c r="E1819" s="1" t="s">
        <v>17</v>
      </c>
      <c r="F1819" s="1">
        <v>2</v>
      </c>
      <c r="G1819" s="1">
        <v>364</v>
      </c>
      <c r="H1819" s="1">
        <v>728</v>
      </c>
      <c r="I1819" s="1">
        <v>0</v>
      </c>
      <c r="J1819" s="1">
        <v>2</v>
      </c>
      <c r="K1819" s="1">
        <v>0</v>
      </c>
    </row>
    <row r="1820" spans="1:11" x14ac:dyDescent="0.2">
      <c r="A1820" s="1" t="s">
        <v>1705</v>
      </c>
      <c r="B1820" s="1" t="s">
        <v>1735</v>
      </c>
      <c r="C1820" s="1" t="str">
        <f>"66298852486114"</f>
        <v>66298852486114</v>
      </c>
      <c r="D1820" s="1" t="str">
        <f>"05X180"</f>
        <v>05X180</v>
      </c>
      <c r="E1820" s="1" t="s">
        <v>17</v>
      </c>
      <c r="F1820" s="1">
        <v>2</v>
      </c>
      <c r="G1820" s="1">
        <v>364</v>
      </c>
      <c r="H1820" s="1">
        <v>728</v>
      </c>
      <c r="I1820" s="1">
        <v>0</v>
      </c>
      <c r="J1820" s="1">
        <v>2</v>
      </c>
      <c r="K1820" s="1">
        <v>0</v>
      </c>
    </row>
    <row r="1821" spans="1:11" ht="30" x14ac:dyDescent="0.2">
      <c r="A1821" s="1" t="s">
        <v>1705</v>
      </c>
      <c r="B1821" s="1" t="s">
        <v>1736</v>
      </c>
      <c r="C1821" s="1" t="str">
        <f>"VS05004000264U"</f>
        <v>VS05004000264U</v>
      </c>
      <c r="D1821" s="1" t="str">
        <f>"VS05004000264U"</f>
        <v>VS05004000264U</v>
      </c>
      <c r="E1821" s="1" t="s">
        <v>17</v>
      </c>
      <c r="F1821" s="1">
        <v>5</v>
      </c>
      <c r="G1821" s="1">
        <v>1346</v>
      </c>
      <c r="H1821" s="1">
        <v>6730</v>
      </c>
      <c r="I1821" s="1">
        <v>0</v>
      </c>
      <c r="J1821" s="1">
        <v>5</v>
      </c>
      <c r="K1821" s="1">
        <v>0</v>
      </c>
    </row>
    <row r="1822" spans="1:11" ht="30" x14ac:dyDescent="0.2">
      <c r="A1822" s="1" t="s">
        <v>1705</v>
      </c>
      <c r="B1822" s="1" t="s">
        <v>1737</v>
      </c>
      <c r="C1822" s="1" t="str">
        <f>"66298852527321"</f>
        <v>66298852527321</v>
      </c>
      <c r="D1822" s="1" t="str">
        <f>"05X076"</f>
        <v>05X076</v>
      </c>
      <c r="E1822" s="1" t="s">
        <v>17</v>
      </c>
      <c r="F1822" s="1">
        <v>2</v>
      </c>
      <c r="G1822" s="1">
        <v>384</v>
      </c>
      <c r="H1822" s="1">
        <v>768</v>
      </c>
      <c r="I1822" s="1">
        <v>0</v>
      </c>
      <c r="J1822" s="1">
        <v>2</v>
      </c>
      <c r="K1822" s="1">
        <v>0</v>
      </c>
    </row>
    <row r="1823" spans="1:11" x14ac:dyDescent="0.2">
      <c r="A1823" s="1" t="s">
        <v>1705</v>
      </c>
      <c r="B1823" s="1" t="s">
        <v>1738</v>
      </c>
      <c r="C1823" s="1" t="str">
        <f>"VS05004000193U"</f>
        <v>VS05004000193U</v>
      </c>
      <c r="D1823" s="1" t="str">
        <f>"VS05004000193U"</f>
        <v>VS05004000193U</v>
      </c>
      <c r="E1823" s="1" t="s">
        <v>17</v>
      </c>
      <c r="F1823" s="1">
        <v>6</v>
      </c>
      <c r="G1823" s="1">
        <v>898</v>
      </c>
      <c r="H1823" s="1">
        <v>5388</v>
      </c>
      <c r="I1823" s="1">
        <v>0</v>
      </c>
      <c r="J1823" s="1">
        <v>6</v>
      </c>
      <c r="K1823" s="1">
        <v>0</v>
      </c>
    </row>
    <row r="1824" spans="1:11" x14ac:dyDescent="0.2">
      <c r="A1824" s="1" t="s">
        <v>1705</v>
      </c>
      <c r="B1824" s="1" t="s">
        <v>1739</v>
      </c>
      <c r="C1824" s="1" t="str">
        <f>"VS05004000004U"</f>
        <v>VS05004000004U</v>
      </c>
      <c r="D1824" s="1" t="str">
        <f>"VS05004000004U"</f>
        <v>VS05004000004U</v>
      </c>
      <c r="E1824" s="1" t="s">
        <v>17</v>
      </c>
      <c r="F1824" s="1">
        <v>6</v>
      </c>
      <c r="G1824" s="1">
        <v>935</v>
      </c>
      <c r="H1824" s="1">
        <v>5610</v>
      </c>
      <c r="I1824" s="1">
        <v>0</v>
      </c>
      <c r="J1824" s="1">
        <v>6</v>
      </c>
      <c r="K1824" s="1">
        <v>0</v>
      </c>
    </row>
    <row r="1825" spans="1:11" x14ac:dyDescent="0.2">
      <c r="A1825" s="1" t="s">
        <v>1705</v>
      </c>
      <c r="B1825" s="1" t="s">
        <v>1740</v>
      </c>
      <c r="C1825" s="1" t="str">
        <f>"66298852567142"</f>
        <v>66298852567142</v>
      </c>
      <c r="D1825" s="1" t="str">
        <f>"DF053"</f>
        <v>DF053</v>
      </c>
      <c r="E1825" s="1" t="s">
        <v>17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</row>
    <row r="1826" spans="1:11" x14ac:dyDescent="0.2">
      <c r="A1826" s="1" t="s">
        <v>1705</v>
      </c>
      <c r="B1826" s="1" t="s">
        <v>1741</v>
      </c>
      <c r="C1826" s="1" t="str">
        <f>"VE05016001045"</f>
        <v>VE05016001045</v>
      </c>
      <c r="D1826" s="1" t="str">
        <f>"VE05016001045"</f>
        <v>VE05016001045</v>
      </c>
      <c r="E1826" s="1" t="s">
        <v>17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</row>
    <row r="1827" spans="1:11" x14ac:dyDescent="0.2">
      <c r="A1827" s="1" t="s">
        <v>1705</v>
      </c>
      <c r="B1827" s="1" t="s">
        <v>1742</v>
      </c>
      <c r="C1827" s="1" t="str">
        <f>"66298852605286"</f>
        <v>66298852605286</v>
      </c>
      <c r="D1827" s="1" t="str">
        <f>"DF017"</f>
        <v>DF017</v>
      </c>
      <c r="E1827" s="1" t="s">
        <v>17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</row>
    <row r="1828" spans="1:11" x14ac:dyDescent="0.2">
      <c r="A1828" s="1" t="s">
        <v>1705</v>
      </c>
      <c r="B1828" s="1" t="s">
        <v>1743</v>
      </c>
      <c r="C1828" s="1" t="str">
        <f>"VS53016511046"</f>
        <v>VS53016511046</v>
      </c>
      <c r="D1828" s="1" t="str">
        <f>"VS53016511046"</f>
        <v>VS53016511046</v>
      </c>
      <c r="E1828" s="1" t="s">
        <v>17</v>
      </c>
      <c r="F1828" s="1">
        <v>10</v>
      </c>
      <c r="G1828" s="1">
        <v>1766</v>
      </c>
      <c r="H1828" s="1">
        <v>17660</v>
      </c>
      <c r="I1828" s="1">
        <v>0</v>
      </c>
      <c r="J1828" s="1">
        <v>10</v>
      </c>
      <c r="K1828" s="1">
        <v>0</v>
      </c>
    </row>
    <row r="1829" spans="1:11" x14ac:dyDescent="0.2">
      <c r="A1829" s="1" t="s">
        <v>1705</v>
      </c>
      <c r="B1829" s="1" t="s">
        <v>1744</v>
      </c>
      <c r="C1829" s="1" t="str">
        <f>"VE15016000150"</f>
        <v>VE15016000150</v>
      </c>
      <c r="D1829" s="1" t="str">
        <f>"VE15016000150"</f>
        <v>VE15016000150</v>
      </c>
      <c r="E1829" s="1" t="s">
        <v>17</v>
      </c>
      <c r="F1829" s="1">
        <v>1</v>
      </c>
      <c r="G1829" s="1">
        <v>2329.41</v>
      </c>
      <c r="H1829" s="1">
        <v>2329</v>
      </c>
      <c r="I1829" s="1">
        <v>0</v>
      </c>
      <c r="J1829" s="1">
        <v>1</v>
      </c>
      <c r="K1829" s="1">
        <v>0</v>
      </c>
    </row>
    <row r="1830" spans="1:11" x14ac:dyDescent="0.2">
      <c r="A1830" s="1" t="s">
        <v>1705</v>
      </c>
      <c r="B1830" s="1" t="s">
        <v>1744</v>
      </c>
      <c r="C1830" s="1" t="str">
        <f>"17H328"</f>
        <v>17H328</v>
      </c>
      <c r="D1830" s="1" t="str">
        <f>"17H328"</f>
        <v>17H328</v>
      </c>
      <c r="E1830" s="1" t="s">
        <v>17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</row>
    <row r="1831" spans="1:11" x14ac:dyDescent="0.2">
      <c r="A1831" s="1" t="s">
        <v>1705</v>
      </c>
      <c r="B1831" s="1" t="s">
        <v>1745</v>
      </c>
      <c r="C1831" s="1" t="str">
        <f>"66298852649192"</f>
        <v>66298852649192</v>
      </c>
      <c r="D1831" s="1" t="str">
        <f>"17H115"</f>
        <v>17H115</v>
      </c>
      <c r="E1831" s="1" t="s">
        <v>17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</row>
    <row r="1832" spans="1:11" x14ac:dyDescent="0.2">
      <c r="A1832" s="1" t="s">
        <v>1705</v>
      </c>
      <c r="B1832" s="1" t="s">
        <v>1746</v>
      </c>
      <c r="C1832" s="1" t="str">
        <f>"66298852690812"</f>
        <v>66298852690812</v>
      </c>
      <c r="D1832" s="1" t="str">
        <f>"12391-MF5-750JP"</f>
        <v>12391-MF5-750JP</v>
      </c>
      <c r="E1832" s="1" t="s">
        <v>17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</row>
    <row r="1833" spans="1:11" x14ac:dyDescent="0.2">
      <c r="A1833" s="1" t="s">
        <v>1705</v>
      </c>
      <c r="B1833" s="1" t="s">
        <v>1747</v>
      </c>
      <c r="C1833" s="1" t="str">
        <f>"VE99016001091"</f>
        <v>VE99016001091</v>
      </c>
      <c r="D1833" s="1" t="str">
        <f>"VE99016001091"</f>
        <v>VE99016001091</v>
      </c>
      <c r="E1833" s="1" t="s">
        <v>17</v>
      </c>
      <c r="F1833" s="1">
        <v>1</v>
      </c>
      <c r="G1833" s="1">
        <v>2468</v>
      </c>
      <c r="H1833" s="1">
        <v>2468</v>
      </c>
      <c r="I1833" s="1">
        <v>0</v>
      </c>
      <c r="J1833" s="1">
        <v>1</v>
      </c>
      <c r="K1833" s="1">
        <v>0</v>
      </c>
    </row>
    <row r="1834" spans="1:11" ht="30" x14ac:dyDescent="0.2">
      <c r="A1834" s="1" t="s">
        <v>1705</v>
      </c>
      <c r="B1834" s="1" t="s">
        <v>1748</v>
      </c>
      <c r="C1834" s="1" t="str">
        <f>"VE05084000002"</f>
        <v>VE05084000002</v>
      </c>
      <c r="D1834" s="1" t="str">
        <f>"VE05084000002"</f>
        <v>VE05084000002</v>
      </c>
      <c r="E1834" s="1" t="s">
        <v>17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</row>
    <row r="1835" spans="1:11" x14ac:dyDescent="0.2">
      <c r="A1835" s="1" t="s">
        <v>1705</v>
      </c>
      <c r="B1835" s="1" t="s">
        <v>1749</v>
      </c>
      <c r="C1835" s="1" t="str">
        <f>"VE05084000003"</f>
        <v>VE05084000003</v>
      </c>
      <c r="D1835" s="1" t="str">
        <f>"VE05084000003"</f>
        <v>VE05084000003</v>
      </c>
      <c r="E1835" s="1" t="s">
        <v>17</v>
      </c>
      <c r="F1835" s="1">
        <v>3</v>
      </c>
      <c r="G1835" s="1">
        <v>3667</v>
      </c>
      <c r="H1835" s="1">
        <v>11001</v>
      </c>
      <c r="I1835" s="1">
        <v>0</v>
      </c>
      <c r="J1835" s="1">
        <v>3</v>
      </c>
      <c r="K1835" s="1">
        <v>0</v>
      </c>
    </row>
    <row r="1836" spans="1:11" x14ac:dyDescent="0.2">
      <c r="A1836" s="1" t="s">
        <v>1705</v>
      </c>
      <c r="B1836" s="1" t="s">
        <v>1750</v>
      </c>
      <c r="C1836" s="1" t="str">
        <f>"VE05016000001"</f>
        <v>VE05016000001</v>
      </c>
      <c r="D1836" s="1" t="str">
        <f>"VE05016000001"</f>
        <v>VE05016000001</v>
      </c>
      <c r="E1836" s="1" t="s">
        <v>17</v>
      </c>
      <c r="F1836" s="1">
        <v>6</v>
      </c>
      <c r="G1836" s="1">
        <v>2936</v>
      </c>
      <c r="H1836" s="1">
        <v>17616</v>
      </c>
      <c r="I1836" s="1">
        <v>0</v>
      </c>
      <c r="J1836" s="1">
        <v>6</v>
      </c>
      <c r="K1836" s="1">
        <v>0</v>
      </c>
    </row>
    <row r="1837" spans="1:11" x14ac:dyDescent="0.2">
      <c r="A1837" s="1" t="s">
        <v>1705</v>
      </c>
      <c r="B1837" s="1" t="s">
        <v>1751</v>
      </c>
      <c r="C1837" s="1" t="str">
        <f>"66298852730180"</f>
        <v>66298852730180</v>
      </c>
      <c r="D1837" s="1" t="str">
        <f>"755"</f>
        <v>755</v>
      </c>
      <c r="E1837" s="1" t="s">
        <v>17</v>
      </c>
      <c r="F1837" s="1">
        <v>5</v>
      </c>
      <c r="G1837" s="1">
        <v>1647</v>
      </c>
      <c r="H1837" s="1">
        <v>8235</v>
      </c>
      <c r="I1837" s="1">
        <v>0</v>
      </c>
      <c r="J1837" s="1">
        <v>5</v>
      </c>
      <c r="K1837" s="1">
        <v>0</v>
      </c>
    </row>
    <row r="1838" spans="1:11" x14ac:dyDescent="0.2">
      <c r="A1838" s="1" t="s">
        <v>1705</v>
      </c>
      <c r="B1838" s="1" t="s">
        <v>1752</v>
      </c>
      <c r="C1838" s="1" t="str">
        <f>"66298852770230"</f>
        <v>66298852770230</v>
      </c>
      <c r="D1838" s="1" t="str">
        <f>"26T34SEV"</f>
        <v>26T34SEV</v>
      </c>
      <c r="E1838" s="1" t="s">
        <v>17</v>
      </c>
      <c r="F1838" s="1">
        <v>5</v>
      </c>
      <c r="G1838" s="1">
        <v>6529</v>
      </c>
      <c r="H1838" s="1">
        <v>32645</v>
      </c>
      <c r="I1838" s="1">
        <v>0</v>
      </c>
      <c r="J1838" s="1">
        <v>5</v>
      </c>
      <c r="K1838" s="1">
        <v>0</v>
      </c>
    </row>
    <row r="1839" spans="1:11" x14ac:dyDescent="0.2">
      <c r="A1839" s="1" t="s">
        <v>1705</v>
      </c>
      <c r="B1839" s="1" t="s">
        <v>1753</v>
      </c>
      <c r="C1839" s="1" t="str">
        <f>"66298852812368"</f>
        <v>66298852812368</v>
      </c>
      <c r="D1839" s="1" t="str">
        <f>"20L35CSV"</f>
        <v>20L35CSV</v>
      </c>
      <c r="E1839" s="1" t="s">
        <v>17</v>
      </c>
      <c r="F1839" s="1">
        <v>2</v>
      </c>
      <c r="G1839" s="1">
        <v>1462</v>
      </c>
      <c r="H1839" s="1">
        <v>2924</v>
      </c>
      <c r="I1839" s="1">
        <v>0</v>
      </c>
      <c r="J1839" s="1">
        <v>2</v>
      </c>
      <c r="K1839" s="1">
        <v>0</v>
      </c>
    </row>
    <row r="1840" spans="1:11" x14ac:dyDescent="0.2">
      <c r="A1840" s="1" t="s">
        <v>1705</v>
      </c>
      <c r="B1840" s="1" t="s">
        <v>1754</v>
      </c>
      <c r="C1840" s="1" t="str">
        <f>"66298852891526"</f>
        <v>66298852891526</v>
      </c>
      <c r="D1840" s="1" t="str">
        <f>"21L64SEV"</f>
        <v>21L64SEV</v>
      </c>
      <c r="E1840" s="1" t="s">
        <v>17</v>
      </c>
      <c r="F1840" s="1">
        <v>3</v>
      </c>
      <c r="G1840" s="1">
        <v>4160</v>
      </c>
      <c r="H1840" s="1">
        <v>12480</v>
      </c>
      <c r="I1840" s="1">
        <v>0</v>
      </c>
      <c r="J1840" s="1">
        <v>3</v>
      </c>
      <c r="K1840" s="1">
        <v>0</v>
      </c>
    </row>
    <row r="1841" spans="1:11" x14ac:dyDescent="0.2">
      <c r="A1841" s="1" t="s">
        <v>1705</v>
      </c>
      <c r="B1841" s="1" t="s">
        <v>1755</v>
      </c>
      <c r="C1841" s="1" t="str">
        <f>"66298852855118"</f>
        <v>66298852855118</v>
      </c>
      <c r="D1841" s="1" t="str">
        <f>"21L57SEV"</f>
        <v>21L57SEV</v>
      </c>
      <c r="E1841" s="1" t="s">
        <v>17</v>
      </c>
      <c r="F1841" s="1">
        <v>6</v>
      </c>
      <c r="G1841" s="1">
        <v>2496</v>
      </c>
      <c r="H1841" s="1">
        <v>14976</v>
      </c>
      <c r="I1841" s="1">
        <v>0</v>
      </c>
      <c r="J1841" s="1">
        <v>6</v>
      </c>
      <c r="K1841" s="1">
        <v>0</v>
      </c>
    </row>
    <row r="1842" spans="1:11" x14ac:dyDescent="0.2">
      <c r="A1842" s="1" t="s">
        <v>1705</v>
      </c>
      <c r="B1842" s="1" t="s">
        <v>1756</v>
      </c>
      <c r="C1842" s="1" t="str">
        <f>"66298852931614"</f>
        <v>66298852931614</v>
      </c>
      <c r="D1842" s="1" t="str">
        <f>"21L43SEV"</f>
        <v>21L43SEV</v>
      </c>
      <c r="E1842" s="1" t="s">
        <v>17</v>
      </c>
      <c r="F1842" s="1">
        <v>16</v>
      </c>
      <c r="G1842" s="1">
        <v>3000</v>
      </c>
      <c r="H1842" s="1">
        <v>48000</v>
      </c>
      <c r="I1842" s="1">
        <v>0</v>
      </c>
      <c r="J1842" s="1">
        <v>16</v>
      </c>
      <c r="K1842" s="1">
        <v>0</v>
      </c>
    </row>
    <row r="1843" spans="1:11" x14ac:dyDescent="0.2">
      <c r="A1843" s="1" t="s">
        <v>1705</v>
      </c>
      <c r="B1843" s="1" t="s">
        <v>1757</v>
      </c>
      <c r="C1843" s="1" t="str">
        <f>"66298852973557"</f>
        <v>66298852973557</v>
      </c>
      <c r="D1843" s="1" t="str">
        <f>"21L43CSV"</f>
        <v>21L43CSV</v>
      </c>
      <c r="E1843" s="1" t="s">
        <v>17</v>
      </c>
      <c r="F1843" s="1">
        <v>1</v>
      </c>
      <c r="G1843" s="1">
        <v>2148</v>
      </c>
      <c r="H1843" s="1">
        <v>2148</v>
      </c>
      <c r="I1843" s="1">
        <v>0</v>
      </c>
      <c r="J1843" s="1">
        <v>1</v>
      </c>
      <c r="K1843" s="1">
        <v>0</v>
      </c>
    </row>
    <row r="1844" spans="1:11" ht="30" x14ac:dyDescent="0.2">
      <c r="A1844" s="1" t="s">
        <v>1705</v>
      </c>
      <c r="B1844" s="1" t="s">
        <v>1758</v>
      </c>
      <c r="C1844" s="1" t="str">
        <f>"66298853015299"</f>
        <v>66298853015299</v>
      </c>
      <c r="D1844" s="1" t="str">
        <f>"21L39SEV-1"</f>
        <v>21L39SEV-1</v>
      </c>
      <c r="E1844" s="1" t="s">
        <v>17</v>
      </c>
      <c r="F1844" s="1">
        <v>1</v>
      </c>
      <c r="G1844" s="1">
        <v>3000</v>
      </c>
      <c r="H1844" s="1">
        <v>3000</v>
      </c>
      <c r="I1844" s="1">
        <v>0</v>
      </c>
      <c r="J1844" s="1">
        <v>1</v>
      </c>
      <c r="K1844" s="1">
        <v>0</v>
      </c>
    </row>
    <row r="1845" spans="1:11" ht="30" x14ac:dyDescent="0.2">
      <c r="A1845" s="1" t="s">
        <v>1705</v>
      </c>
      <c r="B1845" s="1" t="s">
        <v>1759</v>
      </c>
      <c r="C1845" s="1" t="str">
        <f>"66298853053455"</f>
        <v>66298853053455</v>
      </c>
      <c r="D1845" s="1" t="str">
        <f>"21L51CSV"</f>
        <v>21L51CSV</v>
      </c>
      <c r="E1845" s="1" t="s">
        <v>17</v>
      </c>
      <c r="F1845" s="1">
        <v>4</v>
      </c>
      <c r="G1845" s="1">
        <v>4513</v>
      </c>
      <c r="H1845" s="1">
        <v>18052</v>
      </c>
      <c r="I1845" s="1">
        <v>0</v>
      </c>
      <c r="J1845" s="1">
        <v>4</v>
      </c>
      <c r="K1845" s="1">
        <v>0</v>
      </c>
    </row>
    <row r="1846" spans="1:11" x14ac:dyDescent="0.2">
      <c r="A1846" s="1" t="s">
        <v>1705</v>
      </c>
      <c r="B1846" s="1" t="s">
        <v>1760</v>
      </c>
      <c r="C1846" s="1" t="str">
        <f>"B077"</f>
        <v>B077</v>
      </c>
      <c r="D1846" s="1" t="str">
        <f>"B077"</f>
        <v>B077</v>
      </c>
      <c r="E1846" s="1" t="s">
        <v>17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</row>
    <row r="1847" spans="1:11" x14ac:dyDescent="0.2">
      <c r="A1847" s="1" t="s">
        <v>1705</v>
      </c>
      <c r="B1847" s="1" t="s">
        <v>1761</v>
      </c>
      <c r="C1847" s="1" t="str">
        <f>"66298853095534"</f>
        <v>66298853095534</v>
      </c>
      <c r="D1847" s="1" t="str">
        <f>"21L28SEV"</f>
        <v>21L28SEV</v>
      </c>
      <c r="E1847" s="1" t="s">
        <v>17</v>
      </c>
      <c r="F1847" s="1">
        <v>1</v>
      </c>
      <c r="G1847" s="1">
        <v>2496</v>
      </c>
      <c r="H1847" s="1">
        <v>2496</v>
      </c>
      <c r="I1847" s="1">
        <v>0</v>
      </c>
      <c r="J1847" s="1">
        <v>1</v>
      </c>
      <c r="K1847" s="1">
        <v>0</v>
      </c>
    </row>
    <row r="1848" spans="1:11" x14ac:dyDescent="0.2">
      <c r="A1848" s="1" t="s">
        <v>1705</v>
      </c>
      <c r="B1848" s="1" t="s">
        <v>1762</v>
      </c>
      <c r="C1848" s="1" t="str">
        <f>"DF002"</f>
        <v>DF002</v>
      </c>
      <c r="D1848" s="1" t="str">
        <f>"DF002"</f>
        <v>DF002</v>
      </c>
      <c r="E1848" s="1" t="s">
        <v>17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</row>
    <row r="1849" spans="1:11" x14ac:dyDescent="0.2">
      <c r="A1849" s="1" t="s">
        <v>1705</v>
      </c>
      <c r="B1849" s="1" t="s">
        <v>1763</v>
      </c>
      <c r="C1849" s="1" t="str">
        <f>"66298853138973"</f>
        <v>66298853138973</v>
      </c>
      <c r="D1849" s="1" t="str">
        <f>"21L36SEV-1"</f>
        <v>21L36SEV-1</v>
      </c>
      <c r="E1849" s="1" t="s">
        <v>17</v>
      </c>
      <c r="F1849" s="1">
        <v>6</v>
      </c>
      <c r="G1849" s="1">
        <v>2496</v>
      </c>
      <c r="H1849" s="1">
        <v>14976</v>
      </c>
      <c r="I1849" s="1">
        <v>0</v>
      </c>
      <c r="J1849" s="1">
        <v>6</v>
      </c>
      <c r="K1849" s="1">
        <v>0</v>
      </c>
    </row>
    <row r="1850" spans="1:11" x14ac:dyDescent="0.2">
      <c r="A1850" s="1" t="s">
        <v>1705</v>
      </c>
      <c r="B1850" s="1" t="s">
        <v>1763</v>
      </c>
      <c r="C1850" s="1" t="str">
        <f>"66298853181488"</f>
        <v>66298853181488</v>
      </c>
      <c r="D1850" s="1" t="str">
        <f>"21L36CSV-1"</f>
        <v>21L36CSV-1</v>
      </c>
      <c r="E1850" s="1" t="s">
        <v>17</v>
      </c>
      <c r="F1850" s="1">
        <v>1</v>
      </c>
      <c r="G1850" s="1">
        <v>1428</v>
      </c>
      <c r="H1850" s="1">
        <v>1428</v>
      </c>
      <c r="I1850" s="1">
        <v>0</v>
      </c>
      <c r="J1850" s="1">
        <v>1</v>
      </c>
      <c r="K1850" s="1">
        <v>0</v>
      </c>
    </row>
    <row r="1851" spans="1:11" x14ac:dyDescent="0.2">
      <c r="A1851" s="1" t="s">
        <v>1705</v>
      </c>
      <c r="B1851" s="1" t="s">
        <v>1764</v>
      </c>
      <c r="C1851" s="1" t="str">
        <f>"VS05610000950"</f>
        <v>VS05610000950</v>
      </c>
      <c r="D1851" s="1" t="str">
        <f>"VS05610000950"</f>
        <v>VS05610000950</v>
      </c>
      <c r="E1851" s="1" t="s">
        <v>17</v>
      </c>
      <c r="F1851" s="1">
        <v>4</v>
      </c>
      <c r="G1851" s="1">
        <v>8026</v>
      </c>
      <c r="H1851" s="1">
        <v>32104</v>
      </c>
      <c r="I1851" s="1">
        <v>0</v>
      </c>
      <c r="J1851" s="1">
        <v>4</v>
      </c>
      <c r="K1851" s="1">
        <v>0</v>
      </c>
    </row>
    <row r="1852" spans="1:11" x14ac:dyDescent="0.2">
      <c r="A1852" s="1" t="s">
        <v>1705</v>
      </c>
      <c r="B1852" s="1" t="s">
        <v>1765</v>
      </c>
      <c r="C1852" s="1" t="str">
        <f>"66298853221345"</f>
        <v>66298853221345</v>
      </c>
      <c r="D1852" s="1" t="str">
        <f>"21L56SEV"</f>
        <v>21L56SEV</v>
      </c>
      <c r="E1852" s="1" t="s">
        <v>17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</row>
    <row r="1853" spans="1:11" x14ac:dyDescent="0.2">
      <c r="A1853" s="1" t="s">
        <v>1705</v>
      </c>
      <c r="B1853" s="1" t="s">
        <v>1766</v>
      </c>
      <c r="C1853" s="1" t="str">
        <f>"66298853260797"</f>
        <v>66298853260797</v>
      </c>
      <c r="D1853" s="1" t="str">
        <f>"21L50SEV"</f>
        <v>21L50SEV</v>
      </c>
      <c r="E1853" s="1" t="s">
        <v>17</v>
      </c>
      <c r="F1853" s="1">
        <v>1</v>
      </c>
      <c r="G1853" s="1">
        <v>2496</v>
      </c>
      <c r="H1853" s="1">
        <v>2496</v>
      </c>
      <c r="I1853" s="1">
        <v>0</v>
      </c>
      <c r="J1853" s="1">
        <v>1</v>
      </c>
      <c r="K1853" s="1">
        <v>0</v>
      </c>
    </row>
    <row r="1854" spans="1:11" x14ac:dyDescent="0.2">
      <c r="A1854" s="1" t="s">
        <v>1705</v>
      </c>
      <c r="B1854" s="1" t="s">
        <v>1767</v>
      </c>
      <c r="C1854" s="1" t="str">
        <f>"66298853300926"</f>
        <v>66298853300926</v>
      </c>
      <c r="D1854" s="1" t="str">
        <f>"VS15610000015"</f>
        <v>VS15610000015</v>
      </c>
      <c r="E1854" s="1" t="s">
        <v>17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</row>
    <row r="1855" spans="1:11" x14ac:dyDescent="0.2">
      <c r="A1855" s="1" t="s">
        <v>1705</v>
      </c>
      <c r="B1855" s="1" t="s">
        <v>1768</v>
      </c>
      <c r="C1855" s="1" t="str">
        <f>"66298853342718"</f>
        <v>66298853342718</v>
      </c>
      <c r="D1855" s="1" t="str">
        <f>"19L53CSV"</f>
        <v>19L53CSV</v>
      </c>
      <c r="E1855" s="1" t="s">
        <v>17</v>
      </c>
      <c r="F1855" s="1">
        <v>3</v>
      </c>
      <c r="G1855" s="1">
        <v>9050</v>
      </c>
      <c r="H1855" s="1">
        <v>27150</v>
      </c>
      <c r="I1855" s="1">
        <v>0</v>
      </c>
      <c r="J1855" s="1">
        <v>3</v>
      </c>
      <c r="K1855" s="1">
        <v>0</v>
      </c>
    </row>
    <row r="1856" spans="1:11" x14ac:dyDescent="0.2">
      <c r="A1856" s="1" t="s">
        <v>1705</v>
      </c>
      <c r="B1856" s="1" t="s">
        <v>1769</v>
      </c>
      <c r="C1856" s="1" t="str">
        <f>"66298853383612"</f>
        <v>66298853383612</v>
      </c>
      <c r="D1856" s="1" t="str">
        <f>"20L40SEV"</f>
        <v>20L40SEV</v>
      </c>
      <c r="E1856" s="1" t="s">
        <v>17</v>
      </c>
      <c r="F1856" s="1">
        <v>4</v>
      </c>
      <c r="G1856" s="1">
        <v>3317</v>
      </c>
      <c r="H1856" s="1">
        <v>13268</v>
      </c>
      <c r="I1856" s="1">
        <v>0</v>
      </c>
      <c r="J1856" s="1">
        <v>4</v>
      </c>
      <c r="K1856" s="1">
        <v>0</v>
      </c>
    </row>
    <row r="1857" spans="1:11" x14ac:dyDescent="0.2">
      <c r="A1857" s="1" t="s">
        <v>1705</v>
      </c>
      <c r="B1857" s="1" t="s">
        <v>1770</v>
      </c>
      <c r="C1857" s="1" t="str">
        <f>"66298853425126"</f>
        <v>66298853425126</v>
      </c>
      <c r="D1857" s="1" t="str">
        <f>"20L39SEV"</f>
        <v>20L39SEV</v>
      </c>
      <c r="E1857" s="1" t="s">
        <v>17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</row>
    <row r="1858" spans="1:11" x14ac:dyDescent="0.2">
      <c r="A1858" s="1" t="s">
        <v>1705</v>
      </c>
      <c r="B1858" s="1" t="s">
        <v>1771</v>
      </c>
      <c r="C1858" s="1" t="str">
        <f>"66298853464854"</f>
        <v>66298853464854</v>
      </c>
      <c r="D1858" s="1" t="str">
        <f>"20L38SEV"</f>
        <v>20L38SEV</v>
      </c>
      <c r="E1858" s="1" t="s">
        <v>17</v>
      </c>
      <c r="F1858" s="1">
        <v>8</v>
      </c>
      <c r="G1858" s="1">
        <v>2496</v>
      </c>
      <c r="H1858" s="1">
        <v>19968</v>
      </c>
      <c r="I1858" s="1">
        <v>0</v>
      </c>
      <c r="J1858" s="1">
        <v>8</v>
      </c>
      <c r="K1858" s="1">
        <v>0</v>
      </c>
    </row>
    <row r="1859" spans="1:11" x14ac:dyDescent="0.2">
      <c r="A1859" s="1" t="s">
        <v>1705</v>
      </c>
      <c r="B1859" s="1" t="s">
        <v>1772</v>
      </c>
      <c r="C1859" s="1" t="str">
        <f>"66298853505580"</f>
        <v>66298853505580</v>
      </c>
      <c r="D1859" s="1" t="str">
        <f>"20L42SEV"</f>
        <v>20L42SEV</v>
      </c>
      <c r="E1859" s="1" t="s">
        <v>17</v>
      </c>
      <c r="F1859" s="1">
        <v>1</v>
      </c>
      <c r="G1859" s="1">
        <v>2496</v>
      </c>
      <c r="H1859" s="1">
        <v>2496</v>
      </c>
      <c r="I1859" s="1">
        <v>0</v>
      </c>
      <c r="J1859" s="1">
        <v>1</v>
      </c>
      <c r="K1859" s="1">
        <v>0</v>
      </c>
    </row>
    <row r="1860" spans="1:11" x14ac:dyDescent="0.2">
      <c r="A1860" s="1" t="s">
        <v>1705</v>
      </c>
      <c r="B1860" s="1" t="s">
        <v>1773</v>
      </c>
      <c r="C1860" s="1" t="str">
        <f>"66298853543363"</f>
        <v>66298853543363</v>
      </c>
      <c r="D1860" s="1" t="str">
        <f>"18L22SEV"</f>
        <v>18L22SEV</v>
      </c>
      <c r="E1860" s="1" t="s">
        <v>17</v>
      </c>
      <c r="F1860" s="1">
        <v>2</v>
      </c>
      <c r="G1860" s="1">
        <v>1092</v>
      </c>
      <c r="H1860" s="1">
        <v>2184</v>
      </c>
      <c r="I1860" s="1">
        <v>0</v>
      </c>
      <c r="J1860" s="1">
        <v>2</v>
      </c>
      <c r="K1860" s="1">
        <v>0</v>
      </c>
    </row>
    <row r="1861" spans="1:11" x14ac:dyDescent="0.2">
      <c r="A1861" s="1" t="s">
        <v>1705</v>
      </c>
      <c r="B1861" s="1" t="s">
        <v>1774</v>
      </c>
      <c r="C1861" s="1" t="str">
        <f>"66298853581784"</f>
        <v>66298853581784</v>
      </c>
      <c r="D1861" s="1" t="str">
        <f>"13L02SEV"</f>
        <v>13L02SEV</v>
      </c>
      <c r="E1861" s="1" t="s">
        <v>17</v>
      </c>
      <c r="F1861" s="1">
        <v>7</v>
      </c>
      <c r="G1861" s="1">
        <v>1992</v>
      </c>
      <c r="H1861" s="1">
        <v>13944</v>
      </c>
      <c r="I1861" s="1">
        <v>0</v>
      </c>
      <c r="J1861" s="1">
        <v>7</v>
      </c>
      <c r="K1861" s="1">
        <v>0</v>
      </c>
    </row>
    <row r="1862" spans="1:11" x14ac:dyDescent="0.2">
      <c r="A1862" s="1" t="s">
        <v>1705</v>
      </c>
      <c r="B1862" s="1" t="s">
        <v>1775</v>
      </c>
      <c r="C1862" s="1" t="str">
        <f>"66298853624534"</f>
        <v>66298853624534</v>
      </c>
      <c r="D1862" s="1" t="str">
        <f>"34L398SEV"</f>
        <v>34L398SEV</v>
      </c>
      <c r="E1862" s="1" t="s">
        <v>17</v>
      </c>
      <c r="F1862" s="1">
        <v>2</v>
      </c>
      <c r="G1862" s="1">
        <v>6529</v>
      </c>
      <c r="H1862" s="1">
        <v>13058</v>
      </c>
      <c r="I1862" s="1">
        <v>0</v>
      </c>
      <c r="J1862" s="1">
        <v>2</v>
      </c>
      <c r="K1862" s="1">
        <v>0</v>
      </c>
    </row>
    <row r="1863" spans="1:11" x14ac:dyDescent="0.2">
      <c r="A1863" s="1" t="s">
        <v>1705</v>
      </c>
      <c r="B1863" s="1" t="s">
        <v>1775</v>
      </c>
      <c r="C1863" s="1" t="str">
        <f>"66298853667340"</f>
        <v>66298853667340</v>
      </c>
      <c r="D1863" s="1" t="str">
        <f>"34L98SEV"</f>
        <v>34L98SEV</v>
      </c>
      <c r="E1863" s="1" t="s">
        <v>17</v>
      </c>
      <c r="F1863" s="1">
        <v>4</v>
      </c>
      <c r="G1863" s="1">
        <v>6529</v>
      </c>
      <c r="H1863" s="1">
        <v>26116</v>
      </c>
      <c r="I1863" s="1">
        <v>0</v>
      </c>
      <c r="J1863" s="1">
        <v>4</v>
      </c>
      <c r="K1863" s="1">
        <v>0</v>
      </c>
    </row>
    <row r="1864" spans="1:11" x14ac:dyDescent="0.2">
      <c r="A1864" s="1" t="s">
        <v>1705</v>
      </c>
      <c r="B1864" s="1" t="s">
        <v>1776</v>
      </c>
      <c r="C1864" s="1" t="str">
        <f>"66298853705704"</f>
        <v>66298853705704</v>
      </c>
      <c r="D1864" s="1" t="str">
        <f>"22L37SEV-1"</f>
        <v>22L37SEV-1</v>
      </c>
      <c r="E1864" s="1" t="s">
        <v>17</v>
      </c>
      <c r="F1864" s="1">
        <v>2</v>
      </c>
      <c r="G1864" s="1">
        <v>3504</v>
      </c>
      <c r="H1864" s="1">
        <v>7008</v>
      </c>
      <c r="I1864" s="1">
        <v>0</v>
      </c>
      <c r="J1864" s="1">
        <v>2</v>
      </c>
      <c r="K1864" s="1">
        <v>0</v>
      </c>
    </row>
    <row r="1865" spans="1:11" x14ac:dyDescent="0.2">
      <c r="A1865" s="1" t="s">
        <v>1705</v>
      </c>
      <c r="B1865" s="1" t="s">
        <v>1776</v>
      </c>
      <c r="C1865" s="1" t="str">
        <f>"66298853742984"</f>
        <v>66298853742984</v>
      </c>
      <c r="D1865" s="1" t="str">
        <f>"22L37CSV-1"</f>
        <v>22L37CSV-1</v>
      </c>
      <c r="E1865" s="1" t="s">
        <v>17</v>
      </c>
      <c r="F1865" s="1">
        <v>4</v>
      </c>
      <c r="G1865" s="1">
        <v>5790</v>
      </c>
      <c r="H1865" s="1">
        <v>23160</v>
      </c>
      <c r="I1865" s="1">
        <v>0</v>
      </c>
      <c r="J1865" s="1">
        <v>4</v>
      </c>
      <c r="K1865" s="1">
        <v>0</v>
      </c>
    </row>
    <row r="1866" spans="1:11" x14ac:dyDescent="0.2">
      <c r="A1866" s="1" t="s">
        <v>1705</v>
      </c>
      <c r="B1866" s="1" t="s">
        <v>1777</v>
      </c>
      <c r="C1866" s="1" t="str">
        <f>"66298853782931"</f>
        <v>66298853782931</v>
      </c>
      <c r="D1866" s="1" t="str">
        <f>"22L47SEV"</f>
        <v>22L47SEV</v>
      </c>
      <c r="E1866" s="1" t="s">
        <v>17</v>
      </c>
      <c r="F1866" s="1">
        <v>5</v>
      </c>
      <c r="G1866" s="1">
        <v>3000</v>
      </c>
      <c r="H1866" s="1">
        <v>15000</v>
      </c>
      <c r="I1866" s="1">
        <v>0</v>
      </c>
      <c r="J1866" s="1">
        <v>5</v>
      </c>
      <c r="K1866" s="1">
        <v>0</v>
      </c>
    </row>
    <row r="1867" spans="1:11" x14ac:dyDescent="0.2">
      <c r="A1867" s="1" t="s">
        <v>1705</v>
      </c>
      <c r="B1867" s="1" t="s">
        <v>1778</v>
      </c>
      <c r="C1867" s="1" t="str">
        <f>"66298853828912"</f>
        <v>66298853828912</v>
      </c>
      <c r="D1867" s="1" t="str">
        <f>"22L46CSV"</f>
        <v>22L46CSV</v>
      </c>
      <c r="E1867" s="1" t="s">
        <v>17</v>
      </c>
      <c r="F1867" s="1">
        <v>8</v>
      </c>
      <c r="G1867" s="1">
        <v>5017</v>
      </c>
      <c r="H1867" s="1">
        <v>40136</v>
      </c>
      <c r="I1867" s="1">
        <v>0</v>
      </c>
      <c r="J1867" s="1">
        <v>8</v>
      </c>
      <c r="K1867" s="1">
        <v>0</v>
      </c>
    </row>
    <row r="1868" spans="1:11" x14ac:dyDescent="0.2">
      <c r="A1868" s="1" t="s">
        <v>1705</v>
      </c>
      <c r="B1868" s="1" t="s">
        <v>1778</v>
      </c>
      <c r="C1868" s="1" t="str">
        <f>"22L46SE"</f>
        <v>22L46SE</v>
      </c>
      <c r="D1868" s="1" t="str">
        <f>"22L46SE"</f>
        <v>22L46SE</v>
      </c>
      <c r="E1868" s="1" t="s">
        <v>17</v>
      </c>
      <c r="F1868" s="1">
        <v>1</v>
      </c>
      <c r="G1868" s="1">
        <v>2190</v>
      </c>
      <c r="H1868" s="1">
        <v>2190</v>
      </c>
      <c r="I1868" s="1">
        <v>0</v>
      </c>
      <c r="J1868" s="1">
        <v>1</v>
      </c>
      <c r="K1868" s="1">
        <v>0</v>
      </c>
    </row>
    <row r="1869" spans="1:11" x14ac:dyDescent="0.2">
      <c r="A1869" s="1" t="s">
        <v>1705</v>
      </c>
      <c r="B1869" s="1" t="s">
        <v>1779</v>
      </c>
      <c r="C1869" s="1" t="str">
        <f>"66298853869222"</f>
        <v>66298853869222</v>
      </c>
      <c r="D1869" s="1" t="str">
        <f>"13L10SEV"</f>
        <v>13L10SEV</v>
      </c>
      <c r="E1869" s="1" t="s">
        <v>17</v>
      </c>
      <c r="F1869" s="1">
        <v>1</v>
      </c>
      <c r="G1869" s="1">
        <v>1992</v>
      </c>
      <c r="H1869" s="1">
        <v>1992</v>
      </c>
      <c r="I1869" s="1">
        <v>0</v>
      </c>
      <c r="J1869" s="1">
        <v>1</v>
      </c>
      <c r="K1869" s="1">
        <v>0</v>
      </c>
    </row>
    <row r="1870" spans="1:11" x14ac:dyDescent="0.2">
      <c r="A1870" s="1" t="s">
        <v>1705</v>
      </c>
      <c r="B1870" s="1" t="s">
        <v>1780</v>
      </c>
      <c r="C1870" s="1" t="str">
        <f>"66298853908053"</f>
        <v>66298853908053</v>
      </c>
      <c r="D1870" s="1" t="str">
        <f>"DF012"</f>
        <v>DF012</v>
      </c>
      <c r="E1870" s="1" t="s">
        <v>17</v>
      </c>
      <c r="F1870" s="1">
        <v>2</v>
      </c>
      <c r="G1870" s="1">
        <v>549</v>
      </c>
      <c r="H1870" s="1">
        <v>1098</v>
      </c>
      <c r="I1870" s="1">
        <v>0</v>
      </c>
      <c r="J1870" s="1">
        <v>2</v>
      </c>
      <c r="K1870" s="1">
        <v>0</v>
      </c>
    </row>
    <row r="1871" spans="1:11" x14ac:dyDescent="0.2">
      <c r="A1871" s="1" t="s">
        <v>1705</v>
      </c>
      <c r="B1871" s="1" t="s">
        <v>1781</v>
      </c>
      <c r="C1871" s="1" t="str">
        <f>"H1038"</f>
        <v>H1038</v>
      </c>
      <c r="D1871" s="1" t="str">
        <f>"H1038"</f>
        <v>H1038</v>
      </c>
      <c r="E1871" s="1" t="s">
        <v>17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</row>
    <row r="1872" spans="1:11" x14ac:dyDescent="0.2">
      <c r="A1872" s="1" t="s">
        <v>1705</v>
      </c>
      <c r="B1872" s="1" t="s">
        <v>1782</v>
      </c>
      <c r="C1872" s="1" t="str">
        <f>"66298853950956"</f>
        <v>66298853950956</v>
      </c>
      <c r="D1872" s="1" t="str">
        <f>"21L38CSV"</f>
        <v>21L38CSV</v>
      </c>
      <c r="E1872" s="1" t="s">
        <v>17</v>
      </c>
      <c r="F1872" s="1">
        <v>5</v>
      </c>
      <c r="G1872" s="1">
        <v>4513</v>
      </c>
      <c r="H1872" s="1">
        <v>22565</v>
      </c>
      <c r="I1872" s="1">
        <v>0</v>
      </c>
      <c r="J1872" s="1">
        <v>5</v>
      </c>
      <c r="K1872" s="1">
        <v>0</v>
      </c>
    </row>
    <row r="1873" spans="1:11" x14ac:dyDescent="0.2">
      <c r="A1873" s="1" t="s">
        <v>1705</v>
      </c>
      <c r="B1873" s="1" t="s">
        <v>1783</v>
      </c>
      <c r="C1873" s="1" t="str">
        <f>"66298853995739"</f>
        <v>66298853995739</v>
      </c>
      <c r="D1873" s="1" t="str">
        <f>"21L31SEV"</f>
        <v>21L31SEV</v>
      </c>
      <c r="E1873" s="1" t="s">
        <v>17</v>
      </c>
      <c r="F1873" s="1">
        <v>1</v>
      </c>
      <c r="G1873" s="1">
        <v>3504</v>
      </c>
      <c r="H1873" s="1">
        <v>3504</v>
      </c>
      <c r="I1873" s="1">
        <v>0</v>
      </c>
      <c r="J1873" s="1">
        <v>1</v>
      </c>
      <c r="K1873" s="1">
        <v>0</v>
      </c>
    </row>
    <row r="1874" spans="1:11" ht="30" x14ac:dyDescent="0.2">
      <c r="A1874" s="1" t="s">
        <v>1705</v>
      </c>
      <c r="B1874" s="1" t="s">
        <v>1784</v>
      </c>
      <c r="C1874" s="1" t="str">
        <f>"66298854036302"</f>
        <v>66298854036302</v>
      </c>
      <c r="D1874" s="1" t="str">
        <f>"13L01SE"</f>
        <v>13L01SE</v>
      </c>
      <c r="E1874" s="1" t="s">
        <v>17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</row>
    <row r="1875" spans="1:11" x14ac:dyDescent="0.2">
      <c r="A1875" s="1" t="s">
        <v>1705</v>
      </c>
      <c r="B1875" s="1" t="s">
        <v>1785</v>
      </c>
      <c r="C1875" s="1" t="str">
        <f>"66298854075194"</f>
        <v>66298854075194</v>
      </c>
      <c r="D1875" s="1" t="str">
        <f>"21L24SEV"</f>
        <v>21L24SEV</v>
      </c>
      <c r="E1875" s="1" t="s">
        <v>17</v>
      </c>
      <c r="F1875" s="1">
        <v>2</v>
      </c>
      <c r="G1875" s="1">
        <v>1992</v>
      </c>
      <c r="H1875" s="1">
        <v>3984</v>
      </c>
      <c r="I1875" s="1">
        <v>0</v>
      </c>
      <c r="J1875" s="1">
        <v>2</v>
      </c>
      <c r="K1875" s="1">
        <v>0</v>
      </c>
    </row>
    <row r="1876" spans="1:11" x14ac:dyDescent="0.2">
      <c r="A1876" s="1" t="s">
        <v>1705</v>
      </c>
      <c r="B1876" s="1" t="s">
        <v>1786</v>
      </c>
      <c r="C1876" s="1" t="str">
        <f>"66298854117958"</f>
        <v>66298854117958</v>
      </c>
      <c r="D1876" s="1" t="str">
        <f>"21L48CSV"</f>
        <v>21L48CSV</v>
      </c>
      <c r="E1876" s="1" t="s">
        <v>17</v>
      </c>
      <c r="F1876" s="1">
        <v>3</v>
      </c>
      <c r="G1876" s="1">
        <v>4008</v>
      </c>
      <c r="H1876" s="1">
        <v>12024</v>
      </c>
      <c r="I1876" s="1">
        <v>0</v>
      </c>
      <c r="J1876" s="1">
        <v>3</v>
      </c>
      <c r="K1876" s="1">
        <v>0</v>
      </c>
    </row>
    <row r="1877" spans="1:11" x14ac:dyDescent="0.2">
      <c r="A1877" s="1" t="s">
        <v>1705</v>
      </c>
      <c r="B1877" s="1" t="s">
        <v>1787</v>
      </c>
      <c r="C1877" s="1" t="str">
        <f>"66298854158741"</f>
        <v>66298854158741</v>
      </c>
      <c r="D1877" s="1" t="str">
        <f>"21L58SEV"</f>
        <v>21L58SEV</v>
      </c>
      <c r="E1877" s="1" t="s">
        <v>17</v>
      </c>
      <c r="F1877" s="1">
        <v>12</v>
      </c>
      <c r="G1877" s="1">
        <v>2244</v>
      </c>
      <c r="H1877" s="1">
        <v>26928</v>
      </c>
      <c r="I1877" s="1">
        <v>0</v>
      </c>
      <c r="J1877" s="1">
        <v>12</v>
      </c>
      <c r="K1877" s="1">
        <v>0</v>
      </c>
    </row>
    <row r="1878" spans="1:11" x14ac:dyDescent="0.2">
      <c r="A1878" s="1" t="s">
        <v>1705</v>
      </c>
      <c r="B1878" s="1" t="s">
        <v>1787</v>
      </c>
      <c r="C1878" s="1" t="str">
        <f>"66298854199566"</f>
        <v>66298854199566</v>
      </c>
      <c r="D1878" s="1" t="str">
        <f>"21L58CSV"</f>
        <v>21L58CSV</v>
      </c>
      <c r="E1878" s="1" t="s">
        <v>17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</row>
    <row r="1879" spans="1:11" x14ac:dyDescent="0.2">
      <c r="A1879" s="1" t="s">
        <v>1705</v>
      </c>
      <c r="B1879" s="1" t="s">
        <v>1788</v>
      </c>
      <c r="C1879" s="1" t="str">
        <f>"66298854241830"</f>
        <v>66298854241830</v>
      </c>
      <c r="D1879" s="1" t="str">
        <f>"21L66SEV"</f>
        <v>21L66SEV</v>
      </c>
      <c r="E1879" s="1" t="s">
        <v>17</v>
      </c>
      <c r="F1879" s="1">
        <v>9</v>
      </c>
      <c r="G1879" s="1">
        <v>4513</v>
      </c>
      <c r="H1879" s="1">
        <v>40617</v>
      </c>
      <c r="I1879" s="1">
        <v>0</v>
      </c>
      <c r="J1879" s="1">
        <v>9</v>
      </c>
      <c r="K1879" s="1">
        <v>0</v>
      </c>
    </row>
    <row r="1880" spans="1:11" x14ac:dyDescent="0.2">
      <c r="A1880" s="1" t="s">
        <v>1705</v>
      </c>
      <c r="B1880" s="1" t="s">
        <v>1789</v>
      </c>
      <c r="C1880" s="1" t="str">
        <f>"66298854285685"</f>
        <v>66298854285685</v>
      </c>
      <c r="D1880" s="1" t="str">
        <f>"21L25SEV"</f>
        <v>21L25SEV</v>
      </c>
      <c r="E1880" s="1" t="s">
        <v>17</v>
      </c>
      <c r="F1880" s="1">
        <v>3</v>
      </c>
      <c r="G1880" s="1">
        <v>2496</v>
      </c>
      <c r="H1880" s="1">
        <v>7488</v>
      </c>
      <c r="I1880" s="1">
        <v>0</v>
      </c>
      <c r="J1880" s="1">
        <v>3</v>
      </c>
      <c r="K1880" s="1">
        <v>0</v>
      </c>
    </row>
    <row r="1881" spans="1:11" x14ac:dyDescent="0.2">
      <c r="A1881" s="1" t="s">
        <v>1705</v>
      </c>
      <c r="B1881" s="1" t="s">
        <v>1790</v>
      </c>
      <c r="C1881" s="1" t="str">
        <f>"P4V0210600221"</f>
        <v>P4V0210600221</v>
      </c>
      <c r="D1881" s="1" t="str">
        <f>"P4V0210600221"</f>
        <v>P4V0210600221</v>
      </c>
      <c r="E1881" s="1" t="s">
        <v>17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</row>
    <row r="1882" spans="1:11" x14ac:dyDescent="0.2">
      <c r="A1882" s="1" t="s">
        <v>1705</v>
      </c>
      <c r="B1882" s="1" t="s">
        <v>1791</v>
      </c>
      <c r="C1882" s="1" t="str">
        <f>"66298854324198"</f>
        <v>66298854324198</v>
      </c>
      <c r="D1882" s="1" t="str">
        <f>"21L37SEV"</f>
        <v>21L37SEV</v>
      </c>
      <c r="E1882" s="1" t="s">
        <v>17</v>
      </c>
      <c r="F1882" s="1">
        <v>6</v>
      </c>
      <c r="G1882" s="1">
        <v>3000</v>
      </c>
      <c r="H1882" s="1">
        <v>18000</v>
      </c>
      <c r="I1882" s="1">
        <v>0</v>
      </c>
      <c r="J1882" s="1">
        <v>6</v>
      </c>
      <c r="K1882" s="1">
        <v>0</v>
      </c>
    </row>
    <row r="1883" spans="1:11" x14ac:dyDescent="0.2">
      <c r="A1883" s="1" t="s">
        <v>1705</v>
      </c>
      <c r="B1883" s="1" t="s">
        <v>1792</v>
      </c>
      <c r="C1883" s="1" t="str">
        <f>"66298854367229"</f>
        <v>66298854367229</v>
      </c>
      <c r="D1883" s="1" t="str">
        <f>"21L19SEV"</f>
        <v>21L19SEV</v>
      </c>
      <c r="E1883" s="1" t="s">
        <v>17</v>
      </c>
      <c r="F1883" s="1">
        <v>3</v>
      </c>
      <c r="G1883" s="1">
        <v>4513</v>
      </c>
      <c r="H1883" s="1">
        <v>13539</v>
      </c>
      <c r="I1883" s="1">
        <v>0</v>
      </c>
      <c r="J1883" s="1">
        <v>3</v>
      </c>
      <c r="K1883" s="1">
        <v>0</v>
      </c>
    </row>
    <row r="1884" spans="1:11" x14ac:dyDescent="0.2">
      <c r="A1884" s="1" t="s">
        <v>1705</v>
      </c>
      <c r="B1884" s="1" t="s">
        <v>1793</v>
      </c>
      <c r="C1884" s="1" t="str">
        <f>"66298854414993"</f>
        <v>66298854414993</v>
      </c>
      <c r="D1884" s="1" t="str">
        <f>"19L21SEV"</f>
        <v>19L21SEV</v>
      </c>
      <c r="E1884" s="1" t="s">
        <v>17</v>
      </c>
      <c r="F1884" s="1">
        <v>1</v>
      </c>
      <c r="G1884" s="1">
        <v>3252</v>
      </c>
      <c r="H1884" s="1">
        <v>3252</v>
      </c>
      <c r="I1884" s="1">
        <v>0</v>
      </c>
      <c r="J1884" s="1">
        <v>1</v>
      </c>
      <c r="K1884" s="1">
        <v>0</v>
      </c>
    </row>
    <row r="1885" spans="1:11" x14ac:dyDescent="0.2">
      <c r="A1885" s="1" t="s">
        <v>1705</v>
      </c>
      <c r="B1885" s="1" t="s">
        <v>1794</v>
      </c>
      <c r="C1885" s="1" t="str">
        <f>"66298854459896"</f>
        <v>66298854459896</v>
      </c>
      <c r="D1885" s="1" t="str">
        <f>"13L20SEV"</f>
        <v>13L20SEV</v>
      </c>
      <c r="E1885" s="1" t="s">
        <v>17</v>
      </c>
      <c r="F1885" s="1">
        <v>6</v>
      </c>
      <c r="G1885" s="1">
        <v>2496</v>
      </c>
      <c r="H1885" s="1">
        <v>14976</v>
      </c>
      <c r="I1885" s="1">
        <v>0</v>
      </c>
      <c r="J1885" s="1">
        <v>6</v>
      </c>
      <c r="K1885" s="1">
        <v>0</v>
      </c>
    </row>
    <row r="1886" spans="1:11" x14ac:dyDescent="0.2">
      <c r="A1886" s="1" t="s">
        <v>1705</v>
      </c>
      <c r="B1886" s="1" t="s">
        <v>1795</v>
      </c>
      <c r="C1886" s="1" t="str">
        <f>"66298854502900"</f>
        <v>66298854502900</v>
      </c>
      <c r="D1886" s="1" t="str">
        <f>"19L40SEV"</f>
        <v>19L40SEV</v>
      </c>
      <c r="E1886" s="1" t="s">
        <v>17</v>
      </c>
      <c r="F1886" s="1">
        <v>1</v>
      </c>
      <c r="G1886" s="1">
        <v>1992</v>
      </c>
      <c r="H1886" s="1">
        <v>1992</v>
      </c>
      <c r="I1886" s="1">
        <v>0</v>
      </c>
      <c r="J1886" s="1">
        <v>1</v>
      </c>
      <c r="K1886" s="1">
        <v>0</v>
      </c>
    </row>
    <row r="1887" spans="1:11" x14ac:dyDescent="0.2">
      <c r="A1887" s="1" t="s">
        <v>1705</v>
      </c>
      <c r="B1887" s="1" t="s">
        <v>1796</v>
      </c>
      <c r="C1887" s="1" t="str">
        <f>"66298854544417"</f>
        <v>66298854544417</v>
      </c>
      <c r="D1887" s="1" t="str">
        <f>"19L49SEV"</f>
        <v>19L49SEV</v>
      </c>
      <c r="E1887" s="1" t="s">
        <v>17</v>
      </c>
      <c r="F1887" s="1">
        <v>3</v>
      </c>
      <c r="G1887" s="1">
        <v>6025</v>
      </c>
      <c r="H1887" s="1">
        <v>18075</v>
      </c>
      <c r="I1887" s="1">
        <v>0</v>
      </c>
      <c r="J1887" s="1">
        <v>3</v>
      </c>
      <c r="K1887" s="1">
        <v>0</v>
      </c>
    </row>
    <row r="1888" spans="1:11" x14ac:dyDescent="0.2">
      <c r="A1888" s="1" t="s">
        <v>1705</v>
      </c>
      <c r="B1888" s="1" t="s">
        <v>1797</v>
      </c>
      <c r="C1888" s="1" t="str">
        <f>"66298854583630"</f>
        <v>66298854583630</v>
      </c>
      <c r="D1888" s="1" t="str">
        <f>"19L33SEV"</f>
        <v>19L33SEV</v>
      </c>
      <c r="E1888" s="1" t="s">
        <v>17</v>
      </c>
      <c r="F1888" s="1">
        <v>5</v>
      </c>
      <c r="G1888" s="1">
        <v>5017</v>
      </c>
      <c r="H1888" s="1">
        <v>25085</v>
      </c>
      <c r="I1888" s="1">
        <v>0</v>
      </c>
      <c r="J1888" s="1">
        <v>5</v>
      </c>
      <c r="K1888" s="1">
        <v>0</v>
      </c>
    </row>
    <row r="1889" spans="1:11" x14ac:dyDescent="0.2">
      <c r="A1889" s="1" t="s">
        <v>1705</v>
      </c>
      <c r="B1889" s="1" t="s">
        <v>1798</v>
      </c>
      <c r="C1889" s="1" t="str">
        <f>"DF059"</f>
        <v>DF059</v>
      </c>
      <c r="D1889" s="1" t="str">
        <f>"DF059"</f>
        <v>DF059</v>
      </c>
      <c r="E1889" s="1" t="s">
        <v>17</v>
      </c>
      <c r="F1889" s="1">
        <v>4</v>
      </c>
      <c r="G1889" s="1">
        <v>1053</v>
      </c>
      <c r="H1889" s="1">
        <v>4212</v>
      </c>
      <c r="I1889" s="1">
        <v>0</v>
      </c>
      <c r="J1889" s="1">
        <v>4</v>
      </c>
      <c r="K1889" s="1">
        <v>0</v>
      </c>
    </row>
    <row r="1890" spans="1:11" ht="30" x14ac:dyDescent="0.2">
      <c r="A1890" s="1" t="s">
        <v>1705</v>
      </c>
      <c r="B1890" s="1" t="s">
        <v>1799</v>
      </c>
      <c r="C1890" s="1" t="str">
        <f>"66298854623047"</f>
        <v>66298854623047</v>
      </c>
      <c r="D1890" s="1" t="str">
        <f>"19L29CSV"</f>
        <v>19L29CSV</v>
      </c>
      <c r="E1890" s="1" t="s">
        <v>17</v>
      </c>
      <c r="F1890" s="1">
        <v>4</v>
      </c>
      <c r="G1890" s="1">
        <v>3504</v>
      </c>
      <c r="H1890" s="1">
        <v>14016</v>
      </c>
      <c r="I1890" s="1">
        <v>0</v>
      </c>
      <c r="J1890" s="1">
        <v>4</v>
      </c>
      <c r="K1890" s="1">
        <v>0</v>
      </c>
    </row>
    <row r="1891" spans="1:11" x14ac:dyDescent="0.2">
      <c r="A1891" s="1" t="s">
        <v>1705</v>
      </c>
      <c r="B1891" s="1" t="s">
        <v>1800</v>
      </c>
      <c r="C1891" s="1" t="str">
        <f>"66298854663115"</f>
        <v>66298854663115</v>
      </c>
      <c r="D1891" s="1" t="str">
        <f>"19L19SEV"</f>
        <v>19L19SEV</v>
      </c>
      <c r="E1891" s="1" t="s">
        <v>17</v>
      </c>
      <c r="F1891" s="1">
        <v>2</v>
      </c>
      <c r="G1891" s="1">
        <v>1387</v>
      </c>
      <c r="H1891" s="1">
        <v>2774</v>
      </c>
      <c r="I1891" s="1">
        <v>0</v>
      </c>
      <c r="J1891" s="1">
        <v>2</v>
      </c>
      <c r="K1891" s="1">
        <v>0</v>
      </c>
    </row>
    <row r="1892" spans="1:11" x14ac:dyDescent="0.2">
      <c r="A1892" s="1" t="s">
        <v>1705</v>
      </c>
      <c r="B1892" s="1" t="s">
        <v>1801</v>
      </c>
      <c r="C1892" s="1" t="str">
        <f>"66298854704527"</f>
        <v>66298854704527</v>
      </c>
      <c r="D1892" s="1" t="str">
        <f>"19L45SEV"</f>
        <v>19L45SEV</v>
      </c>
      <c r="E1892" s="1" t="s">
        <v>17</v>
      </c>
      <c r="F1892" s="1">
        <v>5</v>
      </c>
      <c r="G1892" s="1">
        <v>2496</v>
      </c>
      <c r="H1892" s="1">
        <v>12480</v>
      </c>
      <c r="I1892" s="1">
        <v>0</v>
      </c>
      <c r="J1892" s="1">
        <v>5</v>
      </c>
      <c r="K1892" s="1">
        <v>0</v>
      </c>
    </row>
    <row r="1893" spans="1:11" x14ac:dyDescent="0.2">
      <c r="A1893" s="1" t="s">
        <v>1705</v>
      </c>
      <c r="B1893" s="1" t="s">
        <v>1802</v>
      </c>
      <c r="C1893" s="1" t="str">
        <f>"66298854742694"</f>
        <v>66298854742694</v>
      </c>
      <c r="D1893" s="1" t="str">
        <f>"19L51SEV"</f>
        <v>19L51SEV</v>
      </c>
      <c r="E1893" s="1" t="s">
        <v>17</v>
      </c>
      <c r="F1893" s="1">
        <v>3</v>
      </c>
      <c r="G1893" s="1">
        <v>3000</v>
      </c>
      <c r="H1893" s="1">
        <v>9000</v>
      </c>
      <c r="I1893" s="1">
        <v>0</v>
      </c>
      <c r="J1893" s="1">
        <v>3</v>
      </c>
      <c r="K1893" s="1">
        <v>0</v>
      </c>
    </row>
    <row r="1894" spans="1:11" x14ac:dyDescent="0.2">
      <c r="A1894" s="1" t="s">
        <v>1705</v>
      </c>
      <c r="B1894" s="1" t="s">
        <v>1803</v>
      </c>
      <c r="C1894" s="1" t="str">
        <f>"66298854782657"</f>
        <v>66298854782657</v>
      </c>
      <c r="D1894" s="1" t="str">
        <f>"DF043"</f>
        <v>DF043</v>
      </c>
      <c r="E1894" s="1" t="s">
        <v>17</v>
      </c>
      <c r="F1894" s="1">
        <v>2</v>
      </c>
      <c r="G1894" s="1">
        <v>2158</v>
      </c>
      <c r="H1894" s="1">
        <v>4316</v>
      </c>
      <c r="I1894" s="1">
        <v>0</v>
      </c>
      <c r="J1894" s="1">
        <v>2</v>
      </c>
      <c r="K1894" s="1">
        <v>0</v>
      </c>
    </row>
    <row r="1895" spans="1:11" x14ac:dyDescent="0.2">
      <c r="A1895" s="1" t="s">
        <v>1705</v>
      </c>
      <c r="B1895" s="1" t="s">
        <v>1804</v>
      </c>
      <c r="C1895" s="1" t="str">
        <f>"VS10700000006"</f>
        <v>VS10700000006</v>
      </c>
      <c r="D1895" s="1" t="str">
        <f>"VS10700000006"</f>
        <v>VS10700000006</v>
      </c>
      <c r="E1895" s="1" t="s">
        <v>17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</row>
    <row r="1896" spans="1:11" x14ac:dyDescent="0.2">
      <c r="A1896" s="1" t="s">
        <v>1705</v>
      </c>
      <c r="B1896" s="1" t="s">
        <v>1805</v>
      </c>
      <c r="C1896" s="1" t="str">
        <f>"66298854843025"</f>
        <v>66298854843025</v>
      </c>
      <c r="D1896" s="1" t="str">
        <f>"VS05700000260"</f>
        <v>VS05700000260</v>
      </c>
      <c r="E1896" s="1" t="s">
        <v>17</v>
      </c>
      <c r="F1896" s="1">
        <v>4</v>
      </c>
      <c r="G1896" s="1">
        <v>2746</v>
      </c>
      <c r="H1896" s="1">
        <v>10984</v>
      </c>
      <c r="I1896" s="1">
        <v>0</v>
      </c>
      <c r="J1896" s="1">
        <v>4</v>
      </c>
      <c r="K1896" s="1">
        <v>0</v>
      </c>
    </row>
    <row r="1897" spans="1:11" x14ac:dyDescent="0.2">
      <c r="A1897" s="1" t="s">
        <v>1705</v>
      </c>
      <c r="B1897" s="1" t="s">
        <v>1806</v>
      </c>
      <c r="C1897" s="1" t="str">
        <f>"VS05700000330"</f>
        <v>VS05700000330</v>
      </c>
      <c r="D1897" s="1" t="str">
        <f>"VS05700000330"</f>
        <v>VS05700000330</v>
      </c>
      <c r="E1897" s="1" t="s">
        <v>17</v>
      </c>
      <c r="F1897" s="1">
        <v>3</v>
      </c>
      <c r="G1897" s="1">
        <v>4432</v>
      </c>
      <c r="H1897" s="1">
        <v>13296</v>
      </c>
      <c r="I1897" s="1">
        <v>0</v>
      </c>
      <c r="J1897" s="1">
        <v>3</v>
      </c>
      <c r="K1897" s="1">
        <v>0</v>
      </c>
    </row>
    <row r="1898" spans="1:11" x14ac:dyDescent="0.2">
      <c r="A1898" s="1" t="s">
        <v>1705</v>
      </c>
      <c r="B1898" s="1" t="s">
        <v>1807</v>
      </c>
      <c r="C1898" s="1" t="str">
        <f>"VS05850000015"</f>
        <v>VS05850000015</v>
      </c>
      <c r="D1898" s="1" t="str">
        <f>"VS05850000015"</f>
        <v>VS05850000015</v>
      </c>
      <c r="E1898" s="1" t="s">
        <v>17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</row>
    <row r="1899" spans="1:11" ht="30" x14ac:dyDescent="0.2">
      <c r="A1899" s="1" t="s">
        <v>1705</v>
      </c>
      <c r="B1899" s="1" t="s">
        <v>1808</v>
      </c>
      <c r="C1899" s="1" t="str">
        <f>"66298854953435"</f>
        <v>66298854953435</v>
      </c>
      <c r="D1899" s="1" t="str">
        <f>"26T51SEV"</f>
        <v>26T51SEV</v>
      </c>
      <c r="E1899" s="1" t="s">
        <v>17</v>
      </c>
      <c r="F1899" s="1">
        <v>4</v>
      </c>
      <c r="G1899" s="1">
        <v>5017</v>
      </c>
      <c r="H1899" s="1">
        <v>20068</v>
      </c>
      <c r="I1899" s="1">
        <v>0</v>
      </c>
      <c r="J1899" s="1">
        <v>4</v>
      </c>
      <c r="K1899" s="1">
        <v>0</v>
      </c>
    </row>
    <row r="1900" spans="1:11" x14ac:dyDescent="0.2">
      <c r="A1900" s="1" t="s">
        <v>1705</v>
      </c>
      <c r="B1900" s="1" t="s">
        <v>1809</v>
      </c>
      <c r="C1900" s="1" t="str">
        <f>"66298854909981"</f>
        <v>66298854909981</v>
      </c>
      <c r="D1900" s="1" t="str">
        <f>"VS05700000002"</f>
        <v>VS05700000002</v>
      </c>
      <c r="E1900" s="1" t="s">
        <v>17</v>
      </c>
      <c r="F1900" s="1">
        <v>3</v>
      </c>
      <c r="G1900" s="1">
        <v>2626</v>
      </c>
      <c r="H1900" s="1">
        <v>7878</v>
      </c>
      <c r="I1900" s="1">
        <v>0</v>
      </c>
      <c r="J1900" s="1">
        <v>3</v>
      </c>
      <c r="K1900" s="1">
        <v>0</v>
      </c>
    </row>
    <row r="1901" spans="1:11" ht="30" x14ac:dyDescent="0.2">
      <c r="A1901" s="1" t="s">
        <v>1705</v>
      </c>
      <c r="B1901" s="1" t="s">
        <v>1810</v>
      </c>
      <c r="C1901" s="1" t="str">
        <f>"VS05850010001"</f>
        <v>VS05850010001</v>
      </c>
      <c r="D1901" s="1" t="str">
        <f>"VS05850010001"</f>
        <v>VS05850010001</v>
      </c>
      <c r="E1901" s="1" t="s">
        <v>17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</row>
    <row r="1902" spans="1:11" x14ac:dyDescent="0.2">
      <c r="A1902" s="1" t="s">
        <v>1705</v>
      </c>
      <c r="B1902" s="1" t="s">
        <v>1811</v>
      </c>
      <c r="C1902" s="1" t="str">
        <f>"228009"</f>
        <v>228009</v>
      </c>
      <c r="D1902" s="1" t="str">
        <f>"228009"</f>
        <v>228009</v>
      </c>
      <c r="E1902" s="1" t="s">
        <v>17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</row>
    <row r="1903" spans="1:11" ht="30" x14ac:dyDescent="0.2">
      <c r="A1903" s="1" t="s">
        <v>1705</v>
      </c>
      <c r="B1903" s="1" t="s">
        <v>1812</v>
      </c>
      <c r="C1903" s="1" t="str">
        <f>"66298854994505"</f>
        <v>66298854994505</v>
      </c>
      <c r="D1903" s="1" t="str">
        <f>"DF032"</f>
        <v>DF032</v>
      </c>
      <c r="E1903" s="1" t="s">
        <v>17</v>
      </c>
      <c r="F1903" s="1">
        <v>2</v>
      </c>
      <c r="G1903" s="1">
        <v>2241</v>
      </c>
      <c r="H1903" s="1">
        <v>4482</v>
      </c>
      <c r="I1903" s="1">
        <v>0</v>
      </c>
      <c r="J1903" s="1">
        <v>2</v>
      </c>
      <c r="K1903" s="1">
        <v>0</v>
      </c>
    </row>
    <row r="1904" spans="1:11" x14ac:dyDescent="0.2">
      <c r="A1904" s="1" t="s">
        <v>1705</v>
      </c>
      <c r="B1904" s="1" t="s">
        <v>1813</v>
      </c>
      <c r="C1904" s="1" t="str">
        <f>"66298855036619"</f>
        <v>66298855036619</v>
      </c>
      <c r="D1904" s="1" t="str">
        <f>"DF039"</f>
        <v>DF039</v>
      </c>
      <c r="E1904" s="1" t="s">
        <v>17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</row>
    <row r="1905" spans="1:11" x14ac:dyDescent="0.2">
      <c r="A1905" s="1" t="s">
        <v>1705</v>
      </c>
      <c r="B1905" s="1" t="s">
        <v>1814</v>
      </c>
      <c r="C1905" s="1" t="str">
        <f>"66298855079182"</f>
        <v>66298855079182</v>
      </c>
      <c r="D1905" s="1" t="str">
        <f>"06120-KYJ-000BR"</f>
        <v>06120-KYJ-000BR</v>
      </c>
      <c r="E1905" s="1" t="s">
        <v>17</v>
      </c>
      <c r="F1905" s="1">
        <v>1</v>
      </c>
      <c r="G1905" s="1">
        <v>9361</v>
      </c>
      <c r="H1905" s="1">
        <v>9361</v>
      </c>
      <c r="I1905" s="1">
        <v>0</v>
      </c>
      <c r="J1905" s="1">
        <v>1</v>
      </c>
      <c r="K1905" s="1">
        <v>0</v>
      </c>
    </row>
    <row r="1906" spans="1:11" x14ac:dyDescent="0.2">
      <c r="A1906" s="1" t="s">
        <v>1705</v>
      </c>
      <c r="B1906" s="1" t="s">
        <v>1814</v>
      </c>
      <c r="C1906" s="1" t="str">
        <f>"VS05700000950"</f>
        <v>VS05700000950</v>
      </c>
      <c r="D1906" s="1" t="str">
        <f>"VS05700000950"</f>
        <v>VS05700000950</v>
      </c>
      <c r="E1906" s="1" t="s">
        <v>17</v>
      </c>
      <c r="F1906" s="1">
        <v>2</v>
      </c>
      <c r="G1906" s="1">
        <v>8747</v>
      </c>
      <c r="H1906" s="1">
        <v>17494</v>
      </c>
      <c r="I1906" s="1">
        <v>0</v>
      </c>
      <c r="J1906" s="1">
        <v>2</v>
      </c>
      <c r="K1906" s="1">
        <v>0</v>
      </c>
    </row>
    <row r="1907" spans="1:11" ht="30" x14ac:dyDescent="0.2">
      <c r="A1907" s="1" t="s">
        <v>1705</v>
      </c>
      <c r="B1907" s="1" t="s">
        <v>1815</v>
      </c>
      <c r="C1907" s="1" t="str">
        <f>"66298855121113"</f>
        <v>66298855121113</v>
      </c>
      <c r="D1907" s="1" t="str">
        <f>"26T59CSV"</f>
        <v>26T59CSV</v>
      </c>
      <c r="E1907" s="1" t="s">
        <v>17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</row>
    <row r="1908" spans="1:11" ht="30" x14ac:dyDescent="0.2">
      <c r="A1908" s="1" t="s">
        <v>1705</v>
      </c>
      <c r="B1908" s="1" t="s">
        <v>1815</v>
      </c>
      <c r="C1908" s="1" t="str">
        <f>"66298855125778"</f>
        <v>66298855125778</v>
      </c>
      <c r="D1908" s="1" t="str">
        <f>"DF036"</f>
        <v>DF036</v>
      </c>
      <c r="E1908" s="1" t="s">
        <v>17</v>
      </c>
      <c r="F1908" s="1">
        <v>2</v>
      </c>
      <c r="G1908" s="1">
        <v>4221</v>
      </c>
      <c r="H1908" s="1">
        <v>8442</v>
      </c>
      <c r="I1908" s="1">
        <v>0</v>
      </c>
      <c r="J1908" s="1">
        <v>2</v>
      </c>
      <c r="K1908" s="1">
        <v>0</v>
      </c>
    </row>
    <row r="1909" spans="1:11" x14ac:dyDescent="0.2">
      <c r="A1909" s="1" t="s">
        <v>1705</v>
      </c>
      <c r="B1909" s="1" t="s">
        <v>1816</v>
      </c>
      <c r="C1909" s="1" t="str">
        <f>"66298855177554"</f>
        <v>66298855177554</v>
      </c>
      <c r="D1909" s="1" t="str">
        <f>"26T28SEV"</f>
        <v>26T28SEV</v>
      </c>
      <c r="E1909" s="1" t="s">
        <v>17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</row>
    <row r="1910" spans="1:11" ht="30" x14ac:dyDescent="0.2">
      <c r="A1910" s="1" t="s">
        <v>1705</v>
      </c>
      <c r="B1910" s="1" t="s">
        <v>1817</v>
      </c>
      <c r="C1910" s="1" t="str">
        <f>"VS05700010001"</f>
        <v>VS05700010001</v>
      </c>
      <c r="D1910" s="1" t="str">
        <f>"VS05700010001"</f>
        <v>VS05700010001</v>
      </c>
      <c r="E1910" s="1" t="s">
        <v>17</v>
      </c>
      <c r="F1910" s="1">
        <v>6</v>
      </c>
      <c r="G1910" s="1">
        <v>2271</v>
      </c>
      <c r="H1910" s="1">
        <v>13626</v>
      </c>
      <c r="I1910" s="1">
        <v>0</v>
      </c>
      <c r="J1910" s="1">
        <v>6</v>
      </c>
      <c r="K1910" s="1">
        <v>0</v>
      </c>
    </row>
    <row r="1911" spans="1:11" ht="30" x14ac:dyDescent="0.2">
      <c r="A1911" s="1" t="s">
        <v>1705</v>
      </c>
      <c r="B1911" s="1" t="s">
        <v>1818</v>
      </c>
      <c r="C1911" s="1" t="str">
        <f>"66298855223154"</f>
        <v>66298855223154</v>
      </c>
      <c r="D1911" s="1" t="str">
        <f>"26T52SEV"</f>
        <v>26T52SEV</v>
      </c>
      <c r="E1911" s="1" t="s">
        <v>17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</row>
    <row r="1912" spans="1:11" x14ac:dyDescent="0.2">
      <c r="A1912" s="1" t="s">
        <v>1705</v>
      </c>
      <c r="B1912" s="1" t="s">
        <v>1819</v>
      </c>
      <c r="C1912" s="1" t="str">
        <f>"66298855269140"</f>
        <v>66298855269140</v>
      </c>
      <c r="D1912" s="1" t="str">
        <f>"DF011"</f>
        <v>DF011</v>
      </c>
      <c r="E1912" s="1" t="s">
        <v>17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</row>
    <row r="1913" spans="1:11" ht="30" x14ac:dyDescent="0.2">
      <c r="A1913" s="1" t="s">
        <v>1705</v>
      </c>
      <c r="B1913" s="1" t="s">
        <v>1820</v>
      </c>
      <c r="C1913" s="1" t="str">
        <f>"66298855345143"</f>
        <v>66298855345143</v>
      </c>
      <c r="D1913" s="1" t="str">
        <f>"DF016"</f>
        <v>DF016</v>
      </c>
      <c r="E1913" s="1" t="s">
        <v>17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</row>
    <row r="1914" spans="1:11" x14ac:dyDescent="0.2">
      <c r="A1914" s="1" t="s">
        <v>1705</v>
      </c>
      <c r="B1914" s="1" t="s">
        <v>1821</v>
      </c>
      <c r="C1914" s="1" t="str">
        <f>"66298855308647"</f>
        <v>66298855308647</v>
      </c>
      <c r="D1914" s="1" t="str">
        <f>"34T96SEV"</f>
        <v>34T96SEV</v>
      </c>
      <c r="E1914" s="1" t="s">
        <v>17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</row>
    <row r="1915" spans="1:11" x14ac:dyDescent="0.2">
      <c r="A1915" s="1" t="s">
        <v>1705</v>
      </c>
      <c r="B1915" s="1" t="s">
        <v>1822</v>
      </c>
      <c r="C1915" s="1" t="str">
        <f>"66298855384909"</f>
        <v>66298855384909</v>
      </c>
      <c r="D1915" s="1" t="str">
        <f>"26T16CSV"</f>
        <v>26T16CSV</v>
      </c>
      <c r="E1915" s="1" t="s">
        <v>17</v>
      </c>
      <c r="F1915" s="1">
        <v>4</v>
      </c>
      <c r="G1915" s="1">
        <v>8042</v>
      </c>
      <c r="H1915" s="1">
        <v>32168</v>
      </c>
      <c r="I1915" s="1">
        <v>0</v>
      </c>
      <c r="J1915" s="1">
        <v>4</v>
      </c>
      <c r="K1915" s="1">
        <v>0</v>
      </c>
    </row>
    <row r="1916" spans="1:11" ht="30" x14ac:dyDescent="0.2">
      <c r="A1916" s="1" t="s">
        <v>1705</v>
      </c>
      <c r="B1916" s="1" t="s">
        <v>1823</v>
      </c>
      <c r="C1916" s="1" t="str">
        <f>"66298855429008"</f>
        <v>66298855429008</v>
      </c>
      <c r="D1916" s="1" t="str">
        <f>"26T62CSV"</f>
        <v>26T62CSV</v>
      </c>
      <c r="E1916" s="1" t="s">
        <v>17</v>
      </c>
      <c r="F1916" s="1">
        <v>1</v>
      </c>
      <c r="G1916" s="1">
        <v>9555</v>
      </c>
      <c r="H1916" s="1">
        <v>9555</v>
      </c>
      <c r="I1916" s="1">
        <v>0</v>
      </c>
      <c r="J1916" s="1">
        <v>1</v>
      </c>
      <c r="K1916" s="1">
        <v>0</v>
      </c>
    </row>
    <row r="1917" spans="1:11" x14ac:dyDescent="0.2">
      <c r="A1917" s="1" t="s">
        <v>1705</v>
      </c>
      <c r="B1917" s="1" t="s">
        <v>1824</v>
      </c>
      <c r="C1917" s="1" t="str">
        <f>"66298855541186"</f>
        <v>66298855541186</v>
      </c>
      <c r="D1917" s="1" t="str">
        <f>"27T70SEV"</f>
        <v>27T70SEV</v>
      </c>
      <c r="E1917" s="1" t="s">
        <v>17</v>
      </c>
      <c r="F1917" s="1">
        <v>1</v>
      </c>
      <c r="G1917" s="1">
        <v>7538</v>
      </c>
      <c r="H1917" s="1">
        <v>7538</v>
      </c>
      <c r="I1917" s="1">
        <v>0</v>
      </c>
      <c r="J1917" s="1">
        <v>1</v>
      </c>
      <c r="K1917" s="1">
        <v>0</v>
      </c>
    </row>
    <row r="1918" spans="1:11" x14ac:dyDescent="0.2">
      <c r="A1918" s="1" t="s">
        <v>1705</v>
      </c>
      <c r="B1918" s="1" t="s">
        <v>1824</v>
      </c>
      <c r="C1918" s="1" t="str">
        <f>"VS53700000400"</f>
        <v>VS53700000400</v>
      </c>
      <c r="D1918" s="1" t="str">
        <f>"VS53700000400"</f>
        <v>VS53700000400</v>
      </c>
      <c r="E1918" s="1" t="s">
        <v>17</v>
      </c>
      <c r="F1918" s="1">
        <v>5</v>
      </c>
      <c r="G1918" s="1">
        <v>14549</v>
      </c>
      <c r="H1918" s="1">
        <v>72745</v>
      </c>
      <c r="I1918" s="1">
        <v>0</v>
      </c>
      <c r="J1918" s="1">
        <v>5</v>
      </c>
      <c r="K1918" s="1">
        <v>0</v>
      </c>
    </row>
    <row r="1919" spans="1:11" x14ac:dyDescent="0.2">
      <c r="A1919" s="1" t="s">
        <v>1705</v>
      </c>
      <c r="B1919" s="1" t="s">
        <v>1825</v>
      </c>
      <c r="C1919" s="1" t="str">
        <f>"VS15700000021"</f>
        <v>VS15700000021</v>
      </c>
      <c r="D1919" s="1" t="str">
        <f>"VS15700000021"</f>
        <v>VS15700000021</v>
      </c>
      <c r="E1919" s="1" t="s">
        <v>17</v>
      </c>
      <c r="F1919" s="1">
        <v>3</v>
      </c>
      <c r="G1919" s="1">
        <v>7774</v>
      </c>
      <c r="H1919" s="1">
        <v>23322</v>
      </c>
      <c r="I1919" s="1">
        <v>0</v>
      </c>
      <c r="J1919" s="1">
        <v>3</v>
      </c>
      <c r="K1919" s="1">
        <v>0</v>
      </c>
    </row>
    <row r="1920" spans="1:11" x14ac:dyDescent="0.2">
      <c r="A1920" s="1" t="s">
        <v>1705</v>
      </c>
      <c r="B1920" s="1" t="s">
        <v>1826</v>
      </c>
      <c r="C1920" s="1" t="str">
        <f>"P4VS270700064"</f>
        <v>P4VS270700064</v>
      </c>
      <c r="D1920" s="1" t="str">
        <f>"P4VS270700064"</f>
        <v>P4VS270700064</v>
      </c>
      <c r="E1920" s="1" t="s">
        <v>17</v>
      </c>
      <c r="F1920" s="1">
        <v>1</v>
      </c>
      <c r="G1920" s="1">
        <v>23300</v>
      </c>
      <c r="H1920" s="1">
        <v>23300</v>
      </c>
      <c r="I1920" s="1">
        <v>0</v>
      </c>
      <c r="J1920" s="1">
        <v>1</v>
      </c>
      <c r="K1920" s="1">
        <v>0</v>
      </c>
    </row>
    <row r="1921" spans="1:11" x14ac:dyDescent="0.2">
      <c r="A1921" s="1" t="s">
        <v>1705</v>
      </c>
      <c r="B1921" s="1" t="s">
        <v>1826</v>
      </c>
      <c r="C1921" s="1" t="str">
        <f>"P4V5270700064"</f>
        <v>P4V5270700064</v>
      </c>
      <c r="D1921" s="1" t="str">
        <f>"P4V5270700064"</f>
        <v>P4V5270700064</v>
      </c>
      <c r="E1921" s="1" t="s">
        <v>17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</row>
    <row r="1922" spans="1:11" x14ac:dyDescent="0.2">
      <c r="A1922" s="1" t="s">
        <v>1705</v>
      </c>
      <c r="B1922" s="1" t="s">
        <v>1827</v>
      </c>
      <c r="C1922" s="1" t="str">
        <f>"66298855583789"</f>
        <v>66298855583789</v>
      </c>
      <c r="D1922" s="1" t="str">
        <f>"30T20SEV"</f>
        <v>30T20SEV</v>
      </c>
      <c r="E1922" s="1" t="s">
        <v>17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</row>
    <row r="1923" spans="1:11" x14ac:dyDescent="0.2">
      <c r="A1923" s="1" t="s">
        <v>1705</v>
      </c>
      <c r="B1923" s="1" t="s">
        <v>1828</v>
      </c>
      <c r="C1923" s="1" t="str">
        <f>"VS52700000110"</f>
        <v>VS52700000110</v>
      </c>
      <c r="D1923" s="1" t="str">
        <f>"VS52700000110"</f>
        <v>VS52700000110</v>
      </c>
      <c r="E1923" s="1" t="s">
        <v>17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</row>
    <row r="1924" spans="1:11" x14ac:dyDescent="0.2">
      <c r="A1924" s="1" t="s">
        <v>1705</v>
      </c>
      <c r="B1924" s="1" t="s">
        <v>1829</v>
      </c>
      <c r="C1924" s="1" t="str">
        <f>"DF005"</f>
        <v>DF005</v>
      </c>
      <c r="D1924" s="1" t="str">
        <f>"DF005"</f>
        <v>DF005</v>
      </c>
      <c r="E1924" s="1" t="s">
        <v>17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</row>
    <row r="1925" spans="1:11" x14ac:dyDescent="0.2">
      <c r="A1925" s="1" t="s">
        <v>1705</v>
      </c>
      <c r="B1925" s="1" t="s">
        <v>1829</v>
      </c>
      <c r="C1925" s="1" t="str">
        <f>"21C-W0001-00BR"</f>
        <v>21C-W0001-00BR</v>
      </c>
      <c r="D1925" s="1" t="str">
        <f>"21C-W0001-00BR"</f>
        <v>21C-W0001-00BR</v>
      </c>
      <c r="E1925" s="1" t="s">
        <v>17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</row>
    <row r="1926" spans="1:11" x14ac:dyDescent="0.2">
      <c r="A1926" s="1" t="s">
        <v>1705</v>
      </c>
      <c r="B1926" s="1" t="s">
        <v>1829</v>
      </c>
      <c r="C1926" s="1" t="str">
        <f>"VS99700000161"</f>
        <v>VS99700000161</v>
      </c>
      <c r="D1926" s="1" t="str">
        <f>"VS99700000161"</f>
        <v>VS99700000161</v>
      </c>
      <c r="E1926" s="1" t="s">
        <v>17</v>
      </c>
      <c r="F1926" s="1">
        <v>3</v>
      </c>
      <c r="G1926" s="1">
        <v>5498</v>
      </c>
      <c r="H1926" s="1">
        <v>16494</v>
      </c>
      <c r="I1926" s="1">
        <v>0</v>
      </c>
      <c r="J1926" s="1">
        <v>3</v>
      </c>
      <c r="K1926" s="1">
        <v>0</v>
      </c>
    </row>
    <row r="1927" spans="1:11" ht="30" x14ac:dyDescent="0.2">
      <c r="A1927" s="1" t="s">
        <v>1705</v>
      </c>
      <c r="B1927" s="1" t="s">
        <v>1830</v>
      </c>
      <c r="C1927" s="1" t="str">
        <f>"VS10700090180"</f>
        <v>VS10700090180</v>
      </c>
      <c r="D1927" s="1" t="str">
        <f>"VS10700090180"</f>
        <v>VS10700090180</v>
      </c>
      <c r="E1927" s="1" t="s">
        <v>17</v>
      </c>
      <c r="F1927" s="1">
        <v>10</v>
      </c>
      <c r="G1927" s="1">
        <v>6657</v>
      </c>
      <c r="H1927" s="1">
        <v>66570</v>
      </c>
      <c r="I1927" s="1">
        <v>0</v>
      </c>
      <c r="J1927" s="1">
        <v>10</v>
      </c>
      <c r="K1927" s="1">
        <v>0</v>
      </c>
    </row>
    <row r="1928" spans="1:11" x14ac:dyDescent="0.2">
      <c r="A1928" s="1" t="s">
        <v>1705</v>
      </c>
      <c r="B1928" s="1" t="s">
        <v>1831</v>
      </c>
      <c r="C1928" s="1" t="str">
        <f>"11394"</f>
        <v>11394</v>
      </c>
      <c r="D1928" s="1" t="str">
        <f>"11394"</f>
        <v>11394</v>
      </c>
      <c r="E1928" s="1" t="s">
        <v>17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</row>
    <row r="1929" spans="1:11" x14ac:dyDescent="0.2">
      <c r="A1929" s="1" t="s">
        <v>1705</v>
      </c>
      <c r="B1929" s="1" t="s">
        <v>1832</v>
      </c>
      <c r="C1929" s="1" t="str">
        <f>"66298855638970"</f>
        <v>66298855638970</v>
      </c>
      <c r="D1929" s="1" t="str">
        <f>"DF046"</f>
        <v>DF046</v>
      </c>
      <c r="E1929" s="1" t="s">
        <v>17</v>
      </c>
      <c r="F1929" s="1">
        <v>9</v>
      </c>
      <c r="G1929" s="1">
        <v>2205</v>
      </c>
      <c r="H1929" s="1">
        <v>19845</v>
      </c>
      <c r="I1929" s="1">
        <v>0</v>
      </c>
      <c r="J1929" s="1">
        <v>9</v>
      </c>
      <c r="K1929" s="1">
        <v>0</v>
      </c>
    </row>
    <row r="1930" spans="1:11" x14ac:dyDescent="0.2">
      <c r="A1930" s="1" t="s">
        <v>1705</v>
      </c>
      <c r="B1930" s="1" t="s">
        <v>1833</v>
      </c>
      <c r="C1930" s="1" t="str">
        <f>"66298855678670"</f>
        <v>66298855678670</v>
      </c>
      <c r="D1930" s="1" t="str">
        <f>"228031"</f>
        <v>228031</v>
      </c>
      <c r="E1930" s="1" t="s">
        <v>17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</row>
    <row r="1931" spans="1:11" x14ac:dyDescent="0.2">
      <c r="A1931" s="1" t="s">
        <v>1705</v>
      </c>
      <c r="B1931" s="1" t="s">
        <v>1833</v>
      </c>
      <c r="C1931" s="1" t="str">
        <f>"VS15700000015"</f>
        <v>VS15700000015</v>
      </c>
      <c r="D1931" s="1" t="str">
        <f>"VS15700000015"</f>
        <v>VS15700000015</v>
      </c>
      <c r="E1931" s="1" t="s">
        <v>17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</row>
    <row r="1932" spans="1:11" x14ac:dyDescent="0.2">
      <c r="A1932" s="1" t="s">
        <v>1705</v>
      </c>
      <c r="B1932" s="1" t="s">
        <v>1834</v>
      </c>
      <c r="C1932" s="1" t="str">
        <f>"66298855727803"</f>
        <v>66298855727803</v>
      </c>
      <c r="D1932" s="1" t="str">
        <f>"25T42SEV"</f>
        <v>25T42SEV</v>
      </c>
      <c r="E1932" s="1" t="s">
        <v>17</v>
      </c>
      <c r="F1932" s="1">
        <v>1</v>
      </c>
      <c r="G1932" s="1">
        <v>5017</v>
      </c>
      <c r="H1932" s="1">
        <v>5017</v>
      </c>
      <c r="I1932" s="1">
        <v>0</v>
      </c>
      <c r="J1932" s="1">
        <v>1</v>
      </c>
      <c r="K1932" s="1">
        <v>0</v>
      </c>
    </row>
    <row r="1933" spans="1:11" ht="30" x14ac:dyDescent="0.2">
      <c r="A1933" s="1" t="s">
        <v>1705</v>
      </c>
      <c r="B1933" s="1" t="s">
        <v>1835</v>
      </c>
      <c r="C1933" s="1" t="str">
        <f>"66298855780019"</f>
        <v>66298855780019</v>
      </c>
      <c r="D1933" s="1" t="str">
        <f>"30T11SEV"</f>
        <v>30T11SEV</v>
      </c>
      <c r="E1933" s="1" t="s">
        <v>17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</row>
    <row r="1934" spans="1:11" x14ac:dyDescent="0.2">
      <c r="A1934" s="1" t="s">
        <v>1705</v>
      </c>
      <c r="B1934" s="1" t="s">
        <v>1836</v>
      </c>
      <c r="C1934" s="1" t="str">
        <f>"66298855820402"</f>
        <v>66298855820402</v>
      </c>
      <c r="D1934" s="1" t="str">
        <f>"28T08SEV"</f>
        <v>28T08SEV</v>
      </c>
      <c r="E1934" s="1" t="s">
        <v>17</v>
      </c>
      <c r="F1934" s="1">
        <v>1</v>
      </c>
      <c r="G1934" s="1">
        <v>5521</v>
      </c>
      <c r="H1934" s="1">
        <v>5521</v>
      </c>
      <c r="I1934" s="1">
        <v>0</v>
      </c>
      <c r="J1934" s="1">
        <v>1</v>
      </c>
      <c r="K1934" s="1">
        <v>0</v>
      </c>
    </row>
    <row r="1935" spans="1:11" ht="30" x14ac:dyDescent="0.2">
      <c r="A1935" s="1" t="s">
        <v>1705</v>
      </c>
      <c r="B1935" s="1" t="s">
        <v>1837</v>
      </c>
      <c r="C1935" s="1" t="str">
        <f>"66298855860253"</f>
        <v>66298855860253</v>
      </c>
      <c r="D1935" s="1" t="str">
        <f>"VS99850006150BR"</f>
        <v>VS99850006150BR</v>
      </c>
      <c r="E1935" s="1" t="s">
        <v>17</v>
      </c>
      <c r="F1935" s="1">
        <v>1</v>
      </c>
      <c r="G1935" s="1">
        <v>6855</v>
      </c>
      <c r="H1935" s="1">
        <v>6855</v>
      </c>
      <c r="I1935" s="1">
        <v>0</v>
      </c>
      <c r="J1935" s="1">
        <v>1</v>
      </c>
      <c r="K1935" s="1">
        <v>0</v>
      </c>
    </row>
    <row r="1936" spans="1:11" x14ac:dyDescent="0.2">
      <c r="A1936" s="1" t="s">
        <v>1705</v>
      </c>
      <c r="B1936" s="1" t="s">
        <v>1838</v>
      </c>
      <c r="C1936" s="1" t="str">
        <f>"66298855902408"</f>
        <v>66298855902408</v>
      </c>
      <c r="D1936" s="1" t="str">
        <f>"DF042"</f>
        <v>DF042</v>
      </c>
      <c r="E1936" s="1" t="s">
        <v>17</v>
      </c>
      <c r="F1936" s="1">
        <v>3</v>
      </c>
      <c r="G1936" s="1">
        <v>2025</v>
      </c>
      <c r="H1936" s="1">
        <v>6075</v>
      </c>
      <c r="I1936" s="1">
        <v>0</v>
      </c>
      <c r="J1936" s="1">
        <v>3</v>
      </c>
      <c r="K1936" s="1">
        <v>0</v>
      </c>
    </row>
    <row r="1937" spans="1:11" x14ac:dyDescent="0.2">
      <c r="A1937" s="1" t="s">
        <v>1705</v>
      </c>
      <c r="B1937" s="1" t="s">
        <v>1839</v>
      </c>
      <c r="C1937" s="1" t="str">
        <f>"66298855943668"</f>
        <v>66298855943668</v>
      </c>
      <c r="D1937" s="1" t="str">
        <f>"23T28SEV"</f>
        <v>23T28SEV</v>
      </c>
      <c r="E1937" s="1" t="s">
        <v>17</v>
      </c>
      <c r="F1937" s="1">
        <v>2</v>
      </c>
      <c r="G1937" s="1">
        <v>6529</v>
      </c>
      <c r="H1937" s="1">
        <v>13058</v>
      </c>
      <c r="I1937" s="1">
        <v>0</v>
      </c>
      <c r="J1937" s="1">
        <v>2</v>
      </c>
      <c r="K1937" s="1">
        <v>0</v>
      </c>
    </row>
    <row r="1938" spans="1:11" x14ac:dyDescent="0.2">
      <c r="A1938" s="1" t="s">
        <v>1705</v>
      </c>
      <c r="B1938" s="1" t="s">
        <v>1840</v>
      </c>
      <c r="C1938" s="1" t="str">
        <f>"66298855981424"</f>
        <v>66298855981424</v>
      </c>
      <c r="D1938" s="1" t="str">
        <f>"23T31SEV"</f>
        <v>23T31SEV</v>
      </c>
      <c r="E1938" s="1" t="s">
        <v>17</v>
      </c>
      <c r="F1938" s="1">
        <v>1</v>
      </c>
      <c r="G1938" s="1">
        <v>7538</v>
      </c>
      <c r="H1938" s="1">
        <v>7538</v>
      </c>
      <c r="I1938" s="1">
        <v>0</v>
      </c>
      <c r="J1938" s="1">
        <v>1</v>
      </c>
      <c r="K1938" s="1">
        <v>0</v>
      </c>
    </row>
    <row r="1939" spans="1:11" x14ac:dyDescent="0.2">
      <c r="A1939" s="1" t="s">
        <v>1705</v>
      </c>
      <c r="B1939" s="1" t="s">
        <v>1841</v>
      </c>
      <c r="C1939" s="1" t="str">
        <f>"66298856027308"</f>
        <v>66298856027308</v>
      </c>
      <c r="D1939" s="1" t="str">
        <f>"23T32SEV"</f>
        <v>23T32SEV</v>
      </c>
      <c r="E1939" s="1" t="s">
        <v>17</v>
      </c>
      <c r="F1939" s="1">
        <v>1</v>
      </c>
      <c r="G1939" s="1">
        <v>5521</v>
      </c>
      <c r="H1939" s="1">
        <v>5521</v>
      </c>
      <c r="I1939" s="1">
        <v>0</v>
      </c>
      <c r="J1939" s="1">
        <v>1</v>
      </c>
      <c r="K1939" s="1">
        <v>0</v>
      </c>
    </row>
    <row r="1940" spans="1:11" x14ac:dyDescent="0.2">
      <c r="A1940" s="1" t="s">
        <v>1705</v>
      </c>
      <c r="B1940" s="1" t="s">
        <v>1842</v>
      </c>
      <c r="C1940" s="1" t="str">
        <f>"66298856069816"</f>
        <v>66298856069816</v>
      </c>
      <c r="D1940" s="1" t="str">
        <f>"34T105SEV"</f>
        <v>34T105SEV</v>
      </c>
      <c r="E1940" s="1" t="s">
        <v>17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</row>
    <row r="1941" spans="1:11" x14ac:dyDescent="0.2">
      <c r="A1941" s="1" t="s">
        <v>1705</v>
      </c>
      <c r="B1941" s="1" t="s">
        <v>1843</v>
      </c>
      <c r="C1941" s="1" t="str">
        <f>"VS05700000140"</f>
        <v>VS05700000140</v>
      </c>
      <c r="D1941" s="1" t="str">
        <f>"VS05700000140"</f>
        <v>VS05700000140</v>
      </c>
      <c r="E1941" s="1" t="s">
        <v>17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</row>
    <row r="1942" spans="1:11" x14ac:dyDescent="0.2">
      <c r="A1942" s="1" t="s">
        <v>1705</v>
      </c>
      <c r="B1942" s="1" t="s">
        <v>1844</v>
      </c>
      <c r="C1942" s="1" t="str">
        <f>"66298856112260"</f>
        <v>66298856112260</v>
      </c>
      <c r="D1942" s="1" t="str">
        <f>"33T21SEV"</f>
        <v>33T21SEV</v>
      </c>
      <c r="E1942" s="1" t="s">
        <v>17</v>
      </c>
      <c r="F1942" s="1">
        <v>16</v>
      </c>
      <c r="G1942" s="1">
        <v>7538</v>
      </c>
      <c r="H1942" s="1">
        <v>120608</v>
      </c>
      <c r="I1942" s="1">
        <v>0</v>
      </c>
      <c r="J1942" s="1">
        <v>16</v>
      </c>
      <c r="K1942" s="1">
        <v>0</v>
      </c>
    </row>
    <row r="1943" spans="1:11" x14ac:dyDescent="0.2">
      <c r="A1943" s="1" t="s">
        <v>1705</v>
      </c>
      <c r="B1943" s="1" t="s">
        <v>1845</v>
      </c>
      <c r="C1943" s="1" t="str">
        <f>"27T64SE"</f>
        <v>27T64SE</v>
      </c>
      <c r="D1943" s="1" t="str">
        <f>"27T64SE"</f>
        <v>27T64SE</v>
      </c>
      <c r="E1943" s="1" t="s">
        <v>17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</row>
    <row r="1944" spans="1:11" x14ac:dyDescent="0.2">
      <c r="A1944" s="1" t="s">
        <v>1705</v>
      </c>
      <c r="B1944" s="1" t="s">
        <v>1846</v>
      </c>
      <c r="C1944" s="1" t="str">
        <f>"66298856164399"</f>
        <v>66298856164399</v>
      </c>
      <c r="D1944" s="1" t="str">
        <f>"27T48SEV"</f>
        <v>27T48SEV</v>
      </c>
      <c r="E1944" s="1" t="s">
        <v>17</v>
      </c>
      <c r="F1944" s="1">
        <v>5</v>
      </c>
      <c r="G1944" s="1">
        <v>7538</v>
      </c>
      <c r="H1944" s="1">
        <v>37690</v>
      </c>
      <c r="I1944" s="1">
        <v>0</v>
      </c>
      <c r="J1944" s="1">
        <v>5</v>
      </c>
      <c r="K1944" s="1">
        <v>0</v>
      </c>
    </row>
    <row r="1945" spans="1:11" x14ac:dyDescent="0.2">
      <c r="A1945" s="1" t="s">
        <v>1705</v>
      </c>
      <c r="B1945" s="1" t="s">
        <v>1846</v>
      </c>
      <c r="C1945" s="1" t="str">
        <f>"66298856211545"</f>
        <v>66298856211545</v>
      </c>
      <c r="D1945" s="1" t="str">
        <f>"DF007"</f>
        <v>DF007</v>
      </c>
      <c r="E1945" s="1" t="s">
        <v>17</v>
      </c>
      <c r="F1945" s="1">
        <v>5</v>
      </c>
      <c r="G1945" s="1">
        <v>2007</v>
      </c>
      <c r="H1945" s="1">
        <v>10035</v>
      </c>
      <c r="I1945" s="1">
        <v>0</v>
      </c>
      <c r="J1945" s="1">
        <v>5</v>
      </c>
      <c r="K1945" s="1">
        <v>0</v>
      </c>
    </row>
    <row r="1946" spans="1:11" ht="30" x14ac:dyDescent="0.2">
      <c r="A1946" s="1" t="s">
        <v>1705</v>
      </c>
      <c r="B1946" s="1" t="s">
        <v>1847</v>
      </c>
      <c r="C1946" s="1" t="str">
        <f>"66298856262242"</f>
        <v>66298856262242</v>
      </c>
      <c r="D1946" s="1" t="str">
        <f>"VS51700000014"</f>
        <v>VS51700000014</v>
      </c>
      <c r="E1946" s="1" t="s">
        <v>17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</row>
    <row r="1947" spans="1:11" x14ac:dyDescent="0.2">
      <c r="A1947" s="1" t="s">
        <v>1705</v>
      </c>
      <c r="B1947" s="1" t="s">
        <v>1848</v>
      </c>
      <c r="C1947" s="1" t="str">
        <f>"66298856307854"</f>
        <v>66298856307854</v>
      </c>
      <c r="D1947" s="1" t="str">
        <f>"DF030"</f>
        <v>DF030</v>
      </c>
      <c r="E1947" s="1" t="s">
        <v>17</v>
      </c>
      <c r="F1947" s="1">
        <v>4</v>
      </c>
      <c r="G1947" s="1">
        <v>2241</v>
      </c>
      <c r="H1947" s="1">
        <v>8964</v>
      </c>
      <c r="I1947" s="1">
        <v>0</v>
      </c>
      <c r="J1947" s="1">
        <v>4</v>
      </c>
      <c r="K1947" s="1">
        <v>0</v>
      </c>
    </row>
    <row r="1948" spans="1:11" x14ac:dyDescent="0.2">
      <c r="A1948" s="1" t="s">
        <v>1705</v>
      </c>
      <c r="B1948" s="1" t="s">
        <v>1848</v>
      </c>
      <c r="C1948" s="1" t="str">
        <f>"P4VS034700015"</f>
        <v>P4VS034700015</v>
      </c>
      <c r="D1948" s="1" t="str">
        <f>"P4VS034700015"</f>
        <v>P4VS034700015</v>
      </c>
      <c r="E1948" s="1" t="s">
        <v>17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</row>
    <row r="1949" spans="1:11" x14ac:dyDescent="0.2">
      <c r="A1949" s="1" t="s">
        <v>1705</v>
      </c>
      <c r="B1949" s="1" t="s">
        <v>1849</v>
      </c>
      <c r="C1949" s="1" t="str">
        <f>"66298856351813"</f>
        <v>66298856351813</v>
      </c>
      <c r="D1949" s="1" t="str">
        <f>"DF008"</f>
        <v>DF008</v>
      </c>
      <c r="E1949" s="1" t="s">
        <v>17</v>
      </c>
      <c r="F1949" s="1">
        <v>1</v>
      </c>
      <c r="G1949" s="1">
        <v>2186</v>
      </c>
      <c r="H1949" s="1">
        <v>2186</v>
      </c>
      <c r="I1949" s="1">
        <v>0</v>
      </c>
      <c r="J1949" s="1">
        <v>1</v>
      </c>
      <c r="K1949" s="1">
        <v>0</v>
      </c>
    </row>
    <row r="1950" spans="1:11" x14ac:dyDescent="0.2">
      <c r="A1950" s="1" t="s">
        <v>1705</v>
      </c>
      <c r="B1950" s="1" t="s">
        <v>1850</v>
      </c>
      <c r="C1950" s="1" t="str">
        <f>"66298856391251"</f>
        <v>66298856391251</v>
      </c>
      <c r="D1950" s="1" t="str">
        <f>"DF031"</f>
        <v>DF031</v>
      </c>
      <c r="E1950" s="1" t="s">
        <v>17</v>
      </c>
      <c r="F1950" s="1">
        <v>4</v>
      </c>
      <c r="G1950" s="1">
        <v>2466</v>
      </c>
      <c r="H1950" s="1">
        <v>9864</v>
      </c>
      <c r="I1950" s="1">
        <v>0</v>
      </c>
      <c r="J1950" s="1">
        <v>4</v>
      </c>
      <c r="K1950" s="1">
        <v>0</v>
      </c>
    </row>
    <row r="1951" spans="1:11" ht="30" x14ac:dyDescent="0.2">
      <c r="A1951" s="1" t="s">
        <v>1705</v>
      </c>
      <c r="B1951" s="1" t="s">
        <v>1851</v>
      </c>
      <c r="C1951" s="1" t="str">
        <f>"DF038"</f>
        <v>DF038</v>
      </c>
      <c r="D1951" s="1" t="str">
        <f>"DF038"</f>
        <v>DF038</v>
      </c>
      <c r="E1951" s="1" t="s">
        <v>17</v>
      </c>
      <c r="F1951" s="1">
        <v>3</v>
      </c>
      <c r="G1951" s="1">
        <v>2151</v>
      </c>
      <c r="H1951" s="1">
        <v>6453</v>
      </c>
      <c r="I1951" s="1">
        <v>0</v>
      </c>
      <c r="J1951" s="1">
        <v>3</v>
      </c>
      <c r="K1951" s="1">
        <v>0</v>
      </c>
    </row>
    <row r="1952" spans="1:11" ht="30" x14ac:dyDescent="0.2">
      <c r="A1952" s="1" t="s">
        <v>1705</v>
      </c>
      <c r="B1952" s="1" t="s">
        <v>1852</v>
      </c>
      <c r="C1952" s="1" t="str">
        <f>"DF040"</f>
        <v>DF040</v>
      </c>
      <c r="D1952" s="1" t="str">
        <f>"DF040"</f>
        <v>DF040</v>
      </c>
      <c r="E1952" s="1" t="s">
        <v>17</v>
      </c>
      <c r="F1952" s="1">
        <v>6</v>
      </c>
      <c r="G1952" s="1">
        <v>2205</v>
      </c>
      <c r="H1952" s="1">
        <v>13230</v>
      </c>
      <c r="I1952" s="1">
        <v>0</v>
      </c>
      <c r="J1952" s="1">
        <v>6</v>
      </c>
      <c r="K1952" s="1">
        <v>0</v>
      </c>
    </row>
    <row r="1953" spans="1:11" x14ac:dyDescent="0.2">
      <c r="A1953" s="1" t="s">
        <v>1705</v>
      </c>
      <c r="B1953" s="1" t="s">
        <v>1853</v>
      </c>
      <c r="C1953" s="1" t="str">
        <f>"VS99850006125"</f>
        <v>VS99850006125</v>
      </c>
      <c r="D1953" s="1" t="str">
        <f>"VS99850006125"</f>
        <v>VS99850006125</v>
      </c>
      <c r="E1953" s="1" t="s">
        <v>17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</row>
    <row r="1954" spans="1:11" x14ac:dyDescent="0.2">
      <c r="A1954" s="1" t="s">
        <v>1705</v>
      </c>
      <c r="B1954" s="1" t="s">
        <v>1854</v>
      </c>
      <c r="C1954" s="1" t="str">
        <f>"H1039"</f>
        <v>H1039</v>
      </c>
      <c r="D1954" s="1" t="str">
        <f>"H1039"</f>
        <v>H1039</v>
      </c>
      <c r="E1954" s="1" t="s">
        <v>17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</row>
    <row r="1955" spans="1:11" x14ac:dyDescent="0.2">
      <c r="A1955" s="1" t="s">
        <v>1705</v>
      </c>
      <c r="B1955" s="1" t="s">
        <v>1854</v>
      </c>
      <c r="C1955" s="1" t="str">
        <f>"H1039B"</f>
        <v>H1039B</v>
      </c>
      <c r="D1955" s="1" t="str">
        <f>"H1039B"</f>
        <v>H1039B</v>
      </c>
      <c r="E1955" s="1" t="s">
        <v>17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</row>
    <row r="1956" spans="1:11" x14ac:dyDescent="0.2">
      <c r="A1956" s="1" t="s">
        <v>1705</v>
      </c>
      <c r="B1956" s="1" t="s">
        <v>1855</v>
      </c>
      <c r="C1956" s="1" t="str">
        <f>"66298856435245"</f>
        <v>66298856435245</v>
      </c>
      <c r="D1956" s="1" t="str">
        <f>"26T43CSV"</f>
        <v>26T43CSV</v>
      </c>
      <c r="E1956" s="1" t="s">
        <v>17</v>
      </c>
      <c r="F1956" s="1">
        <v>1</v>
      </c>
      <c r="G1956" s="1">
        <v>7538</v>
      </c>
      <c r="H1956" s="1">
        <v>7538</v>
      </c>
      <c r="I1956" s="1">
        <v>0</v>
      </c>
      <c r="J1956" s="1">
        <v>1</v>
      </c>
      <c r="K1956" s="1">
        <v>0</v>
      </c>
    </row>
    <row r="1957" spans="1:11" x14ac:dyDescent="0.2">
      <c r="A1957" s="1" t="s">
        <v>1705</v>
      </c>
      <c r="B1957" s="1" t="s">
        <v>1855</v>
      </c>
      <c r="C1957" s="1" t="str">
        <f>"66298856476201"</f>
        <v>66298856476201</v>
      </c>
      <c r="D1957" s="1" t="str">
        <f>"DF034"</f>
        <v>DF034</v>
      </c>
      <c r="E1957" s="1" t="s">
        <v>17</v>
      </c>
      <c r="F1957" s="1">
        <v>1</v>
      </c>
      <c r="G1957" s="1">
        <v>2279</v>
      </c>
      <c r="H1957" s="1">
        <v>2279</v>
      </c>
      <c r="I1957" s="1">
        <v>0</v>
      </c>
      <c r="J1957" s="1">
        <v>1</v>
      </c>
      <c r="K1957" s="1">
        <v>0</v>
      </c>
    </row>
    <row r="1958" spans="1:11" x14ac:dyDescent="0.2">
      <c r="A1958" s="1" t="s">
        <v>1705</v>
      </c>
      <c r="B1958" s="1" t="s">
        <v>1856</v>
      </c>
      <c r="C1958" s="1" t="str">
        <f>"66298856523499"</f>
        <v>66298856523499</v>
      </c>
      <c r="D1958" s="1" t="str">
        <f>"DF045"</f>
        <v>DF045</v>
      </c>
      <c r="E1958" s="1" t="s">
        <v>17</v>
      </c>
      <c r="F1958" s="1">
        <v>3</v>
      </c>
      <c r="G1958" s="1">
        <v>3402</v>
      </c>
      <c r="H1958" s="1">
        <v>10206</v>
      </c>
      <c r="I1958" s="1">
        <v>0</v>
      </c>
      <c r="J1958" s="1">
        <v>3</v>
      </c>
      <c r="K1958" s="1">
        <v>0</v>
      </c>
    </row>
    <row r="1959" spans="1:11" x14ac:dyDescent="0.2">
      <c r="A1959" s="1" t="s">
        <v>1705</v>
      </c>
      <c r="B1959" s="1" t="s">
        <v>1857</v>
      </c>
      <c r="C1959" s="1" t="str">
        <f>"66298856571785"</f>
        <v>66298856571785</v>
      </c>
      <c r="D1959" s="1" t="str">
        <f>"26T09CSV"</f>
        <v>26T09CSV</v>
      </c>
      <c r="E1959" s="1" t="s">
        <v>17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</row>
    <row r="1960" spans="1:11" x14ac:dyDescent="0.2">
      <c r="A1960" s="1" t="s">
        <v>1705</v>
      </c>
      <c r="B1960" s="1" t="s">
        <v>1858</v>
      </c>
      <c r="C1960" s="1" t="str">
        <f>"66298856620185"</f>
        <v>66298856620185</v>
      </c>
      <c r="D1960" s="1" t="str">
        <f>"26T56CSV"</f>
        <v>26T56CSV</v>
      </c>
      <c r="E1960" s="1" t="s">
        <v>17</v>
      </c>
      <c r="F1960" s="1">
        <v>1</v>
      </c>
      <c r="G1960" s="1">
        <v>7538</v>
      </c>
      <c r="H1960" s="1">
        <v>7538</v>
      </c>
      <c r="I1960" s="1">
        <v>0</v>
      </c>
      <c r="J1960" s="1">
        <v>1</v>
      </c>
      <c r="K1960" s="1">
        <v>0</v>
      </c>
    </row>
    <row r="1961" spans="1:11" x14ac:dyDescent="0.2">
      <c r="A1961" s="1" t="s">
        <v>1705</v>
      </c>
      <c r="B1961" s="1" t="s">
        <v>1858</v>
      </c>
      <c r="C1961" s="1" t="str">
        <f>"66298856661585"</f>
        <v>66298856661585</v>
      </c>
      <c r="D1961" s="1" t="str">
        <f>"VS05700000013"</f>
        <v>VS05700000013</v>
      </c>
      <c r="E1961" s="1" t="s">
        <v>17</v>
      </c>
      <c r="F1961" s="1">
        <v>5</v>
      </c>
      <c r="G1961" s="1">
        <v>4228</v>
      </c>
      <c r="H1961" s="1">
        <v>21140</v>
      </c>
      <c r="I1961" s="1">
        <v>0</v>
      </c>
      <c r="J1961" s="1">
        <v>5</v>
      </c>
      <c r="K1961" s="1">
        <v>0</v>
      </c>
    </row>
    <row r="1962" spans="1:11" x14ac:dyDescent="0.2">
      <c r="A1962" s="1" t="s">
        <v>1705</v>
      </c>
      <c r="B1962" s="1" t="s">
        <v>1859</v>
      </c>
      <c r="C1962" s="1" t="str">
        <f>"66298856705082"</f>
        <v>66298856705082</v>
      </c>
      <c r="D1962" s="1" t="str">
        <f>"26T73SEV"</f>
        <v>26T73SEV</v>
      </c>
      <c r="E1962" s="1" t="s">
        <v>17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</row>
    <row r="1963" spans="1:11" x14ac:dyDescent="0.2">
      <c r="A1963" s="1" t="s">
        <v>1705</v>
      </c>
      <c r="B1963" s="1" t="s">
        <v>1860</v>
      </c>
      <c r="C1963" s="1" t="str">
        <f>"66298856743027"</f>
        <v>66298856743027</v>
      </c>
      <c r="D1963" s="1" t="str">
        <f>"26T26CSV"</f>
        <v>26T26CSV</v>
      </c>
      <c r="E1963" s="1" t="s">
        <v>17</v>
      </c>
      <c r="F1963" s="1">
        <v>1</v>
      </c>
      <c r="G1963" s="1">
        <v>3549</v>
      </c>
      <c r="H1963" s="1">
        <v>3549</v>
      </c>
      <c r="I1963" s="1">
        <v>0</v>
      </c>
      <c r="J1963" s="1">
        <v>1</v>
      </c>
      <c r="K1963" s="1">
        <v>0</v>
      </c>
    </row>
    <row r="1964" spans="1:11" ht="30" x14ac:dyDescent="0.2">
      <c r="A1964" s="1" t="s">
        <v>1705</v>
      </c>
      <c r="B1964" s="1" t="s">
        <v>1861</v>
      </c>
      <c r="C1964" s="1" t="str">
        <f>"P4V0210700223"</f>
        <v>P4V0210700223</v>
      </c>
      <c r="D1964" s="1" t="str">
        <f>"P4V0210700223"</f>
        <v>P4V0210700223</v>
      </c>
      <c r="E1964" s="1" t="s">
        <v>17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</row>
    <row r="1965" spans="1:11" x14ac:dyDescent="0.2">
      <c r="A1965" s="1" t="s">
        <v>1705</v>
      </c>
      <c r="B1965" s="1" t="s">
        <v>1862</v>
      </c>
      <c r="C1965" s="1" t="str">
        <f>"66298856781394"</f>
        <v>66298856781394</v>
      </c>
      <c r="D1965" s="1" t="str">
        <f>"26T72SEV"</f>
        <v>26T72SEV</v>
      </c>
      <c r="E1965" s="1" t="s">
        <v>17</v>
      </c>
      <c r="F1965" s="1">
        <v>8</v>
      </c>
      <c r="G1965" s="1">
        <v>6025</v>
      </c>
      <c r="H1965" s="1">
        <v>48200</v>
      </c>
      <c r="I1965" s="1">
        <v>0</v>
      </c>
      <c r="J1965" s="1">
        <v>8</v>
      </c>
      <c r="K1965" s="1">
        <v>0</v>
      </c>
    </row>
    <row r="1966" spans="1:11" x14ac:dyDescent="0.2">
      <c r="A1966" s="1" t="s">
        <v>1705</v>
      </c>
      <c r="B1966" s="1" t="s">
        <v>1862</v>
      </c>
      <c r="C1966" s="1" t="str">
        <f>"66298856822890"</f>
        <v>66298856822890</v>
      </c>
      <c r="D1966" s="1" t="str">
        <f>"DF037"</f>
        <v>DF037</v>
      </c>
      <c r="E1966" s="1" t="s">
        <v>17</v>
      </c>
      <c r="F1966" s="1">
        <v>4</v>
      </c>
      <c r="G1966" s="1">
        <v>4399</v>
      </c>
      <c r="H1966" s="1">
        <v>17596</v>
      </c>
      <c r="I1966" s="1">
        <v>0</v>
      </c>
      <c r="J1966" s="1">
        <v>4</v>
      </c>
      <c r="K1966" s="1">
        <v>0</v>
      </c>
    </row>
    <row r="1967" spans="1:11" x14ac:dyDescent="0.2">
      <c r="A1967" s="1" t="s">
        <v>1705</v>
      </c>
      <c r="B1967" s="1" t="s">
        <v>1862</v>
      </c>
      <c r="C1967" s="1" t="str">
        <f>"VS05700000110"</f>
        <v>VS05700000110</v>
      </c>
      <c r="D1967" s="1" t="str">
        <f>"VS05700000110"</f>
        <v>VS05700000110</v>
      </c>
      <c r="E1967" s="1" t="s">
        <v>17</v>
      </c>
      <c r="F1967" s="1">
        <v>5</v>
      </c>
      <c r="G1967" s="1">
        <v>5737</v>
      </c>
      <c r="H1967" s="1">
        <v>28685</v>
      </c>
      <c r="I1967" s="1">
        <v>0</v>
      </c>
      <c r="J1967" s="1">
        <v>5</v>
      </c>
      <c r="K1967" s="1">
        <v>0</v>
      </c>
    </row>
    <row r="1968" spans="1:11" x14ac:dyDescent="0.2">
      <c r="A1968" s="1" t="s">
        <v>1705</v>
      </c>
      <c r="B1968" s="1" t="s">
        <v>1863</v>
      </c>
      <c r="C1968" s="1" t="str">
        <f>"66298856864001"</f>
        <v>66298856864001</v>
      </c>
      <c r="D1968" s="1" t="str">
        <f>"DF050"</f>
        <v>DF050</v>
      </c>
      <c r="E1968" s="1" t="s">
        <v>17</v>
      </c>
      <c r="F1968" s="1">
        <v>2</v>
      </c>
      <c r="G1968" s="1">
        <v>3915</v>
      </c>
      <c r="H1968" s="1">
        <v>7830</v>
      </c>
      <c r="I1968" s="1">
        <v>0</v>
      </c>
      <c r="J1968" s="1">
        <v>2</v>
      </c>
      <c r="K1968" s="1">
        <v>0</v>
      </c>
    </row>
    <row r="1969" spans="1:11" x14ac:dyDescent="0.2">
      <c r="A1969" s="1" t="s">
        <v>1705</v>
      </c>
      <c r="B1969" s="1" t="s">
        <v>1864</v>
      </c>
      <c r="C1969" s="1" t="str">
        <f>"66298856901975"</f>
        <v>66298856901975</v>
      </c>
      <c r="D1969" s="1" t="str">
        <f>"24T41SEV"</f>
        <v>24T41SEV</v>
      </c>
      <c r="E1969" s="1" t="s">
        <v>17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</row>
    <row r="1970" spans="1:11" x14ac:dyDescent="0.2">
      <c r="A1970" s="1" t="s">
        <v>1705</v>
      </c>
      <c r="B1970" s="1" t="s">
        <v>1865</v>
      </c>
      <c r="C1970" s="1" t="str">
        <f>"66298856940942"</f>
        <v>66298856940942</v>
      </c>
      <c r="D1970" s="1" t="str">
        <f>"24T32SEV"</f>
        <v>24T32SEV</v>
      </c>
      <c r="E1970" s="1" t="s">
        <v>17</v>
      </c>
      <c r="F1970" s="1">
        <v>1</v>
      </c>
      <c r="G1970" s="1">
        <v>2551</v>
      </c>
      <c r="H1970" s="1">
        <v>2551</v>
      </c>
      <c r="I1970" s="1">
        <v>0</v>
      </c>
      <c r="J1970" s="1">
        <v>1</v>
      </c>
      <c r="K1970" s="1">
        <v>0</v>
      </c>
    </row>
    <row r="1971" spans="1:11" x14ac:dyDescent="0.2">
      <c r="A1971" s="1" t="s">
        <v>1705</v>
      </c>
      <c r="B1971" s="1" t="s">
        <v>1865</v>
      </c>
      <c r="C1971" s="1" t="str">
        <f>"66298856946436"</f>
        <v>66298856946436</v>
      </c>
      <c r="D1971" s="1" t="str">
        <f>"DF047"</f>
        <v>DF047</v>
      </c>
      <c r="E1971" s="1" t="s">
        <v>17</v>
      </c>
      <c r="F1971" s="1">
        <v>2</v>
      </c>
      <c r="G1971" s="1">
        <v>2115</v>
      </c>
      <c r="H1971" s="1">
        <v>4230</v>
      </c>
      <c r="I1971" s="1">
        <v>0</v>
      </c>
      <c r="J1971" s="1">
        <v>2</v>
      </c>
      <c r="K1971" s="1">
        <v>0</v>
      </c>
    </row>
    <row r="1972" spans="1:11" x14ac:dyDescent="0.2">
      <c r="A1972" s="1" t="s">
        <v>1705</v>
      </c>
      <c r="B1972" s="1" t="s">
        <v>1866</v>
      </c>
      <c r="C1972" s="1" t="str">
        <f>"VS10700000830"</f>
        <v>VS10700000830</v>
      </c>
      <c r="D1972" s="1" t="str">
        <f>"VS10700000830"</f>
        <v>VS10700000830</v>
      </c>
      <c r="E1972" s="1" t="s">
        <v>17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</row>
    <row r="1973" spans="1:11" ht="30" x14ac:dyDescent="0.2">
      <c r="A1973" s="1" t="s">
        <v>1705</v>
      </c>
      <c r="B1973" s="1" t="s">
        <v>1867</v>
      </c>
      <c r="C1973" s="1" t="str">
        <f>"VS10700000660"</f>
        <v>VS10700000660</v>
      </c>
      <c r="D1973" s="1" t="str">
        <f>"VS10700000660"</f>
        <v>VS10700000660</v>
      </c>
      <c r="E1973" s="1" t="s">
        <v>17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</row>
    <row r="1974" spans="1:11" x14ac:dyDescent="0.2">
      <c r="A1974" s="1" t="s">
        <v>1351</v>
      </c>
      <c r="B1974" s="1" t="s">
        <v>1868</v>
      </c>
      <c r="C1974" s="1" t="str">
        <f>"66298857004120"</f>
        <v>66298857004120</v>
      </c>
      <c r="D1974" s="1" t="str">
        <f>"TA087"</f>
        <v>TA087</v>
      </c>
      <c r="E1974" s="1" t="s">
        <v>17</v>
      </c>
      <c r="F1974" s="1">
        <v>1</v>
      </c>
      <c r="G1974" s="1">
        <v>22302</v>
      </c>
      <c r="H1974" s="1">
        <v>22302</v>
      </c>
      <c r="I1974" s="1">
        <v>0</v>
      </c>
      <c r="J1974" s="1">
        <v>1</v>
      </c>
      <c r="K1974" s="1">
        <v>0</v>
      </c>
    </row>
    <row r="1975" spans="1:11" x14ac:dyDescent="0.2">
      <c r="A1975" s="1" t="s">
        <v>1351</v>
      </c>
      <c r="B1975" s="1" t="s">
        <v>1869</v>
      </c>
      <c r="C1975" s="1" t="str">
        <f>"66298857044840"</f>
        <v>66298857044840</v>
      </c>
      <c r="D1975" s="1" t="str">
        <f>"TA095"</f>
        <v>TA095</v>
      </c>
      <c r="E1975" s="1" t="s">
        <v>17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</row>
    <row r="1976" spans="1:11" x14ac:dyDescent="0.2">
      <c r="A1976" s="1" t="s">
        <v>1351</v>
      </c>
      <c r="B1976" s="1" t="s">
        <v>1870</v>
      </c>
      <c r="C1976" s="1" t="str">
        <f>"66298857090307"</f>
        <v>66298857090307</v>
      </c>
      <c r="D1976" s="1" t="str">
        <f>"TA015"</f>
        <v>TA015</v>
      </c>
      <c r="E1976" s="1" t="s">
        <v>17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</row>
    <row r="1977" spans="1:11" x14ac:dyDescent="0.2">
      <c r="A1977" s="1" t="s">
        <v>1351</v>
      </c>
      <c r="B1977" s="1" t="s">
        <v>1870</v>
      </c>
      <c r="C1977" s="1" t="str">
        <f>"66298857095927"</f>
        <v>66298857095927</v>
      </c>
      <c r="D1977" s="1" t="str">
        <f>"TA004"</f>
        <v>TA004</v>
      </c>
      <c r="E1977" s="1" t="s">
        <v>17</v>
      </c>
      <c r="F1977" s="1">
        <v>1</v>
      </c>
      <c r="G1977" s="1">
        <v>33966</v>
      </c>
      <c r="H1977" s="1">
        <v>33966</v>
      </c>
      <c r="I1977" s="1">
        <v>0</v>
      </c>
      <c r="J1977" s="1">
        <v>1</v>
      </c>
      <c r="K1977" s="1">
        <v>0</v>
      </c>
    </row>
    <row r="1978" spans="1:11" x14ac:dyDescent="0.2">
      <c r="A1978" s="1" t="s">
        <v>1351</v>
      </c>
      <c r="B1978" s="1" t="s">
        <v>1871</v>
      </c>
      <c r="C1978" s="1" t="str">
        <f>"66298857152201"</f>
        <v>66298857152201</v>
      </c>
      <c r="D1978" s="1" t="str">
        <f>"TA010"</f>
        <v>TA010</v>
      </c>
      <c r="E1978" s="1" t="s">
        <v>17</v>
      </c>
      <c r="F1978" s="1">
        <v>1</v>
      </c>
      <c r="G1978" s="1">
        <v>22104</v>
      </c>
      <c r="H1978" s="1">
        <v>22104</v>
      </c>
      <c r="I1978" s="1">
        <v>0</v>
      </c>
      <c r="J1978" s="1">
        <v>1</v>
      </c>
      <c r="K1978" s="1">
        <v>0</v>
      </c>
    </row>
    <row r="1979" spans="1:11" x14ac:dyDescent="0.2">
      <c r="A1979" s="1" t="s">
        <v>1872</v>
      </c>
      <c r="B1979" s="1" t="s">
        <v>1873</v>
      </c>
      <c r="C1979" s="1" t="str">
        <f>"66298857191755"</f>
        <v>66298857191755</v>
      </c>
      <c r="D1979" s="1" t="str">
        <f>"80154D"</f>
        <v>80154D</v>
      </c>
      <c r="E1979" s="1" t="s">
        <v>17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</row>
    <row r="1980" spans="1:11" x14ac:dyDescent="0.2">
      <c r="A1980" s="1" t="s">
        <v>1872</v>
      </c>
      <c r="B1980" s="1" t="s">
        <v>1874</v>
      </c>
      <c r="C1980" s="1" t="str">
        <f>"66298857231699"</f>
        <v>66298857231699</v>
      </c>
      <c r="D1980" s="1" t="str">
        <f>"56600H7H000H000"</f>
        <v>56600H7H000H000</v>
      </c>
      <c r="E1980" s="1" t="s">
        <v>17</v>
      </c>
      <c r="F1980" s="1">
        <v>4</v>
      </c>
      <c r="G1980" s="1">
        <v>5652.5</v>
      </c>
      <c r="H1980" s="1">
        <v>22610</v>
      </c>
      <c r="I1980" s="1">
        <v>0</v>
      </c>
      <c r="J1980" s="1">
        <v>4</v>
      </c>
      <c r="K1980" s="1">
        <v>0</v>
      </c>
    </row>
    <row r="1981" spans="1:11" x14ac:dyDescent="0.2">
      <c r="A1981" s="1" t="s">
        <v>1872</v>
      </c>
      <c r="B1981" s="1" t="s">
        <v>1875</v>
      </c>
      <c r="C1981" s="1" t="str">
        <f>"56500H2J000H000"</f>
        <v>56500H2J000H000</v>
      </c>
      <c r="D1981" s="1" t="str">
        <f>"56500H2J000H000"</f>
        <v>56500H2J000H000</v>
      </c>
      <c r="E1981" s="1" t="s">
        <v>17</v>
      </c>
      <c r="F1981" s="1">
        <v>1</v>
      </c>
      <c r="G1981" s="1">
        <v>10011.49</v>
      </c>
      <c r="H1981" s="1">
        <v>10011</v>
      </c>
      <c r="I1981" s="1">
        <v>0</v>
      </c>
      <c r="J1981" s="1">
        <v>1</v>
      </c>
      <c r="K1981" s="1">
        <v>0</v>
      </c>
    </row>
    <row r="1982" spans="1:11" x14ac:dyDescent="0.2">
      <c r="A1982" s="1" t="s">
        <v>1872</v>
      </c>
      <c r="B1982" s="1" t="s">
        <v>1876</v>
      </c>
      <c r="C1982" s="1" t="str">
        <f>"56500H2A230H000"</f>
        <v>56500H2A230H000</v>
      </c>
      <c r="D1982" s="1" t="str">
        <f>"56500H2A230H000"</f>
        <v>56500H2A230H000</v>
      </c>
      <c r="E1982" s="1" t="s">
        <v>17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</row>
    <row r="1983" spans="1:11" x14ac:dyDescent="0.2">
      <c r="A1983" s="1" t="s">
        <v>1872</v>
      </c>
      <c r="B1983" s="1" t="s">
        <v>1877</v>
      </c>
      <c r="C1983" s="1" t="str">
        <f>"EMKD00059"</f>
        <v>EMKD00059</v>
      </c>
      <c r="D1983" s="1" t="str">
        <f>"EMKD00059"</f>
        <v>EMKD00059</v>
      </c>
      <c r="E1983" s="1" t="s">
        <v>17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</row>
    <row r="1984" spans="1:11" x14ac:dyDescent="0.2">
      <c r="A1984" s="1" t="s">
        <v>1872</v>
      </c>
      <c r="B1984" s="1" t="s">
        <v>1878</v>
      </c>
      <c r="C1984" s="1" t="str">
        <f>"EMKD00218"</f>
        <v>EMKD00218</v>
      </c>
      <c r="D1984" s="1" t="str">
        <f>"EMKD00218"</f>
        <v>EMKD00218</v>
      </c>
      <c r="E1984" s="1" t="s">
        <v>17</v>
      </c>
      <c r="F1984" s="1">
        <v>1</v>
      </c>
      <c r="G1984" s="1">
        <v>5006.0600000000004</v>
      </c>
      <c r="H1984" s="1">
        <v>5006</v>
      </c>
      <c r="I1984" s="1">
        <v>0</v>
      </c>
      <c r="J1984" s="1">
        <v>1</v>
      </c>
      <c r="K1984" s="1">
        <v>0</v>
      </c>
    </row>
    <row r="1985" spans="1:11" x14ac:dyDescent="0.2">
      <c r="A1985" s="1" t="s">
        <v>1872</v>
      </c>
      <c r="B1985" s="1" t="s">
        <v>1879</v>
      </c>
      <c r="C1985" s="1" t="str">
        <f>"56500H37230H000"</f>
        <v>56500H37230H000</v>
      </c>
      <c r="D1985" s="1" t="str">
        <f>"56500H37230H000"</f>
        <v>56500H37230H000</v>
      </c>
      <c r="E1985" s="1" t="s">
        <v>17</v>
      </c>
      <c r="F1985" s="1">
        <v>1</v>
      </c>
      <c r="G1985" s="1">
        <v>6257.1</v>
      </c>
      <c r="H1985" s="1">
        <v>6257</v>
      </c>
      <c r="I1985" s="1">
        <v>0</v>
      </c>
      <c r="J1985" s="1">
        <v>1</v>
      </c>
      <c r="K1985" s="1">
        <v>0</v>
      </c>
    </row>
    <row r="1986" spans="1:11" x14ac:dyDescent="0.2">
      <c r="A1986" s="1" t="s">
        <v>1872</v>
      </c>
      <c r="B1986" s="1" t="s">
        <v>1880</v>
      </c>
      <c r="C1986" s="1" t="str">
        <f>"56600H7H010H000"</f>
        <v>56600H7H010H000</v>
      </c>
      <c r="D1986" s="1" t="str">
        <f>"56600H7H010H000"</f>
        <v>56600H7H010H000</v>
      </c>
      <c r="E1986" s="1" t="s">
        <v>17</v>
      </c>
      <c r="F1986" s="1">
        <v>4</v>
      </c>
      <c r="G1986" s="1">
        <v>5839.87</v>
      </c>
      <c r="H1986" s="1">
        <v>23359</v>
      </c>
      <c r="I1986" s="1">
        <v>0</v>
      </c>
      <c r="J1986" s="1">
        <v>4</v>
      </c>
      <c r="K1986" s="1">
        <v>0</v>
      </c>
    </row>
    <row r="1987" spans="1:11" x14ac:dyDescent="0.2">
      <c r="A1987" s="1" t="s">
        <v>1872</v>
      </c>
      <c r="B1987" s="1" t="s">
        <v>1881</v>
      </c>
      <c r="C1987" s="1" t="str">
        <f>"56600H2J000H000"</f>
        <v>56600H2J000H000</v>
      </c>
      <c r="D1987" s="1" t="str">
        <f>"56600H2J000H000"</f>
        <v>56600H2J000H000</v>
      </c>
      <c r="E1987" s="1" t="s">
        <v>17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</row>
    <row r="1988" spans="1:11" x14ac:dyDescent="0.2">
      <c r="A1988" s="1" t="s">
        <v>1872</v>
      </c>
      <c r="B1988" s="1" t="s">
        <v>1882</v>
      </c>
      <c r="C1988" s="1" t="str">
        <f>"56600H2A230H000"</f>
        <v>56600H2A230H000</v>
      </c>
      <c r="D1988" s="1" t="str">
        <f>"56600H2A230H000"</f>
        <v>56600H2A230H000</v>
      </c>
      <c r="E1988" s="1" t="s">
        <v>17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</row>
    <row r="1989" spans="1:11" x14ac:dyDescent="0.2">
      <c r="A1989" s="1" t="s">
        <v>1872</v>
      </c>
      <c r="B1989" s="1" t="s">
        <v>1883</v>
      </c>
      <c r="C1989" s="1" t="str">
        <f>"EMKD00054"</f>
        <v>EMKD00054</v>
      </c>
      <c r="D1989" s="1" t="str">
        <f>"EMKD00054"</f>
        <v>EMKD00054</v>
      </c>
      <c r="E1989" s="1" t="s">
        <v>17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</row>
    <row r="1990" spans="1:11" x14ac:dyDescent="0.2">
      <c r="A1990" s="1" t="s">
        <v>1872</v>
      </c>
      <c r="B1990" s="1" t="s">
        <v>1884</v>
      </c>
      <c r="C1990" s="1" t="str">
        <f>"EMKD00219"</f>
        <v>EMKD00219</v>
      </c>
      <c r="D1990" s="1" t="str">
        <f>"EMKD00219"</f>
        <v>EMKD00219</v>
      </c>
      <c r="E1990" s="1" t="s">
        <v>17</v>
      </c>
      <c r="F1990" s="1">
        <v>1</v>
      </c>
      <c r="G1990" s="1">
        <v>5006.0600000000004</v>
      </c>
      <c r="H1990" s="1">
        <v>5006</v>
      </c>
      <c r="I1990" s="1">
        <v>0</v>
      </c>
      <c r="J1990" s="1">
        <v>1</v>
      </c>
      <c r="K1990" s="1">
        <v>0</v>
      </c>
    </row>
    <row r="1991" spans="1:11" x14ac:dyDescent="0.2">
      <c r="A1991" s="1" t="s">
        <v>1872</v>
      </c>
      <c r="B1991" s="1" t="s">
        <v>1885</v>
      </c>
      <c r="C1991" s="1" t="str">
        <f>"56600H37230H000"</f>
        <v>56600H37230H000</v>
      </c>
      <c r="D1991" s="1" t="str">
        <f>"56600H37230H000"</f>
        <v>56600H37230H000</v>
      </c>
      <c r="E1991" s="1" t="s">
        <v>17</v>
      </c>
      <c r="F1991" s="1">
        <v>1</v>
      </c>
      <c r="G1991" s="1">
        <v>5893.45</v>
      </c>
      <c r="H1991" s="1">
        <v>5893</v>
      </c>
      <c r="I1991" s="1">
        <v>0</v>
      </c>
      <c r="J1991" s="1">
        <v>1</v>
      </c>
      <c r="K1991" s="1">
        <v>0</v>
      </c>
    </row>
    <row r="1992" spans="1:11" x14ac:dyDescent="0.2">
      <c r="A1992" s="1" t="s">
        <v>1872</v>
      </c>
      <c r="B1992" s="1" t="s">
        <v>1886</v>
      </c>
      <c r="C1992" s="1" t="str">
        <f>"66298857269930"</f>
        <v>66298857269930</v>
      </c>
      <c r="D1992" s="1" t="str">
        <f>"2PB-F6280-00"</f>
        <v>2PB-F6280-00</v>
      </c>
      <c r="E1992" s="1" t="s">
        <v>17</v>
      </c>
      <c r="F1992" s="1">
        <v>1</v>
      </c>
      <c r="G1992" s="1">
        <v>7547</v>
      </c>
      <c r="H1992" s="1">
        <v>7547</v>
      </c>
      <c r="I1992" s="1">
        <v>0</v>
      </c>
      <c r="J1992" s="1">
        <v>1</v>
      </c>
      <c r="K1992" s="1">
        <v>0</v>
      </c>
    </row>
    <row r="1993" spans="1:11" x14ac:dyDescent="0.2">
      <c r="A1993" s="1" t="s">
        <v>1872</v>
      </c>
      <c r="B1993" s="1" t="s">
        <v>1887</v>
      </c>
      <c r="C1993" s="1" t="str">
        <f>"66298857309008"</f>
        <v>66298857309008</v>
      </c>
      <c r="D1993" s="1" t="str">
        <f>"400785"</f>
        <v>400785</v>
      </c>
      <c r="E1993" s="1" t="s">
        <v>17</v>
      </c>
      <c r="F1993" s="1">
        <v>5</v>
      </c>
      <c r="G1993" s="1">
        <v>1012</v>
      </c>
      <c r="H1993" s="1">
        <v>5060</v>
      </c>
      <c r="I1993" s="1">
        <v>0</v>
      </c>
      <c r="J1993" s="1">
        <v>5</v>
      </c>
      <c r="K1993" s="1">
        <v>0</v>
      </c>
    </row>
    <row r="1994" spans="1:11" x14ac:dyDescent="0.2">
      <c r="A1994" s="1" t="s">
        <v>1872</v>
      </c>
      <c r="B1994" s="1" t="s">
        <v>1888</v>
      </c>
      <c r="C1994" s="1" t="str">
        <f>"66298857386447"</f>
        <v>66298857386447</v>
      </c>
      <c r="D1994" s="1" t="str">
        <f>"KA046-A"</f>
        <v>KA046-A</v>
      </c>
      <c r="E1994" s="1" t="s">
        <v>17</v>
      </c>
      <c r="F1994" s="1">
        <v>9</v>
      </c>
      <c r="G1994" s="1">
        <v>2623</v>
      </c>
      <c r="H1994" s="1">
        <v>23607</v>
      </c>
      <c r="I1994" s="1">
        <v>0</v>
      </c>
      <c r="J1994" s="1">
        <v>9</v>
      </c>
      <c r="K1994" s="1">
        <v>0</v>
      </c>
    </row>
    <row r="1995" spans="1:11" x14ac:dyDescent="0.2">
      <c r="A1995" s="1" t="s">
        <v>1872</v>
      </c>
      <c r="B1995" s="1" t="s">
        <v>1889</v>
      </c>
      <c r="C1995" s="1" t="str">
        <f>"66298857346723"</f>
        <v>66298857346723</v>
      </c>
      <c r="D1995" s="1" t="str">
        <f>"KA045-A"</f>
        <v>KA045-A</v>
      </c>
      <c r="E1995" s="1" t="s">
        <v>17</v>
      </c>
      <c r="F1995" s="1">
        <v>12</v>
      </c>
      <c r="G1995" s="1">
        <v>2623</v>
      </c>
      <c r="H1995" s="1">
        <v>31476</v>
      </c>
      <c r="I1995" s="1">
        <v>0</v>
      </c>
      <c r="J1995" s="1">
        <v>12</v>
      </c>
      <c r="K1995" s="1">
        <v>0</v>
      </c>
    </row>
    <row r="1996" spans="1:11" x14ac:dyDescent="0.2">
      <c r="A1996" s="1" t="s">
        <v>1872</v>
      </c>
      <c r="B1996" s="1" t="s">
        <v>1890</v>
      </c>
      <c r="C1996" s="1" t="str">
        <f>"10524"</f>
        <v>10524</v>
      </c>
      <c r="D1996" s="1" t="str">
        <f>"10524"</f>
        <v>10524</v>
      </c>
      <c r="E1996" s="1" t="s">
        <v>17</v>
      </c>
      <c r="F1996" s="1">
        <v>1</v>
      </c>
      <c r="G1996" s="1">
        <v>3272.27</v>
      </c>
      <c r="H1996" s="1">
        <v>3272</v>
      </c>
      <c r="I1996" s="1">
        <v>0</v>
      </c>
      <c r="J1996" s="1">
        <v>1</v>
      </c>
      <c r="K1996" s="1">
        <v>0</v>
      </c>
    </row>
    <row r="1997" spans="1:11" x14ac:dyDescent="0.2">
      <c r="A1997" s="1" t="s">
        <v>1872</v>
      </c>
      <c r="B1997" s="1" t="s">
        <v>1891</v>
      </c>
      <c r="C1997" s="1" t="str">
        <f>"66298857429744"</f>
        <v>66298857429744</v>
      </c>
      <c r="D1997" s="1" t="str">
        <f>"K055"</f>
        <v>K055</v>
      </c>
      <c r="E1997" s="1" t="s">
        <v>17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</row>
    <row r="1998" spans="1:11" x14ac:dyDescent="0.2">
      <c r="A1998" s="1" t="s">
        <v>1872</v>
      </c>
      <c r="B1998" s="1" t="s">
        <v>1892</v>
      </c>
      <c r="C1998" s="1" t="str">
        <f>"66298857469901"</f>
        <v>66298857469901</v>
      </c>
      <c r="D1998" s="1" t="str">
        <f>"00178"</f>
        <v>00178</v>
      </c>
      <c r="E1998" s="1" t="s">
        <v>17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</row>
    <row r="1999" spans="1:11" x14ac:dyDescent="0.2">
      <c r="A1999" s="1" t="s">
        <v>1872</v>
      </c>
      <c r="B1999" s="1" t="s">
        <v>1893</v>
      </c>
      <c r="C1999" s="1" t="str">
        <f>"KA015"</f>
        <v>KA015</v>
      </c>
      <c r="D1999" s="1" t="str">
        <f>"KA015"</f>
        <v>KA015</v>
      </c>
      <c r="E1999" s="1" t="s">
        <v>17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</row>
    <row r="2000" spans="1:11" x14ac:dyDescent="0.2">
      <c r="A2000" s="1" t="s">
        <v>1872</v>
      </c>
      <c r="B2000" s="1" t="s">
        <v>1894</v>
      </c>
      <c r="C2000" s="1" t="str">
        <f>"YXC-M8"</f>
        <v>YXC-M8</v>
      </c>
      <c r="D2000" s="1" t="str">
        <f>"YXC-M8"</f>
        <v>YXC-M8</v>
      </c>
      <c r="E2000" s="1" t="s">
        <v>17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</row>
    <row r="2001" spans="1:11" x14ac:dyDescent="0.2">
      <c r="A2001" s="1" t="s">
        <v>1872</v>
      </c>
      <c r="B2001" s="1" t="s">
        <v>1895</v>
      </c>
      <c r="C2001" s="1" t="str">
        <f>"66298857519524"</f>
        <v>66298857519524</v>
      </c>
      <c r="D2001" s="1" t="str">
        <f>"400787"</f>
        <v>400787</v>
      </c>
      <c r="E2001" s="1" t="s">
        <v>17</v>
      </c>
      <c r="F2001" s="1">
        <v>4</v>
      </c>
      <c r="G2001" s="1">
        <v>1234</v>
      </c>
      <c r="H2001" s="1">
        <v>4936</v>
      </c>
      <c r="I2001" s="1">
        <v>0</v>
      </c>
      <c r="J2001" s="1">
        <v>4</v>
      </c>
      <c r="K2001" s="1">
        <v>0</v>
      </c>
    </row>
    <row r="2002" spans="1:11" ht="30" x14ac:dyDescent="0.2">
      <c r="A2002" s="1" t="s">
        <v>1872</v>
      </c>
      <c r="B2002" s="1" t="s">
        <v>1896</v>
      </c>
      <c r="C2002" s="1" t="str">
        <f>"KA010"</f>
        <v>KA010</v>
      </c>
      <c r="D2002" s="1" t="str">
        <f>"KA010"</f>
        <v>KA010</v>
      </c>
      <c r="E2002" s="1" t="s">
        <v>17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</row>
    <row r="2003" spans="1:11" ht="30" x14ac:dyDescent="0.2">
      <c r="A2003" s="1" t="s">
        <v>1872</v>
      </c>
      <c r="B2003" s="1" t="s">
        <v>1897</v>
      </c>
      <c r="C2003" s="1" t="str">
        <f>"KA029"</f>
        <v>KA029</v>
      </c>
      <c r="D2003" s="1" t="str">
        <f>"KA029"</f>
        <v>KA029</v>
      </c>
      <c r="E2003" s="1" t="s">
        <v>17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</row>
    <row r="2004" spans="1:11" ht="30" x14ac:dyDescent="0.2">
      <c r="A2004" s="1" t="s">
        <v>1872</v>
      </c>
      <c r="B2004" s="1" t="s">
        <v>1898</v>
      </c>
      <c r="C2004" s="1" t="str">
        <f>"123991"</f>
        <v>123991</v>
      </c>
      <c r="D2004" s="1" t="str">
        <f>"123991"</f>
        <v>123991</v>
      </c>
      <c r="E2004" s="1" t="s">
        <v>17</v>
      </c>
      <c r="F2004" s="1">
        <v>3</v>
      </c>
      <c r="G2004" s="1">
        <v>4810.13</v>
      </c>
      <c r="H2004" s="1">
        <v>14430</v>
      </c>
      <c r="I2004" s="1">
        <v>0</v>
      </c>
      <c r="J2004" s="1">
        <v>3</v>
      </c>
      <c r="K2004" s="1">
        <v>0</v>
      </c>
    </row>
    <row r="2005" spans="1:11" x14ac:dyDescent="0.2">
      <c r="A2005" s="1" t="s">
        <v>1872</v>
      </c>
      <c r="B2005" s="1" t="s">
        <v>1899</v>
      </c>
      <c r="C2005" s="1" t="str">
        <f>"66298857565368"</f>
        <v>66298857565368</v>
      </c>
      <c r="D2005" s="1" t="str">
        <f>"KA007"</f>
        <v>KA007</v>
      </c>
      <c r="E2005" s="1" t="s">
        <v>17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</row>
    <row r="2006" spans="1:11" x14ac:dyDescent="0.2">
      <c r="A2006" s="1" t="s">
        <v>1872</v>
      </c>
      <c r="B2006" s="1" t="s">
        <v>1900</v>
      </c>
      <c r="C2006" s="1" t="str">
        <f>"66298857610174"</f>
        <v>66298857610174</v>
      </c>
      <c r="D2006" s="1" t="str">
        <f>"400008"</f>
        <v>400008</v>
      </c>
      <c r="E2006" s="1" t="s">
        <v>17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</row>
    <row r="2007" spans="1:11" x14ac:dyDescent="0.2">
      <c r="A2007" s="1" t="s">
        <v>1872</v>
      </c>
      <c r="B2007" s="1" t="s">
        <v>1901</v>
      </c>
      <c r="C2007" s="1" t="str">
        <f>"7363"</f>
        <v>7363</v>
      </c>
      <c r="D2007" s="1" t="str">
        <f>"7363"</f>
        <v>7363</v>
      </c>
      <c r="E2007" s="1" t="s">
        <v>17</v>
      </c>
      <c r="F2007" s="1">
        <v>1</v>
      </c>
      <c r="G2007" s="1">
        <v>4381.51</v>
      </c>
      <c r="H2007" s="1">
        <v>4382</v>
      </c>
      <c r="I2007" s="1">
        <v>0</v>
      </c>
      <c r="J2007" s="1">
        <v>1</v>
      </c>
      <c r="K2007" s="1">
        <v>0</v>
      </c>
    </row>
    <row r="2008" spans="1:11" x14ac:dyDescent="0.2">
      <c r="A2008" s="1" t="s">
        <v>1872</v>
      </c>
      <c r="B2008" s="1" t="s">
        <v>1902</v>
      </c>
      <c r="C2008" s="1" t="str">
        <f>"123497"</f>
        <v>123497</v>
      </c>
      <c r="D2008" s="1" t="str">
        <f>"123947"</f>
        <v>123947</v>
      </c>
      <c r="E2008" s="1" t="s">
        <v>17</v>
      </c>
      <c r="F2008" s="1">
        <v>9</v>
      </c>
      <c r="G2008" s="1">
        <v>2941</v>
      </c>
      <c r="H2008" s="1">
        <v>26469</v>
      </c>
      <c r="I2008" s="1">
        <v>0</v>
      </c>
      <c r="J2008" s="1">
        <v>9</v>
      </c>
      <c r="K2008" s="1">
        <v>0</v>
      </c>
    </row>
    <row r="2009" spans="1:11" x14ac:dyDescent="0.2">
      <c r="A2009" s="1" t="s">
        <v>1872</v>
      </c>
      <c r="B2009" s="1" t="s">
        <v>1903</v>
      </c>
      <c r="C2009" s="1" t="str">
        <f>"11705"</f>
        <v>11705</v>
      </c>
      <c r="D2009" s="1" t="str">
        <f>"11705"</f>
        <v>11705</v>
      </c>
      <c r="E2009" s="1" t="s">
        <v>17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</row>
    <row r="2010" spans="1:11" x14ac:dyDescent="0.2">
      <c r="A2010" s="1" t="s">
        <v>1872</v>
      </c>
      <c r="B2010" s="1" t="s">
        <v>1904</v>
      </c>
      <c r="C2010" s="1" t="str">
        <f>"66298857716136"</f>
        <v>66298857716136</v>
      </c>
      <c r="D2010" s="1" t="str">
        <f>"400790"</f>
        <v>400790</v>
      </c>
      <c r="E2010" s="1" t="s">
        <v>17</v>
      </c>
      <c r="F2010" s="1">
        <v>4</v>
      </c>
      <c r="G2010" s="1">
        <v>1795</v>
      </c>
      <c r="H2010" s="1">
        <v>7180</v>
      </c>
      <c r="I2010" s="1">
        <v>0</v>
      </c>
      <c r="J2010" s="1">
        <v>4</v>
      </c>
      <c r="K2010" s="1">
        <v>0</v>
      </c>
    </row>
    <row r="2011" spans="1:11" x14ac:dyDescent="0.2">
      <c r="A2011" s="1" t="s">
        <v>1872</v>
      </c>
      <c r="B2011" s="1" t="s">
        <v>1905</v>
      </c>
      <c r="C2011" s="1" t="str">
        <f>"66298857652018"</f>
        <v>66298857652018</v>
      </c>
      <c r="D2011" s="1" t="str">
        <f>"E11"</f>
        <v>E11</v>
      </c>
      <c r="E2011" s="1" t="s">
        <v>17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</row>
    <row r="2012" spans="1:11" x14ac:dyDescent="0.2">
      <c r="A2012" s="1" t="s">
        <v>1872</v>
      </c>
      <c r="B2012" s="1" t="s">
        <v>1905</v>
      </c>
      <c r="C2012" s="1" t="str">
        <f>"66298857658097"</f>
        <v>66298857658097</v>
      </c>
      <c r="D2012" s="1" t="str">
        <f>"KA008"</f>
        <v>KA008</v>
      </c>
      <c r="E2012" s="1" t="s">
        <v>17</v>
      </c>
      <c r="F2012" s="1">
        <v>1</v>
      </c>
      <c r="G2012" s="1">
        <v>2771</v>
      </c>
      <c r="H2012" s="1">
        <v>2771</v>
      </c>
      <c r="I2012" s="1">
        <v>0</v>
      </c>
      <c r="J2012" s="1">
        <v>1</v>
      </c>
      <c r="K2012" s="1">
        <v>0</v>
      </c>
    </row>
    <row r="2013" spans="1:11" x14ac:dyDescent="0.2">
      <c r="A2013" s="1" t="s">
        <v>1872</v>
      </c>
      <c r="B2013" s="1" t="s">
        <v>1906</v>
      </c>
      <c r="C2013" s="1" t="str">
        <f>"KA001"</f>
        <v>KA001</v>
      </c>
      <c r="D2013" s="1" t="str">
        <f>"KA001"</f>
        <v>KA001</v>
      </c>
      <c r="E2013" s="1" t="s">
        <v>17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</row>
    <row r="2014" spans="1:11" x14ac:dyDescent="0.2">
      <c r="A2014" s="1" t="s">
        <v>1872</v>
      </c>
      <c r="B2014" s="1" t="s">
        <v>1907</v>
      </c>
      <c r="C2014" s="1" t="str">
        <f>"66298857803964"</f>
        <v>66298857803964</v>
      </c>
      <c r="D2014" s="1" t="str">
        <f>"400009"</f>
        <v>400009</v>
      </c>
      <c r="E2014" s="1" t="s">
        <v>17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</row>
    <row r="2015" spans="1:11" x14ac:dyDescent="0.2">
      <c r="A2015" s="1" t="s">
        <v>1872</v>
      </c>
      <c r="B2015" s="1" t="s">
        <v>1908</v>
      </c>
      <c r="C2015" s="1" t="str">
        <f>"66298857760619"</f>
        <v>66298857760619</v>
      </c>
      <c r="D2015" s="1" t="str">
        <f>"84932"</f>
        <v>84932</v>
      </c>
      <c r="E2015" s="1" t="s">
        <v>17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</row>
    <row r="2016" spans="1:11" x14ac:dyDescent="0.2">
      <c r="A2016" s="1" t="s">
        <v>1872</v>
      </c>
      <c r="B2016" s="1" t="s">
        <v>1909</v>
      </c>
      <c r="C2016" s="1" t="str">
        <f>"66298857845199"</f>
        <v>66298857845199</v>
      </c>
      <c r="D2016" s="1" t="str">
        <f>"120757"</f>
        <v>120757</v>
      </c>
      <c r="E2016" s="1" t="s">
        <v>17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</row>
    <row r="2017" spans="1:11" x14ac:dyDescent="0.2">
      <c r="A2017" s="1" t="s">
        <v>1872</v>
      </c>
      <c r="B2017" s="1" t="s">
        <v>1910</v>
      </c>
      <c r="C2017" s="1" t="str">
        <f>"124002"</f>
        <v>124002</v>
      </c>
      <c r="D2017" s="1" t="str">
        <f>"124002"</f>
        <v>124002</v>
      </c>
      <c r="E2017" s="1" t="s">
        <v>17</v>
      </c>
      <c r="F2017" s="1">
        <v>6</v>
      </c>
      <c r="G2017" s="1">
        <v>9958</v>
      </c>
      <c r="H2017" s="1">
        <v>59748</v>
      </c>
      <c r="I2017" s="1">
        <v>0</v>
      </c>
      <c r="J2017" s="1">
        <v>6</v>
      </c>
      <c r="K2017" s="1">
        <v>0</v>
      </c>
    </row>
    <row r="2018" spans="1:11" ht="30" x14ac:dyDescent="0.2">
      <c r="A2018" s="1" t="s">
        <v>1872</v>
      </c>
      <c r="B2018" s="1" t="s">
        <v>1911</v>
      </c>
      <c r="C2018" s="1" t="str">
        <f>"66298857886957"</f>
        <v>66298857886957</v>
      </c>
      <c r="D2018" s="1" t="str">
        <f>"00110"</f>
        <v>00110</v>
      </c>
      <c r="E2018" s="1" t="s">
        <v>17</v>
      </c>
      <c r="F2018" s="1">
        <v>4</v>
      </c>
      <c r="G2018" s="1">
        <v>3640</v>
      </c>
      <c r="H2018" s="1">
        <v>14560</v>
      </c>
      <c r="I2018" s="1">
        <v>0</v>
      </c>
      <c r="J2018" s="1">
        <v>4</v>
      </c>
      <c r="K2018" s="1">
        <v>0</v>
      </c>
    </row>
    <row r="2019" spans="1:11" x14ac:dyDescent="0.2">
      <c r="A2019" s="1" t="s">
        <v>1872</v>
      </c>
      <c r="B2019" s="1" t="s">
        <v>1912</v>
      </c>
      <c r="C2019" s="1" t="str">
        <f>"ESP-NEW-INVICTA"</f>
        <v>ESP-NEW-INVICTA</v>
      </c>
      <c r="D2019" s="1" t="str">
        <f>"ESP-NEW-INVICTA"</f>
        <v>ESP-NEW-INVICTA</v>
      </c>
      <c r="E2019" s="1" t="s">
        <v>17</v>
      </c>
      <c r="F2019" s="1">
        <v>2</v>
      </c>
      <c r="G2019" s="1">
        <v>2235.27</v>
      </c>
      <c r="H2019" s="1">
        <v>4471</v>
      </c>
      <c r="I2019" s="1">
        <v>1</v>
      </c>
      <c r="J2019" s="1">
        <v>1</v>
      </c>
      <c r="K2019" s="1">
        <v>0</v>
      </c>
    </row>
    <row r="2020" spans="1:11" x14ac:dyDescent="0.2">
      <c r="A2020" s="1" t="s">
        <v>1872</v>
      </c>
      <c r="B2020" s="1" t="s">
        <v>1913</v>
      </c>
      <c r="C2020" s="1" t="str">
        <f>"124024"</f>
        <v>124024</v>
      </c>
      <c r="D2020" s="1" t="str">
        <f>"124024"</f>
        <v>124024</v>
      </c>
      <c r="E2020" s="1" t="s">
        <v>17</v>
      </c>
      <c r="F2020" s="1">
        <v>6</v>
      </c>
      <c r="G2020" s="1">
        <v>11345</v>
      </c>
      <c r="H2020" s="1">
        <v>68070</v>
      </c>
      <c r="I2020" s="1">
        <v>0</v>
      </c>
      <c r="J2020" s="1">
        <v>6</v>
      </c>
      <c r="K2020" s="1">
        <v>0</v>
      </c>
    </row>
    <row r="2021" spans="1:11" x14ac:dyDescent="0.2">
      <c r="A2021" s="1" t="s">
        <v>1872</v>
      </c>
      <c r="B2021" s="1" t="s">
        <v>1914</v>
      </c>
      <c r="C2021" s="1" t="str">
        <f>"66298857930127"</f>
        <v>66298857930127</v>
      </c>
      <c r="D2021" s="1" t="str">
        <f>"KA045"</f>
        <v>KA045</v>
      </c>
      <c r="E2021" s="1" t="s">
        <v>17</v>
      </c>
      <c r="F2021" s="1">
        <v>7</v>
      </c>
      <c r="G2021" s="1">
        <v>2000</v>
      </c>
      <c r="H2021" s="1">
        <v>14000</v>
      </c>
      <c r="I2021" s="1">
        <v>0</v>
      </c>
      <c r="J2021" s="1">
        <v>7</v>
      </c>
      <c r="K2021" s="1">
        <v>0</v>
      </c>
    </row>
    <row r="2022" spans="1:11" x14ac:dyDescent="0.2">
      <c r="A2022" s="1" t="s">
        <v>1872</v>
      </c>
      <c r="B2022" s="1" t="s">
        <v>1914</v>
      </c>
      <c r="C2022" s="1" t="str">
        <f>"66298857936666"</f>
        <v>66298857936666</v>
      </c>
      <c r="D2022" s="1" t="str">
        <f>"KA056"</f>
        <v>KA056</v>
      </c>
      <c r="E2022" s="1" t="s">
        <v>17</v>
      </c>
      <c r="F2022" s="1">
        <v>2</v>
      </c>
      <c r="G2022" s="1">
        <v>2539</v>
      </c>
      <c r="H2022" s="1">
        <v>5078</v>
      </c>
      <c r="I2022" s="1">
        <v>0</v>
      </c>
      <c r="J2022" s="1">
        <v>2</v>
      </c>
      <c r="K2022" s="1">
        <v>0</v>
      </c>
    </row>
    <row r="2023" spans="1:11" x14ac:dyDescent="0.2">
      <c r="A2023" s="1" t="s">
        <v>1872</v>
      </c>
      <c r="B2023" s="1" t="s">
        <v>1914</v>
      </c>
      <c r="C2023" s="1" t="str">
        <f>"66298858001142"</f>
        <v>66298858001142</v>
      </c>
      <c r="D2023" s="1" t="str">
        <f>"KA046"</f>
        <v>KA046</v>
      </c>
      <c r="E2023" s="1" t="s">
        <v>17</v>
      </c>
      <c r="F2023" s="1">
        <v>18</v>
      </c>
      <c r="G2023" s="1">
        <v>2000</v>
      </c>
      <c r="H2023" s="1">
        <v>36000</v>
      </c>
      <c r="I2023" s="1">
        <v>0</v>
      </c>
      <c r="J2023" s="1">
        <v>18</v>
      </c>
      <c r="K2023" s="1">
        <v>0</v>
      </c>
    </row>
    <row r="2024" spans="1:11" x14ac:dyDescent="0.2">
      <c r="A2024" s="1" t="s">
        <v>1872</v>
      </c>
      <c r="B2024" s="1" t="s">
        <v>1915</v>
      </c>
      <c r="C2024" s="1" t="str">
        <f>"66298858077872"</f>
        <v>66298858077872</v>
      </c>
      <c r="D2024" s="1" t="str">
        <f>"400786"</f>
        <v>400786</v>
      </c>
      <c r="E2024" s="1" t="s">
        <v>17</v>
      </c>
      <c r="F2024" s="1">
        <v>1</v>
      </c>
      <c r="G2024" s="1">
        <v>1309</v>
      </c>
      <c r="H2024" s="1">
        <v>1309</v>
      </c>
      <c r="I2024" s="1">
        <v>0</v>
      </c>
      <c r="J2024" s="1">
        <v>1</v>
      </c>
      <c r="K2024" s="1">
        <v>0</v>
      </c>
    </row>
    <row r="2025" spans="1:11" x14ac:dyDescent="0.2">
      <c r="A2025" s="1" t="s">
        <v>1872</v>
      </c>
      <c r="B2025" s="1" t="s">
        <v>1916</v>
      </c>
      <c r="C2025" s="1" t="str">
        <f>"66298858039116"</f>
        <v>66298858039116</v>
      </c>
      <c r="D2025" s="1" t="str">
        <f>"82653"</f>
        <v>82653</v>
      </c>
      <c r="E2025" s="1" t="s">
        <v>17</v>
      </c>
      <c r="F2025" s="1">
        <v>9</v>
      </c>
      <c r="G2025" s="1">
        <v>2781</v>
      </c>
      <c r="H2025" s="1">
        <v>25029</v>
      </c>
      <c r="I2025" s="1">
        <v>0</v>
      </c>
      <c r="J2025" s="1">
        <v>9</v>
      </c>
      <c r="K2025" s="1">
        <v>0</v>
      </c>
    </row>
    <row r="2026" spans="1:11" x14ac:dyDescent="0.2">
      <c r="A2026" s="1" t="s">
        <v>1872</v>
      </c>
      <c r="B2026" s="1" t="s">
        <v>1916</v>
      </c>
      <c r="C2026" s="1" t="str">
        <f>"15849"</f>
        <v>15849</v>
      </c>
      <c r="D2026" s="1" t="str">
        <f>"15849"</f>
        <v>15849</v>
      </c>
      <c r="E2026" s="1" t="s">
        <v>17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</row>
    <row r="2027" spans="1:11" x14ac:dyDescent="0.2">
      <c r="A2027" s="1" t="s">
        <v>1872</v>
      </c>
      <c r="B2027" s="1" t="s">
        <v>1917</v>
      </c>
      <c r="C2027" s="1" t="str">
        <f>"66298858118772"</f>
        <v>66298858118772</v>
      </c>
      <c r="D2027" s="1" t="str">
        <f>"00151"</f>
        <v>00151</v>
      </c>
      <c r="E2027" s="1" t="s">
        <v>17</v>
      </c>
      <c r="F2027" s="1">
        <v>4</v>
      </c>
      <c r="G2027" s="1">
        <v>1570</v>
      </c>
      <c r="H2027" s="1">
        <v>6280</v>
      </c>
      <c r="I2027" s="1">
        <v>0</v>
      </c>
      <c r="J2027" s="1">
        <v>4</v>
      </c>
      <c r="K2027" s="1">
        <v>0</v>
      </c>
    </row>
    <row r="2028" spans="1:11" x14ac:dyDescent="0.2">
      <c r="A2028" s="1" t="s">
        <v>1872</v>
      </c>
      <c r="B2028" s="1" t="s">
        <v>1918</v>
      </c>
      <c r="C2028" s="1" t="str">
        <f>"66298858162850"</f>
        <v>66298858162850</v>
      </c>
      <c r="D2028" s="1" t="str">
        <f>"E18"</f>
        <v>E18</v>
      </c>
      <c r="E2028" s="1" t="s">
        <v>17</v>
      </c>
      <c r="F2028" s="1">
        <v>2</v>
      </c>
      <c r="G2028" s="1">
        <v>1980</v>
      </c>
      <c r="H2028" s="1">
        <v>3960</v>
      </c>
      <c r="I2028" s="1">
        <v>0</v>
      </c>
      <c r="J2028" s="1">
        <v>2</v>
      </c>
      <c r="K2028" s="1">
        <v>0</v>
      </c>
    </row>
    <row r="2029" spans="1:11" x14ac:dyDescent="0.2">
      <c r="A2029" s="1" t="s">
        <v>1872</v>
      </c>
      <c r="B2029" s="1" t="s">
        <v>1919</v>
      </c>
      <c r="C2029" s="1" t="str">
        <f>"66298858203227"</f>
        <v>66298858203227</v>
      </c>
      <c r="D2029" s="1" t="str">
        <f>"400905"</f>
        <v>400905</v>
      </c>
      <c r="E2029" s="1" t="s">
        <v>17</v>
      </c>
      <c r="F2029" s="1">
        <v>5</v>
      </c>
      <c r="G2029" s="1">
        <v>1831</v>
      </c>
      <c r="H2029" s="1">
        <v>9155</v>
      </c>
      <c r="I2029" s="1">
        <v>0</v>
      </c>
      <c r="J2029" s="1">
        <v>5</v>
      </c>
      <c r="K2029" s="1">
        <v>0</v>
      </c>
    </row>
    <row r="2030" spans="1:11" x14ac:dyDescent="0.2">
      <c r="A2030" s="1" t="s">
        <v>1872</v>
      </c>
      <c r="B2030" s="1" t="s">
        <v>1920</v>
      </c>
      <c r="C2030" s="1" t="str">
        <f>"66298858241165"</f>
        <v>66298858241165</v>
      </c>
      <c r="D2030" s="1" t="str">
        <f>"400789"</f>
        <v>400789</v>
      </c>
      <c r="E2030" s="1" t="s">
        <v>17</v>
      </c>
      <c r="F2030" s="1">
        <v>1</v>
      </c>
      <c r="G2030" s="1">
        <v>2059</v>
      </c>
      <c r="H2030" s="1">
        <v>2059</v>
      </c>
      <c r="I2030" s="1">
        <v>0</v>
      </c>
      <c r="J2030" s="1">
        <v>1</v>
      </c>
      <c r="K2030" s="1">
        <v>0</v>
      </c>
    </row>
    <row r="2031" spans="1:11" ht="30" x14ac:dyDescent="0.2">
      <c r="A2031" s="1" t="s">
        <v>1872</v>
      </c>
      <c r="B2031" s="1" t="s">
        <v>1921</v>
      </c>
      <c r="C2031" s="1" t="str">
        <f>"66298858280670"</f>
        <v>66298858280670</v>
      </c>
      <c r="D2031" s="1" t="str">
        <f>"400791"</f>
        <v>400791</v>
      </c>
      <c r="E2031" s="1" t="s">
        <v>17</v>
      </c>
      <c r="F2031" s="1">
        <v>2</v>
      </c>
      <c r="G2031" s="1">
        <v>996</v>
      </c>
      <c r="H2031" s="1">
        <v>1992</v>
      </c>
      <c r="I2031" s="1">
        <v>0</v>
      </c>
      <c r="J2031" s="1">
        <v>2</v>
      </c>
      <c r="K2031" s="1">
        <v>0</v>
      </c>
    </row>
    <row r="2032" spans="1:11" x14ac:dyDescent="0.2">
      <c r="A2032" s="1" t="s">
        <v>1872</v>
      </c>
      <c r="B2032" s="1" t="s">
        <v>1922</v>
      </c>
      <c r="C2032" s="1" t="str">
        <f>"KA003"</f>
        <v>KA003</v>
      </c>
      <c r="D2032" s="1" t="str">
        <f>"KA003"</f>
        <v>KA003</v>
      </c>
      <c r="E2032" s="1" t="s">
        <v>17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</row>
    <row r="2033" spans="1:11" x14ac:dyDescent="0.2">
      <c r="A2033" s="1" t="s">
        <v>1872</v>
      </c>
      <c r="B2033" s="1" t="s">
        <v>1923</v>
      </c>
      <c r="C2033" s="1" t="str">
        <f>"YXC-M10"</f>
        <v>YXC-M10</v>
      </c>
      <c r="D2033" s="1" t="str">
        <f>"YXC-M10"</f>
        <v>YXC-M10</v>
      </c>
      <c r="E2033" s="1" t="s">
        <v>17</v>
      </c>
      <c r="F2033" s="1">
        <v>6</v>
      </c>
      <c r="G2033" s="1">
        <v>2235.27</v>
      </c>
      <c r="H2033" s="1">
        <v>13412</v>
      </c>
      <c r="I2033" s="1">
        <v>0</v>
      </c>
      <c r="J2033" s="1">
        <v>6</v>
      </c>
      <c r="K2033" s="1">
        <v>0</v>
      </c>
    </row>
    <row r="2034" spans="1:11" x14ac:dyDescent="0.2">
      <c r="A2034" s="1" t="s">
        <v>1872</v>
      </c>
      <c r="B2034" s="1" t="s">
        <v>1923</v>
      </c>
      <c r="C2034" s="1" t="str">
        <f>"K050"</f>
        <v>K050</v>
      </c>
      <c r="D2034" s="1" t="str">
        <f>"K050"</f>
        <v>K050</v>
      </c>
      <c r="E2034" s="1" t="s">
        <v>17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</row>
    <row r="2035" spans="1:11" x14ac:dyDescent="0.2">
      <c r="A2035" s="1" t="s">
        <v>1872</v>
      </c>
      <c r="B2035" s="1" t="s">
        <v>1924</v>
      </c>
      <c r="C2035" s="1" t="str">
        <f>"66298858361901"</f>
        <v>66298858361901</v>
      </c>
      <c r="D2035" s="1" t="str">
        <f>"82132"</f>
        <v>82132</v>
      </c>
      <c r="E2035" s="1" t="s">
        <v>17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</row>
    <row r="2036" spans="1:11" x14ac:dyDescent="0.2">
      <c r="A2036" s="1" t="s">
        <v>1872</v>
      </c>
      <c r="B2036" s="1" t="s">
        <v>1925</v>
      </c>
      <c r="C2036" s="1" t="str">
        <f>"KA009"</f>
        <v>KA009</v>
      </c>
      <c r="D2036" s="1" t="str">
        <f>"KA009"</f>
        <v>KA009</v>
      </c>
      <c r="E2036" s="1" t="s">
        <v>17</v>
      </c>
      <c r="F2036" s="1">
        <v>7</v>
      </c>
      <c r="G2036" s="1">
        <v>2937.6</v>
      </c>
      <c r="H2036" s="1">
        <v>20563</v>
      </c>
      <c r="I2036" s="1">
        <v>0</v>
      </c>
      <c r="J2036" s="1">
        <v>7</v>
      </c>
      <c r="K2036" s="1">
        <v>0</v>
      </c>
    </row>
    <row r="2037" spans="1:11" x14ac:dyDescent="0.2">
      <c r="A2037" s="1" t="s">
        <v>1872</v>
      </c>
      <c r="B2037" s="1" t="s">
        <v>1926</v>
      </c>
      <c r="C2037" s="1" t="str">
        <f>"66298858403804"</f>
        <v>66298858403804</v>
      </c>
      <c r="D2037" s="1" t="str">
        <f>"00171"</f>
        <v>00171</v>
      </c>
      <c r="E2037" s="1" t="s">
        <v>17</v>
      </c>
      <c r="F2037" s="1">
        <v>5</v>
      </c>
      <c r="G2037" s="1">
        <v>2810</v>
      </c>
      <c r="H2037" s="1">
        <v>14050</v>
      </c>
      <c r="I2037" s="1">
        <v>0</v>
      </c>
      <c r="J2037" s="1">
        <v>5</v>
      </c>
      <c r="K2037" s="1">
        <v>0</v>
      </c>
    </row>
    <row r="2038" spans="1:11" x14ac:dyDescent="0.2">
      <c r="A2038" s="1" t="s">
        <v>1872</v>
      </c>
      <c r="B2038" s="1" t="s">
        <v>1927</v>
      </c>
      <c r="C2038" s="1" t="str">
        <f>"66298858319097"</f>
        <v>66298858319097</v>
      </c>
      <c r="D2038" s="1" t="str">
        <f>"K058"</f>
        <v>K058</v>
      </c>
      <c r="E2038" s="1" t="s">
        <v>17</v>
      </c>
      <c r="F2038" s="1">
        <v>4</v>
      </c>
      <c r="G2038" s="1">
        <v>10444</v>
      </c>
      <c r="H2038" s="1">
        <v>41776</v>
      </c>
      <c r="I2038" s="1">
        <v>0</v>
      </c>
      <c r="J2038" s="1">
        <v>4</v>
      </c>
      <c r="K2038" s="1">
        <v>0</v>
      </c>
    </row>
    <row r="2039" spans="1:11" x14ac:dyDescent="0.2">
      <c r="A2039" s="1" t="s">
        <v>1872</v>
      </c>
      <c r="B2039" s="1" t="s">
        <v>1928</v>
      </c>
      <c r="C2039" s="1" t="str">
        <f>"KA030"</f>
        <v>KA030</v>
      </c>
      <c r="D2039" s="1" t="str">
        <f>"KA030"</f>
        <v>KA030</v>
      </c>
      <c r="E2039" s="1" t="s">
        <v>17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</row>
    <row r="2040" spans="1:11" x14ac:dyDescent="0.2">
      <c r="A2040" s="1" t="s">
        <v>1872</v>
      </c>
      <c r="B2040" s="1" t="s">
        <v>1929</v>
      </c>
      <c r="C2040" s="1" t="str">
        <f>"12312"</f>
        <v>12312</v>
      </c>
      <c r="D2040" s="1" t="str">
        <f>"12312"</f>
        <v>12312</v>
      </c>
      <c r="E2040" s="1" t="s">
        <v>17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</row>
    <row r="2041" spans="1:11" x14ac:dyDescent="0.2">
      <c r="A2041" s="1" t="s">
        <v>1872</v>
      </c>
      <c r="B2041" s="1" t="s">
        <v>1929</v>
      </c>
      <c r="C2041" s="1" t="str">
        <f>"KA037"</f>
        <v>KA037</v>
      </c>
      <c r="D2041" s="1" t="str">
        <f>"KA037"</f>
        <v>KA037</v>
      </c>
      <c r="E2041" s="1" t="s">
        <v>17</v>
      </c>
      <c r="F2041" s="1">
        <v>6</v>
      </c>
      <c r="G2041" s="1">
        <v>3855.6</v>
      </c>
      <c r="H2041" s="1">
        <v>23134</v>
      </c>
      <c r="I2041" s="1">
        <v>0</v>
      </c>
      <c r="J2041" s="1">
        <v>6</v>
      </c>
      <c r="K2041" s="1">
        <v>0</v>
      </c>
    </row>
    <row r="2042" spans="1:11" x14ac:dyDescent="0.2">
      <c r="A2042" s="1" t="s">
        <v>1872</v>
      </c>
      <c r="B2042" s="1" t="s">
        <v>1930</v>
      </c>
      <c r="C2042" s="1" t="str">
        <f>"KA006"</f>
        <v>KA006</v>
      </c>
      <c r="D2042" s="1" t="str">
        <f>"KA006"</f>
        <v>KA006</v>
      </c>
      <c r="E2042" s="1" t="s">
        <v>17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</row>
    <row r="2043" spans="1:11" x14ac:dyDescent="0.2">
      <c r="A2043" s="1" t="s">
        <v>1872</v>
      </c>
      <c r="B2043" s="1" t="s">
        <v>1931</v>
      </c>
      <c r="C2043" s="1" t="str">
        <f>"66298858446595"</f>
        <v>66298858446595</v>
      </c>
      <c r="D2043" s="1" t="str">
        <f>"3343"</f>
        <v>3343</v>
      </c>
      <c r="E2043" s="1" t="s">
        <v>17</v>
      </c>
      <c r="F2043" s="1">
        <v>1</v>
      </c>
      <c r="G2043" s="1">
        <v>4361</v>
      </c>
      <c r="H2043" s="1">
        <v>4361</v>
      </c>
      <c r="I2043" s="1">
        <v>0</v>
      </c>
      <c r="J2043" s="1">
        <v>1</v>
      </c>
      <c r="K2043" s="1">
        <v>0</v>
      </c>
    </row>
    <row r="2044" spans="1:11" x14ac:dyDescent="0.2">
      <c r="A2044" s="1" t="s">
        <v>1872</v>
      </c>
      <c r="B2044" s="1" t="s">
        <v>1932</v>
      </c>
      <c r="C2044" s="1" t="str">
        <f>"KA033"</f>
        <v>KA033</v>
      </c>
      <c r="D2044" s="1" t="str">
        <f>"KA033"</f>
        <v>KA033</v>
      </c>
      <c r="E2044" s="1" t="s">
        <v>17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</row>
    <row r="2045" spans="1:11" x14ac:dyDescent="0.2">
      <c r="A2045" s="1" t="s">
        <v>1872</v>
      </c>
      <c r="B2045" s="1" t="s">
        <v>1932</v>
      </c>
      <c r="C2045" s="1" t="str">
        <f>"1318"</f>
        <v>1318</v>
      </c>
      <c r="D2045" s="1" t="str">
        <f>"1318"</f>
        <v>1318</v>
      </c>
      <c r="E2045" s="1" t="s">
        <v>17</v>
      </c>
      <c r="F2045" s="1">
        <v>6</v>
      </c>
      <c r="G2045" s="1">
        <v>6303</v>
      </c>
      <c r="H2045" s="1">
        <v>37818</v>
      </c>
      <c r="I2045" s="1">
        <v>0</v>
      </c>
      <c r="J2045" s="1">
        <v>6</v>
      </c>
      <c r="K2045" s="1">
        <v>0</v>
      </c>
    </row>
    <row r="2046" spans="1:11" x14ac:dyDescent="0.2">
      <c r="A2046" s="1" t="s">
        <v>1872</v>
      </c>
      <c r="B2046" s="1" t="s">
        <v>1933</v>
      </c>
      <c r="C2046" s="1" t="str">
        <f>"66298858634762"</f>
        <v>66298858634762</v>
      </c>
      <c r="D2046" s="1" t="str">
        <f>"K014-ROJO"</f>
        <v>K014-ROJO</v>
      </c>
      <c r="E2046" s="1" t="s">
        <v>17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</row>
    <row r="2047" spans="1:11" x14ac:dyDescent="0.2">
      <c r="A2047" s="1" t="s">
        <v>1872</v>
      </c>
      <c r="B2047" s="1" t="s">
        <v>1934</v>
      </c>
      <c r="C2047" s="1" t="str">
        <f>"66298858486231"</f>
        <v>66298858486231</v>
      </c>
      <c r="D2047" s="1" t="str">
        <f>"K012-AZUL"</f>
        <v>K012-AZUL</v>
      </c>
      <c r="E2047" s="1" t="s">
        <v>17</v>
      </c>
      <c r="F2047" s="1">
        <v>1</v>
      </c>
      <c r="G2047" s="1">
        <v>5143</v>
      </c>
      <c r="H2047" s="1">
        <v>5143</v>
      </c>
      <c r="I2047" s="1">
        <v>0</v>
      </c>
      <c r="J2047" s="1">
        <v>1</v>
      </c>
      <c r="K2047" s="1">
        <v>0</v>
      </c>
    </row>
    <row r="2048" spans="1:11" x14ac:dyDescent="0.2">
      <c r="A2048" s="1" t="s">
        <v>1872</v>
      </c>
      <c r="B2048" s="1" t="s">
        <v>1934</v>
      </c>
      <c r="C2048" s="1" t="str">
        <f>"66298858528388"</f>
        <v>66298858528388</v>
      </c>
      <c r="D2048" s="1" t="str">
        <f>"K020-NEGRO"</f>
        <v>K020-NEGRO</v>
      </c>
      <c r="E2048" s="1" t="s">
        <v>17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</row>
    <row r="2049" spans="1:11" x14ac:dyDescent="0.2">
      <c r="A2049" s="1" t="s">
        <v>1872</v>
      </c>
      <c r="B2049" s="1" t="s">
        <v>1934</v>
      </c>
      <c r="C2049" s="1" t="str">
        <f>"1515"</f>
        <v>1515</v>
      </c>
      <c r="D2049" s="1" t="str">
        <f>"1515"</f>
        <v>1515</v>
      </c>
      <c r="E2049" s="1" t="s">
        <v>17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</row>
    <row r="2050" spans="1:11" x14ac:dyDescent="0.2">
      <c r="A2050" s="1" t="s">
        <v>1872</v>
      </c>
      <c r="B2050" s="1" t="s">
        <v>1935</v>
      </c>
      <c r="C2050" s="1" t="str">
        <f>"K015-AZUL"</f>
        <v>K015-AZUL</v>
      </c>
      <c r="D2050" s="1" t="str">
        <f>"K015-AZUL"</f>
        <v>K015-AZUL</v>
      </c>
      <c r="E2050" s="1" t="s">
        <v>17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</row>
    <row r="2051" spans="1:11" x14ac:dyDescent="0.2">
      <c r="A2051" s="1" t="s">
        <v>1872</v>
      </c>
      <c r="B2051" s="1" t="s">
        <v>1936</v>
      </c>
      <c r="C2051" s="1" t="str">
        <f>"K015-NEGRO"</f>
        <v>K015-NEGRO</v>
      </c>
      <c r="D2051" s="1" t="str">
        <f>"K015-NEGRO"</f>
        <v>K015-NEGRO</v>
      </c>
      <c r="E2051" s="1" t="s">
        <v>17</v>
      </c>
      <c r="F2051" s="1">
        <v>6</v>
      </c>
      <c r="G2051" s="1">
        <v>5553</v>
      </c>
      <c r="H2051" s="1">
        <v>33318</v>
      </c>
      <c r="I2051" s="1">
        <v>0</v>
      </c>
      <c r="J2051" s="1">
        <v>6</v>
      </c>
      <c r="K2051" s="1">
        <v>0</v>
      </c>
    </row>
    <row r="2052" spans="1:11" x14ac:dyDescent="0.2">
      <c r="A2052" s="1" t="s">
        <v>1872</v>
      </c>
      <c r="B2052" s="1" t="s">
        <v>1937</v>
      </c>
      <c r="C2052" s="1" t="str">
        <f>"66298858791085"</f>
        <v>66298858791085</v>
      </c>
      <c r="D2052" s="1" t="str">
        <f>"0011E-AZUL"</f>
        <v>0011E-AZUL</v>
      </c>
      <c r="E2052" s="1" t="s">
        <v>17</v>
      </c>
      <c r="F2052" s="1">
        <v>4</v>
      </c>
      <c r="G2052" s="1">
        <v>6882</v>
      </c>
      <c r="H2052" s="1">
        <v>27528</v>
      </c>
      <c r="I2052" s="1">
        <v>0</v>
      </c>
      <c r="J2052" s="1">
        <v>4</v>
      </c>
      <c r="K2052" s="1">
        <v>0</v>
      </c>
    </row>
    <row r="2053" spans="1:11" x14ac:dyDescent="0.2">
      <c r="A2053" s="1" t="s">
        <v>1872</v>
      </c>
      <c r="B2053" s="1" t="s">
        <v>1937</v>
      </c>
      <c r="C2053" s="1" t="str">
        <f>"66298858796504"</f>
        <v>66298858796504</v>
      </c>
      <c r="D2053" s="1" t="str">
        <f>"K032-AZUL"</f>
        <v>K032-AZUL</v>
      </c>
      <c r="E2053" s="1" t="s">
        <v>17</v>
      </c>
      <c r="F2053" s="1">
        <v>5</v>
      </c>
      <c r="G2053" s="1">
        <v>12044</v>
      </c>
      <c r="H2053" s="1">
        <v>60220</v>
      </c>
      <c r="I2053" s="1">
        <v>0</v>
      </c>
      <c r="J2053" s="1">
        <v>5</v>
      </c>
      <c r="K2053" s="1">
        <v>0</v>
      </c>
    </row>
    <row r="2054" spans="1:11" x14ac:dyDescent="0.2">
      <c r="A2054" s="1" t="s">
        <v>1872</v>
      </c>
      <c r="B2054" s="1" t="s">
        <v>1937</v>
      </c>
      <c r="C2054" s="1" t="str">
        <f>"66298858849888"</f>
        <v>66298858849888</v>
      </c>
      <c r="D2054" s="1" t="str">
        <f>"K054-AZUL"</f>
        <v>K054-AZUL</v>
      </c>
      <c r="E2054" s="1" t="s">
        <v>17</v>
      </c>
      <c r="F2054" s="1">
        <v>7</v>
      </c>
      <c r="G2054" s="1">
        <v>4641</v>
      </c>
      <c r="H2054" s="1">
        <v>32487</v>
      </c>
      <c r="I2054" s="1">
        <v>0</v>
      </c>
      <c r="J2054" s="1">
        <v>7</v>
      </c>
      <c r="K2054" s="1">
        <v>0</v>
      </c>
    </row>
    <row r="2055" spans="1:11" ht="30" x14ac:dyDescent="0.2">
      <c r="A2055" s="1" t="s">
        <v>1872</v>
      </c>
      <c r="B2055" s="1" t="s">
        <v>1938</v>
      </c>
      <c r="C2055" s="1" t="str">
        <f>"66298858899267"</f>
        <v>66298858899267</v>
      </c>
      <c r="D2055" s="1" t="str">
        <f>"0011E-CROMADO"</f>
        <v>0011E-CROMADO</v>
      </c>
      <c r="E2055" s="1" t="s">
        <v>17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</row>
    <row r="2056" spans="1:11" x14ac:dyDescent="0.2">
      <c r="A2056" s="1" t="s">
        <v>1872</v>
      </c>
      <c r="B2056" s="1" t="s">
        <v>1939</v>
      </c>
      <c r="C2056" s="1" t="str">
        <f>"66298858959747"</f>
        <v>66298858959747</v>
      </c>
      <c r="D2056" s="1" t="str">
        <f>"K054-DORADO"</f>
        <v>K054-DORADO</v>
      </c>
      <c r="E2056" s="1" t="s">
        <v>17</v>
      </c>
      <c r="F2056" s="1">
        <v>1</v>
      </c>
      <c r="G2056" s="1">
        <v>4641</v>
      </c>
      <c r="H2056" s="1">
        <v>4641</v>
      </c>
      <c r="I2056" s="1">
        <v>0</v>
      </c>
      <c r="J2056" s="1">
        <v>1</v>
      </c>
      <c r="K2056" s="1">
        <v>0</v>
      </c>
    </row>
    <row r="2057" spans="1:11" x14ac:dyDescent="0.2">
      <c r="A2057" s="1" t="s">
        <v>1872</v>
      </c>
      <c r="B2057" s="1" t="s">
        <v>1940</v>
      </c>
      <c r="C2057" s="1" t="str">
        <f>"66298859023202"</f>
        <v>66298859023202</v>
      </c>
      <c r="D2057" s="1" t="str">
        <f>"0011E-NEGRO"</f>
        <v>0011E-NEGRO</v>
      </c>
      <c r="E2057" s="1" t="s">
        <v>17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</row>
    <row r="2058" spans="1:11" x14ac:dyDescent="0.2">
      <c r="A2058" s="1" t="s">
        <v>1872</v>
      </c>
      <c r="B2058" s="1" t="s">
        <v>1941</v>
      </c>
      <c r="C2058" s="1" t="str">
        <f>"66298859074963"</f>
        <v>66298859074963</v>
      </c>
      <c r="D2058" s="1" t="str">
        <f>"0011E-ROJO"</f>
        <v>0011E-ROJO</v>
      </c>
      <c r="E2058" s="1" t="s">
        <v>17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</row>
    <row r="2059" spans="1:11" x14ac:dyDescent="0.2">
      <c r="A2059" s="1" t="s">
        <v>1872</v>
      </c>
      <c r="B2059" s="1" t="s">
        <v>1941</v>
      </c>
      <c r="C2059" s="1" t="str">
        <f>"66298859083204"</f>
        <v>66298859083204</v>
      </c>
      <c r="D2059" s="1" t="str">
        <f>"K032-ROJO"</f>
        <v>K032-ROJO</v>
      </c>
      <c r="E2059" s="1" t="s">
        <v>17</v>
      </c>
      <c r="F2059" s="1">
        <v>2</v>
      </c>
      <c r="G2059" s="1">
        <v>12044</v>
      </c>
      <c r="H2059" s="1">
        <v>24088</v>
      </c>
      <c r="I2059" s="1">
        <v>0</v>
      </c>
      <c r="J2059" s="1">
        <v>2</v>
      </c>
      <c r="K2059" s="1">
        <v>0</v>
      </c>
    </row>
    <row r="2060" spans="1:11" x14ac:dyDescent="0.2">
      <c r="A2060" s="1" t="s">
        <v>1872</v>
      </c>
      <c r="B2060" s="1" t="s">
        <v>1942</v>
      </c>
      <c r="C2060" s="1" t="str">
        <f>"66298858683354"</f>
        <v>66298858683354</v>
      </c>
      <c r="D2060" s="1" t="str">
        <f>"K048"</f>
        <v>K048</v>
      </c>
      <c r="E2060" s="1" t="s">
        <v>17</v>
      </c>
      <c r="F2060" s="1">
        <v>3</v>
      </c>
      <c r="G2060" s="1">
        <v>5552</v>
      </c>
      <c r="H2060" s="1">
        <v>16656</v>
      </c>
      <c r="I2060" s="1">
        <v>0</v>
      </c>
      <c r="J2060" s="1">
        <v>3</v>
      </c>
      <c r="K2060" s="1">
        <v>0</v>
      </c>
    </row>
    <row r="2061" spans="1:11" x14ac:dyDescent="0.2">
      <c r="A2061" s="1" t="s">
        <v>1872</v>
      </c>
      <c r="B2061" s="1" t="s">
        <v>1942</v>
      </c>
      <c r="C2061" s="1" t="str">
        <f>"66298858690804"</f>
        <v>66298858690804</v>
      </c>
      <c r="D2061" s="1" t="str">
        <f>"KA035"</f>
        <v>KA035</v>
      </c>
      <c r="E2061" s="1" t="s">
        <v>17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</row>
    <row r="2062" spans="1:11" x14ac:dyDescent="0.2">
      <c r="A2062" s="1" t="s">
        <v>1872</v>
      </c>
      <c r="B2062" s="1" t="s">
        <v>1942</v>
      </c>
      <c r="C2062" s="1" t="str">
        <f>"66298858697414"</f>
        <v>66298858697414</v>
      </c>
      <c r="D2062" s="1" t="str">
        <f>"K066"</f>
        <v>K066</v>
      </c>
      <c r="E2062" s="1" t="s">
        <v>17</v>
      </c>
      <c r="F2062" s="1">
        <v>3</v>
      </c>
      <c r="G2062" s="1">
        <v>8686</v>
      </c>
      <c r="H2062" s="1">
        <v>26058</v>
      </c>
      <c r="I2062" s="1">
        <v>0</v>
      </c>
      <c r="J2062" s="1">
        <v>3</v>
      </c>
      <c r="K2062" s="1">
        <v>0</v>
      </c>
    </row>
    <row r="2063" spans="1:11" x14ac:dyDescent="0.2">
      <c r="A2063" s="1" t="s">
        <v>1872</v>
      </c>
      <c r="B2063" s="1" t="s">
        <v>1942</v>
      </c>
      <c r="C2063" s="1" t="str">
        <f>"66298858703158"</f>
        <v>66298858703158</v>
      </c>
      <c r="D2063" s="1" t="str">
        <f>"KA057"</f>
        <v>KA057</v>
      </c>
      <c r="E2063" s="1" t="s">
        <v>17</v>
      </c>
      <c r="F2063" s="1">
        <v>3</v>
      </c>
      <c r="G2063" s="1">
        <v>12071</v>
      </c>
      <c r="H2063" s="1">
        <v>36213</v>
      </c>
      <c r="I2063" s="1">
        <v>0</v>
      </c>
      <c r="J2063" s="1">
        <v>3</v>
      </c>
      <c r="K2063" s="1">
        <v>0</v>
      </c>
    </row>
    <row r="2064" spans="1:11" x14ac:dyDescent="0.2">
      <c r="A2064" s="1" t="s">
        <v>1872</v>
      </c>
      <c r="B2064" s="1" t="s">
        <v>1943</v>
      </c>
      <c r="C2064" s="1" t="str">
        <f>"66298880865721"</f>
        <v>66298880865721</v>
      </c>
      <c r="D2064" s="1" t="str">
        <f>"KA053"</f>
        <v>KA053</v>
      </c>
      <c r="E2064" s="1" t="s">
        <v>17</v>
      </c>
      <c r="F2064" s="1">
        <v>5</v>
      </c>
      <c r="G2064" s="1">
        <v>10835</v>
      </c>
      <c r="H2064" s="1">
        <v>54175</v>
      </c>
      <c r="I2064" s="1">
        <v>0</v>
      </c>
      <c r="J2064" s="1">
        <v>5</v>
      </c>
      <c r="K2064" s="1">
        <v>0</v>
      </c>
    </row>
    <row r="2065" spans="1:11" x14ac:dyDescent="0.2">
      <c r="A2065" s="1" t="s">
        <v>1872</v>
      </c>
      <c r="B2065" s="1" t="s">
        <v>1944</v>
      </c>
      <c r="C2065" s="1" t="str">
        <f>"66298880908070"</f>
        <v>66298880908070</v>
      </c>
      <c r="D2065" s="1" t="str">
        <f>"124013"</f>
        <v>124013</v>
      </c>
      <c r="E2065" s="1" t="s">
        <v>17</v>
      </c>
      <c r="F2065" s="1">
        <v>2</v>
      </c>
      <c r="G2065" s="1">
        <v>12227</v>
      </c>
      <c r="H2065" s="1">
        <v>24454</v>
      </c>
      <c r="I2065" s="1">
        <v>0</v>
      </c>
      <c r="J2065" s="1">
        <v>2</v>
      </c>
      <c r="K2065" s="1">
        <v>0</v>
      </c>
    </row>
    <row r="2066" spans="1:11" x14ac:dyDescent="0.2">
      <c r="A2066" s="1" t="s">
        <v>18</v>
      </c>
      <c r="B2066" s="1" t="s">
        <v>1945</v>
      </c>
      <c r="C2066" s="1" t="str">
        <f>"4746-AZUL"</f>
        <v>4746-AZUL</v>
      </c>
      <c r="D2066" s="1" t="str">
        <f>"4746-AZUL"</f>
        <v>4746-AZUL</v>
      </c>
      <c r="E2066" s="1" t="s">
        <v>17</v>
      </c>
      <c r="F2066" s="1">
        <v>7</v>
      </c>
      <c r="G2066" s="1">
        <v>327.72</v>
      </c>
      <c r="H2066" s="1">
        <v>2294</v>
      </c>
      <c r="I2066" s="1">
        <v>0</v>
      </c>
      <c r="J2066" s="1">
        <v>7</v>
      </c>
      <c r="K2066" s="1">
        <v>0</v>
      </c>
    </row>
    <row r="2067" spans="1:11" x14ac:dyDescent="0.2">
      <c r="A2067" s="1" t="s">
        <v>18</v>
      </c>
      <c r="B2067" s="1" t="s">
        <v>1946</v>
      </c>
      <c r="C2067" s="1" t="str">
        <f>"4746-ROJO"</f>
        <v>4746-ROJO</v>
      </c>
      <c r="D2067" s="1" t="str">
        <f>"4746-ROJO"</f>
        <v>4746-ROJO</v>
      </c>
      <c r="E2067" s="1" t="s">
        <v>17</v>
      </c>
      <c r="F2067" s="1">
        <v>6</v>
      </c>
      <c r="G2067" s="1">
        <v>327.72</v>
      </c>
      <c r="H2067" s="1">
        <v>1966</v>
      </c>
      <c r="I2067" s="1">
        <v>0</v>
      </c>
      <c r="J2067" s="1">
        <v>6</v>
      </c>
      <c r="K2067" s="1">
        <v>0</v>
      </c>
    </row>
    <row r="2068" spans="1:11" x14ac:dyDescent="0.2">
      <c r="A2068" s="1" t="s">
        <v>18</v>
      </c>
      <c r="B2068" s="1" t="s">
        <v>1947</v>
      </c>
      <c r="C2068" s="1" t="str">
        <f>"4746-VERDE"</f>
        <v>4746-VERDE</v>
      </c>
      <c r="D2068" s="1" t="str">
        <f>"4746-VERDE"</f>
        <v>4746-VERDE</v>
      </c>
      <c r="E2068" s="1" t="s">
        <v>17</v>
      </c>
      <c r="F2068" s="1">
        <v>3</v>
      </c>
      <c r="G2068" s="1">
        <v>327.72</v>
      </c>
      <c r="H2068" s="1">
        <v>983</v>
      </c>
      <c r="I2068" s="1">
        <v>0</v>
      </c>
      <c r="J2068" s="1">
        <v>3</v>
      </c>
      <c r="K2068" s="1">
        <v>0</v>
      </c>
    </row>
    <row r="2069" spans="1:11" x14ac:dyDescent="0.2">
      <c r="A2069" s="1" t="s">
        <v>1948</v>
      </c>
      <c r="B2069" s="1" t="s">
        <v>1949</v>
      </c>
      <c r="C2069" s="1" t="str">
        <f>"66298880952409"</f>
        <v>66298880952409</v>
      </c>
      <c r="D2069" s="1" t="str">
        <f>"44011H2C020HF01"</f>
        <v>44011H2C020HF01</v>
      </c>
      <c r="E2069" s="1" t="s">
        <v>17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</row>
    <row r="2070" spans="1:11" x14ac:dyDescent="0.2">
      <c r="A2070" s="1" t="s">
        <v>1948</v>
      </c>
      <c r="B2070" s="1" t="s">
        <v>1950</v>
      </c>
      <c r="C2070" s="1" t="str">
        <f>"A210-ROJO"</f>
        <v>A210-ROJO</v>
      </c>
      <c r="D2070" s="1" t="str">
        <f>"A210-ROJO"</f>
        <v>A210-ROJO</v>
      </c>
      <c r="E2070" s="1" t="s">
        <v>17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</row>
    <row r="2071" spans="1:11" ht="30" x14ac:dyDescent="0.2">
      <c r="A2071" s="1" t="s">
        <v>1951</v>
      </c>
      <c r="B2071" s="1" t="s">
        <v>1952</v>
      </c>
      <c r="C2071" s="1" t="str">
        <f>"TS35"</f>
        <v>TS35</v>
      </c>
      <c r="D2071" s="1" t="str">
        <f>"TS35"</f>
        <v>TS35</v>
      </c>
      <c r="E2071" s="1" t="s">
        <v>17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</row>
    <row r="2072" spans="1:11" x14ac:dyDescent="0.2">
      <c r="A2072" s="1" t="s">
        <v>1951</v>
      </c>
      <c r="B2072" s="1" t="s">
        <v>1953</v>
      </c>
      <c r="C2072" s="1" t="str">
        <f>"FB011"</f>
        <v>FB011</v>
      </c>
      <c r="D2072" s="1" t="str">
        <f>"FB011"</f>
        <v>FB011</v>
      </c>
      <c r="E2072" s="1" t="s">
        <v>17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</row>
    <row r="2073" spans="1:11" x14ac:dyDescent="0.2">
      <c r="A2073" s="1" t="s">
        <v>1951</v>
      </c>
      <c r="B2073" s="1" t="s">
        <v>1954</v>
      </c>
      <c r="C2073" s="1" t="str">
        <f>"384"</f>
        <v>384</v>
      </c>
      <c r="D2073" s="1" t="str">
        <f>"384"</f>
        <v>384</v>
      </c>
      <c r="E2073" s="1" t="s">
        <v>17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</row>
    <row r="2074" spans="1:11" x14ac:dyDescent="0.2">
      <c r="A2074" s="1" t="s">
        <v>1951</v>
      </c>
      <c r="B2074" s="1" t="s">
        <v>1955</v>
      </c>
      <c r="C2074" s="1" t="str">
        <f>"66298880992931"</f>
        <v>66298880992931</v>
      </c>
      <c r="D2074" s="1" t="str">
        <f>"400704"</f>
        <v>400704</v>
      </c>
      <c r="E2074" s="1" t="s">
        <v>17</v>
      </c>
      <c r="F2074" s="1">
        <v>13</v>
      </c>
      <c r="G2074" s="1">
        <v>6273</v>
      </c>
      <c r="H2074" s="1">
        <v>81549</v>
      </c>
      <c r="I2074" s="1">
        <v>0</v>
      </c>
      <c r="J2074" s="1">
        <v>13</v>
      </c>
      <c r="K2074" s="1">
        <v>0</v>
      </c>
    </row>
    <row r="2075" spans="1:11" x14ac:dyDescent="0.2">
      <c r="A2075" s="1" t="s">
        <v>1951</v>
      </c>
      <c r="B2075" s="1" t="s">
        <v>1956</v>
      </c>
      <c r="C2075" s="1" t="str">
        <f>"66298881033171"</f>
        <v>66298881033171</v>
      </c>
      <c r="D2075" s="1" t="str">
        <f>"31120-K51-601GH"</f>
        <v>31120-K51-601GH</v>
      </c>
      <c r="E2075" s="1" t="s">
        <v>17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</row>
    <row r="2076" spans="1:11" x14ac:dyDescent="0.2">
      <c r="A2076" s="1" t="s">
        <v>1951</v>
      </c>
      <c r="B2076" s="1" t="s">
        <v>1957</v>
      </c>
      <c r="C2076" s="1" t="str">
        <f>"66298881147441"</f>
        <v>66298881147441</v>
      </c>
      <c r="D2076" s="1" t="str">
        <f>"31120-KTE-911HB"</f>
        <v>31120-KTE-911HB</v>
      </c>
      <c r="E2076" s="1" t="s">
        <v>17</v>
      </c>
      <c r="F2076" s="1">
        <v>6</v>
      </c>
      <c r="G2076" s="1">
        <v>15230</v>
      </c>
      <c r="H2076" s="1">
        <v>91380</v>
      </c>
      <c r="I2076" s="1">
        <v>0</v>
      </c>
      <c r="J2076" s="1">
        <v>6</v>
      </c>
      <c r="K2076" s="1">
        <v>0</v>
      </c>
    </row>
    <row r="2077" spans="1:11" x14ac:dyDescent="0.2">
      <c r="A2077" s="1" t="s">
        <v>1951</v>
      </c>
      <c r="B2077" s="1" t="s">
        <v>1958</v>
      </c>
      <c r="C2077" s="1" t="str">
        <f>"66298881201528"</f>
        <v>66298881201528</v>
      </c>
      <c r="D2077" s="1" t="str">
        <f>"31120-KSP-900HB"</f>
        <v>31120-KSP-900HB</v>
      </c>
      <c r="E2077" s="1" t="s">
        <v>17</v>
      </c>
      <c r="F2077" s="1">
        <v>4</v>
      </c>
      <c r="G2077" s="1">
        <v>10315</v>
      </c>
      <c r="H2077" s="1">
        <v>41260</v>
      </c>
      <c r="I2077" s="1">
        <v>0</v>
      </c>
      <c r="J2077" s="1">
        <v>4</v>
      </c>
      <c r="K2077" s="1">
        <v>0</v>
      </c>
    </row>
    <row r="2078" spans="1:11" x14ac:dyDescent="0.2">
      <c r="A2078" s="1" t="s">
        <v>1951</v>
      </c>
      <c r="B2078" s="1" t="s">
        <v>1959</v>
      </c>
      <c r="C2078" s="1" t="str">
        <f>"66298881238898"</f>
        <v>66298881238898</v>
      </c>
      <c r="D2078" s="1" t="str">
        <f>"400708"</f>
        <v>400708</v>
      </c>
      <c r="E2078" s="1" t="s">
        <v>17</v>
      </c>
      <c r="F2078" s="1">
        <v>8</v>
      </c>
      <c r="G2078" s="1">
        <v>5381</v>
      </c>
      <c r="H2078" s="1">
        <v>43048</v>
      </c>
      <c r="I2078" s="1">
        <v>0</v>
      </c>
      <c r="J2078" s="1">
        <v>8</v>
      </c>
      <c r="K2078" s="1">
        <v>0</v>
      </c>
    </row>
    <row r="2079" spans="1:11" x14ac:dyDescent="0.2">
      <c r="A2079" s="1" t="s">
        <v>1951</v>
      </c>
      <c r="B2079" s="1" t="s">
        <v>1960</v>
      </c>
      <c r="C2079" s="1" t="str">
        <f>"66298881322052"</f>
        <v>66298881322052</v>
      </c>
      <c r="D2079" s="1" t="str">
        <f>"400023"</f>
        <v>400023</v>
      </c>
      <c r="E2079" s="1" t="s">
        <v>17</v>
      </c>
      <c r="F2079" s="1">
        <v>5</v>
      </c>
      <c r="G2079" s="1">
        <v>4132</v>
      </c>
      <c r="H2079" s="1">
        <v>20660</v>
      </c>
      <c r="I2079" s="1">
        <v>0</v>
      </c>
      <c r="J2079" s="1">
        <v>5</v>
      </c>
      <c r="K2079" s="1">
        <v>0</v>
      </c>
    </row>
    <row r="2080" spans="1:11" x14ac:dyDescent="0.2">
      <c r="A2080" s="1" t="s">
        <v>1951</v>
      </c>
      <c r="B2080" s="1" t="s">
        <v>1961</v>
      </c>
      <c r="C2080" s="1" t="str">
        <f>"B085"</f>
        <v>B085</v>
      </c>
      <c r="D2080" s="1" t="str">
        <f>"B085"</f>
        <v>B085</v>
      </c>
      <c r="E2080" s="1" t="s">
        <v>17</v>
      </c>
      <c r="F2080" s="1">
        <v>1</v>
      </c>
      <c r="G2080" s="1">
        <v>8620</v>
      </c>
      <c r="H2080" s="1">
        <v>8620</v>
      </c>
      <c r="I2080" s="1">
        <v>0</v>
      </c>
      <c r="J2080" s="1">
        <v>1</v>
      </c>
      <c r="K2080" s="1">
        <v>0</v>
      </c>
    </row>
    <row r="2081" spans="1:11" x14ac:dyDescent="0.2">
      <c r="A2081" s="1" t="s">
        <v>1951</v>
      </c>
      <c r="B2081" s="1" t="s">
        <v>1961</v>
      </c>
      <c r="C2081" s="1" t="str">
        <f>"FB013"</f>
        <v>FB013</v>
      </c>
      <c r="D2081" s="1" t="str">
        <f>"FB013"</f>
        <v>FB013</v>
      </c>
      <c r="E2081" s="1" t="s">
        <v>17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</row>
    <row r="2082" spans="1:11" x14ac:dyDescent="0.2">
      <c r="A2082" s="1" t="s">
        <v>1951</v>
      </c>
      <c r="B2082" s="1" t="s">
        <v>1962</v>
      </c>
      <c r="C2082" s="1" t="str">
        <f>"66298881278169"</f>
        <v>66298881278169</v>
      </c>
      <c r="D2082" s="1" t="str">
        <f>"400702"</f>
        <v>400702</v>
      </c>
      <c r="E2082" s="1" t="s">
        <v>17</v>
      </c>
      <c r="F2082" s="1">
        <v>4</v>
      </c>
      <c r="G2082" s="1">
        <v>4745</v>
      </c>
      <c r="H2082" s="1">
        <v>18980</v>
      </c>
      <c r="I2082" s="1">
        <v>0</v>
      </c>
      <c r="J2082" s="1">
        <v>4</v>
      </c>
      <c r="K2082" s="1">
        <v>0</v>
      </c>
    </row>
    <row r="2083" spans="1:11" x14ac:dyDescent="0.2">
      <c r="A2083" s="1" t="s">
        <v>1951</v>
      </c>
      <c r="B2083" s="1" t="s">
        <v>1963</v>
      </c>
      <c r="C2083" s="1" t="str">
        <f>"FB019"</f>
        <v>FB019</v>
      </c>
      <c r="D2083" s="1" t="str">
        <f>"FB019"</f>
        <v>FB019</v>
      </c>
      <c r="E2083" s="1" t="s">
        <v>17</v>
      </c>
      <c r="F2083" s="1">
        <v>2</v>
      </c>
      <c r="G2083" s="1">
        <v>8769.61</v>
      </c>
      <c r="H2083" s="1">
        <v>17539</v>
      </c>
      <c r="I2083" s="1">
        <v>0</v>
      </c>
      <c r="J2083" s="1">
        <v>2</v>
      </c>
      <c r="K2083" s="1">
        <v>0</v>
      </c>
    </row>
    <row r="2084" spans="1:11" x14ac:dyDescent="0.2">
      <c r="A2084" s="1" t="s">
        <v>1951</v>
      </c>
      <c r="B2084" s="1" t="s">
        <v>1964</v>
      </c>
      <c r="C2084" s="1" t="str">
        <f>"ESTAT-EX100"</f>
        <v>ESTAT-EX100</v>
      </c>
      <c r="D2084" s="1" t="str">
        <f>"ESTAT-EX100"</f>
        <v>ESTAT-EX100</v>
      </c>
      <c r="E2084" s="1" t="s">
        <v>17</v>
      </c>
      <c r="F2084" s="1">
        <v>4</v>
      </c>
      <c r="G2084" s="1">
        <v>6785.69</v>
      </c>
      <c r="H2084" s="1">
        <v>27143</v>
      </c>
      <c r="I2084" s="1">
        <v>0</v>
      </c>
      <c r="J2084" s="1">
        <v>4</v>
      </c>
      <c r="K2084" s="1">
        <v>0</v>
      </c>
    </row>
    <row r="2085" spans="1:11" x14ac:dyDescent="0.2">
      <c r="A2085" s="1" t="s">
        <v>1951</v>
      </c>
      <c r="B2085" s="1" t="s">
        <v>1965</v>
      </c>
      <c r="C2085" s="1" t="str">
        <f>"66298881365586"</f>
        <v>66298881365586</v>
      </c>
      <c r="D2085" s="1" t="str">
        <f>"31120-KST-941HB"</f>
        <v>31120-KST-941HB</v>
      </c>
      <c r="E2085" s="1" t="s">
        <v>17</v>
      </c>
      <c r="F2085" s="1">
        <v>5</v>
      </c>
      <c r="G2085" s="1">
        <v>13800</v>
      </c>
      <c r="H2085" s="1">
        <v>69000</v>
      </c>
      <c r="I2085" s="1">
        <v>0</v>
      </c>
      <c r="J2085" s="1">
        <v>5</v>
      </c>
      <c r="K2085" s="1">
        <v>0</v>
      </c>
    </row>
    <row r="2086" spans="1:11" x14ac:dyDescent="0.2">
      <c r="A2086" s="1" t="s">
        <v>1951</v>
      </c>
      <c r="B2086" s="1" t="s">
        <v>1966</v>
      </c>
      <c r="C2086" s="1" t="str">
        <f>"66298881406785"</f>
        <v>66298881406785</v>
      </c>
      <c r="D2086" s="1" t="str">
        <f>"31120-KVH-871HB"</f>
        <v>31120-KVH-871HB</v>
      </c>
      <c r="E2086" s="1" t="s">
        <v>17</v>
      </c>
      <c r="F2086" s="1">
        <v>2</v>
      </c>
      <c r="G2086" s="1">
        <v>11495</v>
      </c>
      <c r="H2086" s="1">
        <v>22990</v>
      </c>
      <c r="I2086" s="1">
        <v>0</v>
      </c>
      <c r="J2086" s="1">
        <v>2</v>
      </c>
      <c r="K2086" s="1">
        <v>0</v>
      </c>
    </row>
    <row r="2087" spans="1:11" x14ac:dyDescent="0.2">
      <c r="A2087" s="1" t="s">
        <v>1951</v>
      </c>
      <c r="B2087" s="1" t="s">
        <v>1967</v>
      </c>
      <c r="C2087" s="1" t="str">
        <f>"66298881445246"</f>
        <v>66298881445246</v>
      </c>
      <c r="D2087" s="1" t="str">
        <f>"JP-3510-07HB"</f>
        <v>JP-3510-07HB</v>
      </c>
      <c r="E2087" s="1" t="s">
        <v>17</v>
      </c>
      <c r="F2087" s="1">
        <v>5</v>
      </c>
      <c r="G2087" s="1">
        <v>11016</v>
      </c>
      <c r="H2087" s="1">
        <v>55080</v>
      </c>
      <c r="I2087" s="1">
        <v>0</v>
      </c>
      <c r="J2087" s="1">
        <v>5</v>
      </c>
      <c r="K2087" s="1">
        <v>0</v>
      </c>
    </row>
    <row r="2088" spans="1:11" x14ac:dyDescent="0.2">
      <c r="A2088" s="1" t="s">
        <v>1951</v>
      </c>
      <c r="B2088" s="1" t="s">
        <v>1967</v>
      </c>
      <c r="C2088" s="1" t="str">
        <f>"66298881489147"</f>
        <v>66298881489147</v>
      </c>
      <c r="D2088" s="1" t="str">
        <f>"FB002"</f>
        <v>FB002</v>
      </c>
      <c r="E2088" s="1" t="s">
        <v>17</v>
      </c>
      <c r="F2088" s="1">
        <v>2</v>
      </c>
      <c r="G2088" s="1">
        <v>8361</v>
      </c>
      <c r="H2088" s="1">
        <v>16722</v>
      </c>
      <c r="I2088" s="1">
        <v>0</v>
      </c>
      <c r="J2088" s="1">
        <v>2</v>
      </c>
      <c r="K2088" s="1">
        <v>0</v>
      </c>
    </row>
    <row r="2089" spans="1:11" x14ac:dyDescent="0.2">
      <c r="A2089" s="1" t="s">
        <v>1951</v>
      </c>
      <c r="B2089" s="1" t="s">
        <v>1968</v>
      </c>
      <c r="C2089" s="1" t="str">
        <f>"66298881532529"</f>
        <v>66298881532529</v>
      </c>
      <c r="D2089" s="1" t="str">
        <f>"FB003"</f>
        <v>FB003</v>
      </c>
      <c r="E2089" s="1" t="s">
        <v>17</v>
      </c>
      <c r="F2089" s="1">
        <v>4</v>
      </c>
      <c r="G2089" s="1">
        <v>8537</v>
      </c>
      <c r="H2089" s="1">
        <v>34148</v>
      </c>
      <c r="I2089" s="1">
        <v>0</v>
      </c>
      <c r="J2089" s="1">
        <v>4</v>
      </c>
      <c r="K2089" s="1">
        <v>0</v>
      </c>
    </row>
    <row r="2090" spans="1:11" x14ac:dyDescent="0.2">
      <c r="A2090" s="1" t="s">
        <v>1951</v>
      </c>
      <c r="B2090" s="1" t="s">
        <v>1969</v>
      </c>
      <c r="C2090" s="1" t="str">
        <f>"66298881573312"</f>
        <v>66298881573312</v>
      </c>
      <c r="D2090" s="1" t="str">
        <f>"400703"</f>
        <v>400703</v>
      </c>
      <c r="E2090" s="1" t="s">
        <v>17</v>
      </c>
      <c r="F2090" s="1">
        <v>6</v>
      </c>
      <c r="G2090" s="1">
        <v>6426</v>
      </c>
      <c r="H2090" s="1">
        <v>38556</v>
      </c>
      <c r="I2090" s="1">
        <v>0</v>
      </c>
      <c r="J2090" s="1">
        <v>6</v>
      </c>
      <c r="K2090" s="1">
        <v>0</v>
      </c>
    </row>
    <row r="2091" spans="1:11" x14ac:dyDescent="0.2">
      <c r="A2091" s="1" t="s">
        <v>1951</v>
      </c>
      <c r="B2091" s="1" t="s">
        <v>1970</v>
      </c>
      <c r="C2091" s="1" t="str">
        <f>"FB012"</f>
        <v>FB012</v>
      </c>
      <c r="D2091" s="1" t="str">
        <f>"FB012"</f>
        <v>FB012</v>
      </c>
      <c r="E2091" s="1" t="s">
        <v>17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</row>
    <row r="2092" spans="1:11" x14ac:dyDescent="0.2">
      <c r="A2092" s="1" t="s">
        <v>1951</v>
      </c>
      <c r="B2092" s="1" t="s">
        <v>1971</v>
      </c>
      <c r="C2092" s="1" t="str">
        <f>"12598"</f>
        <v>12598</v>
      </c>
      <c r="D2092" s="1" t="str">
        <f>"12598"</f>
        <v>12598</v>
      </c>
      <c r="E2092" s="1" t="s">
        <v>17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</row>
    <row r="2093" spans="1:11" x14ac:dyDescent="0.2">
      <c r="A2093" s="1" t="s">
        <v>1951</v>
      </c>
      <c r="B2093" s="1" t="s">
        <v>1972</v>
      </c>
      <c r="C2093" s="1" t="str">
        <f>"66298881628745"</f>
        <v>66298881628745</v>
      </c>
      <c r="D2093" s="1" t="str">
        <f>"400705"</f>
        <v>400705</v>
      </c>
      <c r="E2093" s="1" t="s">
        <v>17</v>
      </c>
      <c r="F2093" s="1">
        <v>2</v>
      </c>
      <c r="G2093" s="1">
        <v>7509</v>
      </c>
      <c r="H2093" s="1">
        <v>15018</v>
      </c>
      <c r="I2093" s="1">
        <v>0</v>
      </c>
      <c r="J2093" s="1">
        <v>2</v>
      </c>
      <c r="K2093" s="1">
        <v>0</v>
      </c>
    </row>
    <row r="2094" spans="1:11" x14ac:dyDescent="0.2">
      <c r="A2094" s="1" t="s">
        <v>1951</v>
      </c>
      <c r="B2094" s="1" t="s">
        <v>1973</v>
      </c>
      <c r="C2094" s="1" t="str">
        <f>"7821"</f>
        <v>7821</v>
      </c>
      <c r="D2094" s="1" t="str">
        <f>"7821"</f>
        <v>7821</v>
      </c>
      <c r="E2094" s="1" t="s">
        <v>17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</row>
    <row r="2095" spans="1:11" x14ac:dyDescent="0.2">
      <c r="A2095" s="1" t="s">
        <v>1951</v>
      </c>
      <c r="B2095" s="1" t="s">
        <v>1974</v>
      </c>
      <c r="C2095" s="1" t="str">
        <f>"66298881683654"</f>
        <v>66298881683654</v>
      </c>
      <c r="D2095" s="1" t="str">
        <f>"400710"</f>
        <v>400710</v>
      </c>
      <c r="E2095" s="1" t="s">
        <v>17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</row>
    <row r="2096" spans="1:11" x14ac:dyDescent="0.2">
      <c r="A2096" s="1" t="s">
        <v>1951</v>
      </c>
      <c r="B2096" s="1" t="s">
        <v>1975</v>
      </c>
      <c r="C2096" s="1" t="str">
        <f>"66298881728965"</f>
        <v>66298881728965</v>
      </c>
      <c r="D2096" s="1" t="str">
        <f>"400713"</f>
        <v>400713</v>
      </c>
      <c r="E2096" s="1" t="s">
        <v>17</v>
      </c>
      <c r="F2096" s="1">
        <v>5</v>
      </c>
      <c r="G2096" s="1">
        <v>7871</v>
      </c>
      <c r="H2096" s="1">
        <v>39355</v>
      </c>
      <c r="I2096" s="1">
        <v>0</v>
      </c>
      <c r="J2096" s="1">
        <v>5</v>
      </c>
      <c r="K2096" s="1">
        <v>0</v>
      </c>
    </row>
    <row r="2097" spans="1:11" x14ac:dyDescent="0.2">
      <c r="A2097" s="1" t="s">
        <v>1951</v>
      </c>
      <c r="B2097" s="1" t="s">
        <v>1976</v>
      </c>
      <c r="C2097" s="1" t="str">
        <f>"66298881771543"</f>
        <v>66298881771543</v>
      </c>
      <c r="D2097" s="1" t="str">
        <f>"400709"</f>
        <v>400709</v>
      </c>
      <c r="E2097" s="1" t="s">
        <v>17</v>
      </c>
      <c r="F2097" s="1">
        <v>10</v>
      </c>
      <c r="G2097" s="1">
        <v>6604</v>
      </c>
      <c r="H2097" s="1">
        <v>66040</v>
      </c>
      <c r="I2097" s="1">
        <v>0</v>
      </c>
      <c r="J2097" s="1">
        <v>10</v>
      </c>
      <c r="K2097" s="1">
        <v>0</v>
      </c>
    </row>
    <row r="2098" spans="1:11" x14ac:dyDescent="0.2">
      <c r="A2098" s="1" t="s">
        <v>1951</v>
      </c>
      <c r="B2098" s="1" t="s">
        <v>1977</v>
      </c>
      <c r="C2098" s="1" t="str">
        <f>"66298881882959"</f>
        <v>66298881882959</v>
      </c>
      <c r="D2098" s="1" t="str">
        <f>"400707"</f>
        <v>400707</v>
      </c>
      <c r="E2098" s="1" t="s">
        <v>17</v>
      </c>
      <c r="F2098" s="1">
        <v>3</v>
      </c>
      <c r="G2098" s="1">
        <v>8442</v>
      </c>
      <c r="H2098" s="1">
        <v>25326</v>
      </c>
      <c r="I2098" s="1">
        <v>0</v>
      </c>
      <c r="J2098" s="1">
        <v>3</v>
      </c>
      <c r="K2098" s="1">
        <v>0</v>
      </c>
    </row>
    <row r="2099" spans="1:11" x14ac:dyDescent="0.2">
      <c r="A2099" s="1" t="s">
        <v>1951</v>
      </c>
      <c r="B2099" s="1" t="s">
        <v>1978</v>
      </c>
      <c r="C2099" s="1" t="str">
        <f>"66298881819426"</f>
        <v>66298881819426</v>
      </c>
      <c r="D2099" s="1" t="str">
        <f>"JL351003"</f>
        <v>JL351003</v>
      </c>
      <c r="E2099" s="1" t="s">
        <v>17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</row>
    <row r="2100" spans="1:11" x14ac:dyDescent="0.2">
      <c r="A2100" s="1" t="s">
        <v>1951</v>
      </c>
      <c r="B2100" s="1" t="s">
        <v>1978</v>
      </c>
      <c r="C2100" s="1" t="str">
        <f>"66298881827378"</f>
        <v>66298881827378</v>
      </c>
      <c r="D2100" s="1" t="str">
        <f>"JL-3510-03HB"</f>
        <v>JL-3510-03HB</v>
      </c>
      <c r="E2100" s="1" t="s">
        <v>17</v>
      </c>
      <c r="F2100" s="1">
        <v>2</v>
      </c>
      <c r="G2100" s="1">
        <v>13026</v>
      </c>
      <c r="H2100" s="1">
        <v>26052</v>
      </c>
      <c r="I2100" s="1">
        <v>0</v>
      </c>
      <c r="J2100" s="1">
        <v>2</v>
      </c>
      <c r="K2100" s="1">
        <v>0</v>
      </c>
    </row>
    <row r="2101" spans="1:11" ht="30" x14ac:dyDescent="0.2">
      <c r="A2101" s="1" t="s">
        <v>1951</v>
      </c>
      <c r="B2101" s="1" t="s">
        <v>1979</v>
      </c>
      <c r="C2101" s="1" t="str">
        <f>"FB026"</f>
        <v>FB026</v>
      </c>
      <c r="D2101" s="1" t="str">
        <f>"FB026"</f>
        <v>FB026</v>
      </c>
      <c r="E2101" s="1" t="s">
        <v>17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</row>
    <row r="2102" spans="1:11" x14ac:dyDescent="0.2">
      <c r="A2102" s="1" t="s">
        <v>1951</v>
      </c>
      <c r="B2102" s="1" t="s">
        <v>1980</v>
      </c>
      <c r="C2102" s="1" t="str">
        <f>"66298881922102"</f>
        <v>66298881922102</v>
      </c>
      <c r="D2102" s="1" t="str">
        <f>"400712"</f>
        <v>400712</v>
      </c>
      <c r="E2102" s="1" t="s">
        <v>17</v>
      </c>
      <c r="F2102" s="1">
        <v>8</v>
      </c>
      <c r="G2102" s="1">
        <v>7042</v>
      </c>
      <c r="H2102" s="1">
        <v>56336</v>
      </c>
      <c r="I2102" s="1">
        <v>0</v>
      </c>
      <c r="J2102" s="1">
        <v>8</v>
      </c>
      <c r="K2102" s="1">
        <v>0</v>
      </c>
    </row>
    <row r="2103" spans="1:11" x14ac:dyDescent="0.2">
      <c r="A2103" s="1" t="s">
        <v>1951</v>
      </c>
      <c r="B2103" s="1" t="s">
        <v>1981</v>
      </c>
      <c r="C2103" s="1" t="str">
        <f>"BK045"</f>
        <v>BK045</v>
      </c>
      <c r="D2103" s="1" t="str">
        <f>"BK045"</f>
        <v>BK045</v>
      </c>
      <c r="E2103" s="1" t="s">
        <v>17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</row>
    <row r="2104" spans="1:11" x14ac:dyDescent="0.2">
      <c r="A2104" s="1" t="s">
        <v>1951</v>
      </c>
      <c r="B2104" s="1" t="s">
        <v>1982</v>
      </c>
      <c r="C2104" s="1" t="str">
        <f>"66298881959954"</f>
        <v>66298881959954</v>
      </c>
      <c r="D2104" s="1" t="str">
        <f>"APY311200016"</f>
        <v>APY311200016</v>
      </c>
      <c r="E2104" s="1" t="s">
        <v>17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</row>
    <row r="2105" spans="1:11" x14ac:dyDescent="0.2">
      <c r="A2105" s="1" t="s">
        <v>1951</v>
      </c>
      <c r="B2105" s="1" t="s">
        <v>1983</v>
      </c>
      <c r="C2105" s="1" t="str">
        <f>"66298882004514"</f>
        <v>66298882004514</v>
      </c>
      <c r="D2105" s="1" t="str">
        <f>"400711"</f>
        <v>400711</v>
      </c>
      <c r="E2105" s="1" t="s">
        <v>17</v>
      </c>
      <c r="F2105" s="1">
        <v>8</v>
      </c>
      <c r="G2105" s="1">
        <v>8076</v>
      </c>
      <c r="H2105" s="1">
        <v>64608</v>
      </c>
      <c r="I2105" s="1">
        <v>0</v>
      </c>
      <c r="J2105" s="1">
        <v>8</v>
      </c>
      <c r="K2105" s="1">
        <v>0</v>
      </c>
    </row>
    <row r="2106" spans="1:11" x14ac:dyDescent="0.2">
      <c r="A2106" s="1" t="s">
        <v>1951</v>
      </c>
      <c r="B2106" s="1" t="s">
        <v>1984</v>
      </c>
      <c r="C2106" s="1" t="str">
        <f>"379"</f>
        <v>379</v>
      </c>
      <c r="D2106" s="1" t="str">
        <f>"379"</f>
        <v>379</v>
      </c>
      <c r="E2106" s="1" t="s">
        <v>17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</row>
    <row r="2107" spans="1:11" x14ac:dyDescent="0.2">
      <c r="A2107" s="1" t="s">
        <v>1951</v>
      </c>
      <c r="B2107" s="1" t="s">
        <v>1985</v>
      </c>
      <c r="C2107" s="1" t="str">
        <f>"66298882042209"</f>
        <v>66298882042209</v>
      </c>
      <c r="D2107" s="1" t="str">
        <f>"FB008"</f>
        <v>FB008</v>
      </c>
      <c r="E2107" s="1" t="s">
        <v>17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</row>
    <row r="2108" spans="1:11" x14ac:dyDescent="0.2">
      <c r="A2108" s="1" t="s">
        <v>1951</v>
      </c>
      <c r="B2108" s="1" t="s">
        <v>1986</v>
      </c>
      <c r="C2108" s="1" t="str">
        <f>"8023"</f>
        <v>8023</v>
      </c>
      <c r="D2108" s="1" t="str">
        <f>"8023"</f>
        <v>8023</v>
      </c>
      <c r="E2108" s="1" t="s">
        <v>17</v>
      </c>
      <c r="F2108" s="1">
        <v>2</v>
      </c>
      <c r="G2108" s="1">
        <v>17747.900000000001</v>
      </c>
      <c r="H2108" s="1">
        <v>35496</v>
      </c>
      <c r="I2108" s="1">
        <v>0</v>
      </c>
      <c r="J2108" s="1">
        <v>2</v>
      </c>
      <c r="K2108" s="1">
        <v>0</v>
      </c>
    </row>
    <row r="2109" spans="1:11" ht="30" x14ac:dyDescent="0.2">
      <c r="A2109" s="1" t="s">
        <v>1951</v>
      </c>
      <c r="B2109" s="1" t="s">
        <v>1987</v>
      </c>
      <c r="C2109" s="1" t="str">
        <f>"K353186600"</f>
        <v>K353186600</v>
      </c>
      <c r="D2109" s="1" t="str">
        <f>"K353186600"</f>
        <v>K353186600</v>
      </c>
      <c r="E2109" s="1" t="s">
        <v>17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</row>
    <row r="2110" spans="1:11" x14ac:dyDescent="0.2">
      <c r="A2110" s="1" t="s">
        <v>1951</v>
      </c>
      <c r="B2110" s="1" t="s">
        <v>1988</v>
      </c>
      <c r="C2110" s="1" t="str">
        <f>"66298882082757"</f>
        <v>66298882082757</v>
      </c>
      <c r="D2110" s="1" t="str">
        <f>"12518"</f>
        <v>12518</v>
      </c>
      <c r="E2110" s="1" t="s">
        <v>17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</row>
    <row r="2111" spans="1:11" x14ac:dyDescent="0.2">
      <c r="A2111" s="1" t="s">
        <v>608</v>
      </c>
      <c r="B2111" s="1" t="s">
        <v>1989</v>
      </c>
      <c r="C2111" s="1" t="str">
        <f>"26608"</f>
        <v>26608</v>
      </c>
      <c r="D2111" s="1" t="str">
        <f>"26608"</f>
        <v>26608</v>
      </c>
      <c r="E2111" s="1" t="s">
        <v>17</v>
      </c>
      <c r="F2111" s="1">
        <v>75</v>
      </c>
      <c r="G2111" s="1">
        <v>221.85</v>
      </c>
      <c r="H2111" s="1">
        <v>16639</v>
      </c>
      <c r="I2111" s="1">
        <v>1</v>
      </c>
      <c r="J2111" s="1">
        <v>74</v>
      </c>
      <c r="K2111" s="1">
        <v>0</v>
      </c>
    </row>
    <row r="2112" spans="1:11" x14ac:dyDescent="0.2">
      <c r="A2112" s="1" t="s">
        <v>608</v>
      </c>
      <c r="B2112" s="1" t="s">
        <v>1990</v>
      </c>
      <c r="C2112" s="1" t="str">
        <f>"66298882164309"</f>
        <v>66298882164309</v>
      </c>
      <c r="D2112" s="1" t="str">
        <f>"1401"</f>
        <v>1401</v>
      </c>
      <c r="E2112" s="1" t="s">
        <v>17</v>
      </c>
      <c r="F2112" s="1">
        <v>4</v>
      </c>
      <c r="G2112" s="1">
        <v>188</v>
      </c>
      <c r="H2112" s="1">
        <v>752</v>
      </c>
      <c r="I2112" s="1">
        <v>0</v>
      </c>
      <c r="J2112" s="1">
        <v>4</v>
      </c>
      <c r="K2112" s="1">
        <v>0</v>
      </c>
    </row>
    <row r="2113" spans="1:11" x14ac:dyDescent="0.2">
      <c r="A2113" s="1" t="s">
        <v>608</v>
      </c>
      <c r="B2113" s="1" t="s">
        <v>1990</v>
      </c>
      <c r="C2113" s="1" t="str">
        <f>"66298882202201"</f>
        <v>66298882202201</v>
      </c>
      <c r="D2113" s="1" t="str">
        <f>"884"</f>
        <v>884</v>
      </c>
      <c r="E2113" s="1" t="s">
        <v>17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</row>
    <row r="2114" spans="1:11" x14ac:dyDescent="0.2">
      <c r="A2114" s="1" t="s">
        <v>608</v>
      </c>
      <c r="B2114" s="1" t="s">
        <v>1991</v>
      </c>
      <c r="C2114" s="1" t="str">
        <f>"66298882121525"</f>
        <v>66298882121525</v>
      </c>
      <c r="D2114" s="1" t="str">
        <f>"5892"</f>
        <v>5892</v>
      </c>
      <c r="E2114" s="1" t="s">
        <v>17</v>
      </c>
      <c r="F2114" s="1">
        <v>1</v>
      </c>
      <c r="G2114" s="1">
        <v>170</v>
      </c>
      <c r="H2114" s="1">
        <v>170</v>
      </c>
      <c r="I2114" s="1">
        <v>0</v>
      </c>
      <c r="J2114" s="1">
        <v>1</v>
      </c>
      <c r="K2114" s="1">
        <v>0</v>
      </c>
    </row>
    <row r="2115" spans="1:11" x14ac:dyDescent="0.2">
      <c r="A2115" s="1" t="s">
        <v>608</v>
      </c>
      <c r="B2115" s="1" t="s">
        <v>1992</v>
      </c>
      <c r="C2115" s="1" t="str">
        <f>"386"</f>
        <v>386</v>
      </c>
      <c r="D2115" s="1" t="str">
        <f>"386"</f>
        <v>386</v>
      </c>
      <c r="E2115" s="1" t="s">
        <v>17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</row>
    <row r="2116" spans="1:11" x14ac:dyDescent="0.2">
      <c r="A2116" s="1" t="s">
        <v>98</v>
      </c>
      <c r="B2116" s="1" t="s">
        <v>1993</v>
      </c>
      <c r="C2116" s="1" t="str">
        <f>"66298882242016"</f>
        <v>66298882242016</v>
      </c>
      <c r="D2116" s="1" t="str">
        <f>"H152"</f>
        <v>H152</v>
      </c>
      <c r="E2116" s="1" t="s">
        <v>17</v>
      </c>
      <c r="F2116" s="1">
        <v>2</v>
      </c>
      <c r="G2116" s="1">
        <v>5999</v>
      </c>
      <c r="H2116" s="1">
        <v>11998</v>
      </c>
      <c r="I2116" s="1">
        <v>0</v>
      </c>
      <c r="J2116" s="1">
        <v>2</v>
      </c>
      <c r="K2116" s="1">
        <v>0</v>
      </c>
    </row>
    <row r="2117" spans="1:11" x14ac:dyDescent="0.2">
      <c r="A2117" s="1" t="s">
        <v>98</v>
      </c>
      <c r="B2117" s="1" t="s">
        <v>1994</v>
      </c>
      <c r="C2117" s="1" t="str">
        <f>"66298882281732"</f>
        <v>66298882281732</v>
      </c>
      <c r="D2117" s="1" t="str">
        <f>"H024"</f>
        <v>H024</v>
      </c>
      <c r="E2117" s="1" t="s">
        <v>17</v>
      </c>
      <c r="F2117" s="1">
        <v>7</v>
      </c>
      <c r="G2117" s="1">
        <v>6501</v>
      </c>
      <c r="H2117" s="1">
        <v>45507</v>
      </c>
      <c r="I2117" s="1">
        <v>0</v>
      </c>
      <c r="J2117" s="1">
        <v>7</v>
      </c>
      <c r="K2117" s="1">
        <v>0</v>
      </c>
    </row>
    <row r="2118" spans="1:11" x14ac:dyDescent="0.2">
      <c r="A2118" s="1" t="s">
        <v>98</v>
      </c>
      <c r="B2118" s="1" t="s">
        <v>1995</v>
      </c>
      <c r="C2118" s="1" t="str">
        <f>"66298882322011"</f>
        <v>66298882322011</v>
      </c>
      <c r="D2118" s="1" t="str">
        <f>"H078"</f>
        <v>H078</v>
      </c>
      <c r="E2118" s="1" t="s">
        <v>17</v>
      </c>
      <c r="F2118" s="1">
        <v>2</v>
      </c>
      <c r="G2118" s="1">
        <v>3725</v>
      </c>
      <c r="H2118" s="1">
        <v>7450</v>
      </c>
      <c r="I2118" s="1">
        <v>0</v>
      </c>
      <c r="J2118" s="1">
        <v>2</v>
      </c>
      <c r="K2118" s="1">
        <v>0</v>
      </c>
    </row>
    <row r="2119" spans="1:11" x14ac:dyDescent="0.2">
      <c r="A2119" s="1" t="s">
        <v>98</v>
      </c>
      <c r="B2119" s="1" t="s">
        <v>1996</v>
      </c>
      <c r="C2119" s="1" t="str">
        <f>"66298882364438"</f>
        <v>66298882364438</v>
      </c>
      <c r="D2119" s="1" t="str">
        <f>"H077"</f>
        <v>H077</v>
      </c>
      <c r="E2119" s="1" t="s">
        <v>17</v>
      </c>
      <c r="F2119" s="1">
        <v>12</v>
      </c>
      <c r="G2119" s="1">
        <v>2930</v>
      </c>
      <c r="H2119" s="1">
        <v>35160</v>
      </c>
      <c r="I2119" s="1">
        <v>0</v>
      </c>
      <c r="J2119" s="1">
        <v>12</v>
      </c>
      <c r="K2119" s="1">
        <v>0</v>
      </c>
    </row>
    <row r="2120" spans="1:11" x14ac:dyDescent="0.2">
      <c r="A2120" s="1" t="s">
        <v>98</v>
      </c>
      <c r="B2120" s="1" t="s">
        <v>1997</v>
      </c>
      <c r="C2120" s="1" t="str">
        <f>"66298882440869"</f>
        <v>66298882440869</v>
      </c>
      <c r="D2120" s="1" t="str">
        <f>"H050"</f>
        <v>H050</v>
      </c>
      <c r="E2120" s="1" t="s">
        <v>17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</row>
    <row r="2121" spans="1:11" x14ac:dyDescent="0.2">
      <c r="A2121" s="1" t="s">
        <v>98</v>
      </c>
      <c r="B2121" s="1" t="s">
        <v>1998</v>
      </c>
      <c r="C2121" s="1" t="str">
        <f>"66298882482443"</f>
        <v>66298882482443</v>
      </c>
      <c r="D2121" s="1" t="str">
        <f>"H129"</f>
        <v>H129</v>
      </c>
      <c r="E2121" s="1" t="s">
        <v>17</v>
      </c>
      <c r="F2121" s="1">
        <v>2</v>
      </c>
      <c r="G2121" s="1">
        <v>1330</v>
      </c>
      <c r="H2121" s="1">
        <v>2660</v>
      </c>
      <c r="I2121" s="1">
        <v>0</v>
      </c>
      <c r="J2121" s="1">
        <v>2</v>
      </c>
      <c r="K2121" s="1">
        <v>0</v>
      </c>
    </row>
    <row r="2122" spans="1:11" x14ac:dyDescent="0.2">
      <c r="A2122" s="1" t="s">
        <v>98</v>
      </c>
      <c r="B2122" s="1" t="s">
        <v>1998</v>
      </c>
      <c r="C2122" s="1" t="str">
        <f>"66298882529116"</f>
        <v>66298882529116</v>
      </c>
      <c r="D2122" s="1" t="str">
        <f>"H211"</f>
        <v>H211</v>
      </c>
      <c r="E2122" s="1" t="s">
        <v>17</v>
      </c>
      <c r="F2122" s="1">
        <v>6</v>
      </c>
      <c r="G2122" s="1">
        <v>10453</v>
      </c>
      <c r="H2122" s="1">
        <v>62718</v>
      </c>
      <c r="I2122" s="1">
        <v>0</v>
      </c>
      <c r="J2122" s="1">
        <v>6</v>
      </c>
      <c r="K2122" s="1">
        <v>0</v>
      </c>
    </row>
    <row r="2123" spans="1:11" x14ac:dyDescent="0.2">
      <c r="A2123" s="1" t="s">
        <v>98</v>
      </c>
      <c r="B2123" s="1" t="s">
        <v>1998</v>
      </c>
      <c r="C2123" s="1" t="str">
        <f>"66298882535007"</f>
        <v>66298882535007</v>
      </c>
      <c r="D2123" s="1" t="str">
        <f>"H214"</f>
        <v>H214</v>
      </c>
      <c r="E2123" s="1" t="s">
        <v>17</v>
      </c>
      <c r="F2123" s="1">
        <v>1</v>
      </c>
      <c r="G2123" s="1">
        <v>17270</v>
      </c>
      <c r="H2123" s="1">
        <v>17270</v>
      </c>
      <c r="I2123" s="1">
        <v>0</v>
      </c>
      <c r="J2123" s="1">
        <v>1</v>
      </c>
      <c r="K2123" s="1">
        <v>0</v>
      </c>
    </row>
    <row r="2124" spans="1:11" x14ac:dyDescent="0.2">
      <c r="A2124" s="1" t="s">
        <v>98</v>
      </c>
      <c r="B2124" s="1" t="s">
        <v>1999</v>
      </c>
      <c r="C2124" s="1" t="str">
        <f>"66298882592849"</f>
        <v>66298882592849</v>
      </c>
      <c r="D2124" s="1" t="str">
        <f>"H080"</f>
        <v>H080</v>
      </c>
      <c r="E2124" s="1" t="s">
        <v>17</v>
      </c>
      <c r="F2124" s="1">
        <v>6</v>
      </c>
      <c r="G2124" s="1">
        <v>5831</v>
      </c>
      <c r="H2124" s="1">
        <v>34986</v>
      </c>
      <c r="I2124" s="1">
        <v>0</v>
      </c>
      <c r="J2124" s="1">
        <v>6</v>
      </c>
      <c r="K2124" s="1">
        <v>0</v>
      </c>
    </row>
    <row r="2125" spans="1:11" x14ac:dyDescent="0.2">
      <c r="A2125" s="1" t="s">
        <v>98</v>
      </c>
      <c r="B2125" s="1" t="s">
        <v>2000</v>
      </c>
      <c r="C2125" s="1" t="str">
        <f>"66298882401408"</f>
        <v>66298882401408</v>
      </c>
      <c r="D2125" s="1" t="str">
        <f>"H022"</f>
        <v>H022</v>
      </c>
      <c r="E2125" s="1" t="s">
        <v>17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</row>
    <row r="2126" spans="1:11" x14ac:dyDescent="0.2">
      <c r="A2126" s="1" t="s">
        <v>98</v>
      </c>
      <c r="B2126" s="1" t="s">
        <v>2001</v>
      </c>
      <c r="C2126" s="1" t="str">
        <f>"66298882637854"</f>
        <v>66298882637854</v>
      </c>
      <c r="D2126" s="1" t="str">
        <f>"13524"</f>
        <v>13524</v>
      </c>
      <c r="E2126" s="1" t="s">
        <v>17</v>
      </c>
      <c r="F2126" s="1">
        <v>1</v>
      </c>
      <c r="G2126" s="1">
        <v>13580</v>
      </c>
      <c r="H2126" s="1">
        <v>13580</v>
      </c>
      <c r="I2126" s="1">
        <v>0</v>
      </c>
      <c r="J2126" s="1">
        <v>1</v>
      </c>
      <c r="K2126" s="1">
        <v>0</v>
      </c>
    </row>
    <row r="2127" spans="1:11" x14ac:dyDescent="0.2">
      <c r="A2127" s="1" t="s">
        <v>98</v>
      </c>
      <c r="B2127" s="1" t="s">
        <v>2002</v>
      </c>
      <c r="C2127" s="1" t="str">
        <f>"66298882682249"</f>
        <v>66298882682249</v>
      </c>
      <c r="D2127" s="1" t="str">
        <f>"13525"</f>
        <v>13525</v>
      </c>
      <c r="E2127" s="1" t="s">
        <v>17</v>
      </c>
      <c r="F2127" s="1">
        <v>1</v>
      </c>
      <c r="G2127" s="1">
        <v>3580</v>
      </c>
      <c r="H2127" s="1">
        <v>3580</v>
      </c>
      <c r="I2127" s="1">
        <v>0</v>
      </c>
      <c r="J2127" s="1">
        <v>1</v>
      </c>
      <c r="K2127" s="1">
        <v>0</v>
      </c>
    </row>
    <row r="2128" spans="1:11" x14ac:dyDescent="0.2">
      <c r="A2128" s="1" t="s">
        <v>98</v>
      </c>
      <c r="B2128" s="1" t="s">
        <v>2003</v>
      </c>
      <c r="C2128" s="1" t="str">
        <f>"66298882721361"</f>
        <v>66298882721361</v>
      </c>
      <c r="D2128" s="1" t="str">
        <f>"H042"</f>
        <v>H042</v>
      </c>
      <c r="E2128" s="1" t="s">
        <v>17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</row>
    <row r="2129" spans="1:11" x14ac:dyDescent="0.2">
      <c r="A2129" s="1" t="s">
        <v>2004</v>
      </c>
      <c r="B2129" s="1" t="s">
        <v>2005</v>
      </c>
      <c r="C2129" s="1" t="str">
        <f>"66298882764419"</f>
        <v>66298882764419</v>
      </c>
      <c r="D2129" s="1" t="str">
        <f>"KN-556"</f>
        <v>KN-556</v>
      </c>
      <c r="E2129" s="1" t="s">
        <v>17</v>
      </c>
      <c r="F2129" s="1">
        <v>2</v>
      </c>
      <c r="G2129" s="1">
        <v>10898</v>
      </c>
      <c r="H2129" s="1">
        <v>21796</v>
      </c>
      <c r="I2129" s="1">
        <v>0</v>
      </c>
      <c r="J2129" s="1">
        <v>2</v>
      </c>
      <c r="K2129" s="1">
        <v>0</v>
      </c>
    </row>
    <row r="2130" spans="1:11" x14ac:dyDescent="0.2">
      <c r="A2130" s="1" t="s">
        <v>2004</v>
      </c>
      <c r="B2130" s="1" t="s">
        <v>2006</v>
      </c>
      <c r="C2130" s="1" t="str">
        <f>"66298882804595"</f>
        <v>66298882804595</v>
      </c>
      <c r="D2130" s="1" t="str">
        <f>"KN-132"</f>
        <v>KN-132</v>
      </c>
      <c r="E2130" s="1" t="s">
        <v>17</v>
      </c>
      <c r="F2130" s="1">
        <v>6</v>
      </c>
      <c r="G2130" s="1">
        <v>6281</v>
      </c>
      <c r="H2130" s="1">
        <v>37686</v>
      </c>
      <c r="I2130" s="1">
        <v>0</v>
      </c>
      <c r="J2130" s="1">
        <v>6</v>
      </c>
      <c r="K2130" s="1">
        <v>0</v>
      </c>
    </row>
    <row r="2131" spans="1:11" x14ac:dyDescent="0.2">
      <c r="A2131" s="1" t="s">
        <v>2004</v>
      </c>
      <c r="B2131" s="1" t="s">
        <v>2007</v>
      </c>
      <c r="C2131" s="1" t="str">
        <f>"66298882846876"</f>
        <v>66298882846876</v>
      </c>
      <c r="D2131" s="1" t="str">
        <f>"KN-153"</f>
        <v>KN-153</v>
      </c>
      <c r="E2131" s="1" t="s">
        <v>17</v>
      </c>
      <c r="F2131" s="1">
        <v>1</v>
      </c>
      <c r="G2131" s="1">
        <v>10206</v>
      </c>
      <c r="H2131" s="1">
        <v>10206</v>
      </c>
      <c r="I2131" s="1">
        <v>0</v>
      </c>
      <c r="J2131" s="1">
        <v>1</v>
      </c>
      <c r="K2131" s="1">
        <v>0</v>
      </c>
    </row>
    <row r="2132" spans="1:11" x14ac:dyDescent="0.2">
      <c r="A2132" s="1" t="s">
        <v>2004</v>
      </c>
      <c r="B2132" s="1" t="s">
        <v>2008</v>
      </c>
      <c r="C2132" s="1" t="str">
        <f>"66298882886278"</f>
        <v>66298882886278</v>
      </c>
      <c r="D2132" s="1" t="str">
        <f>"KN-401"</f>
        <v>KN-401</v>
      </c>
      <c r="E2132" s="1" t="s">
        <v>17</v>
      </c>
      <c r="F2132" s="1">
        <v>5</v>
      </c>
      <c r="G2132" s="1">
        <v>5862</v>
      </c>
      <c r="H2132" s="1">
        <v>29310</v>
      </c>
      <c r="I2132" s="1">
        <v>0</v>
      </c>
      <c r="J2132" s="1">
        <v>5</v>
      </c>
      <c r="K2132" s="1">
        <v>0</v>
      </c>
    </row>
    <row r="2133" spans="1:11" x14ac:dyDescent="0.2">
      <c r="A2133" s="1" t="s">
        <v>2004</v>
      </c>
      <c r="B2133" s="1" t="s">
        <v>2009</v>
      </c>
      <c r="C2133" s="1" t="str">
        <f>"66298882924312"</f>
        <v>66298882924312</v>
      </c>
      <c r="D2133" s="1" t="str">
        <f>"KN-170"</f>
        <v>KN-170</v>
      </c>
      <c r="E2133" s="1" t="s">
        <v>17</v>
      </c>
      <c r="F2133" s="1">
        <v>2</v>
      </c>
      <c r="G2133" s="1">
        <v>11352</v>
      </c>
      <c r="H2133" s="1">
        <v>22704</v>
      </c>
      <c r="I2133" s="1">
        <v>0</v>
      </c>
      <c r="J2133" s="1">
        <v>2</v>
      </c>
      <c r="K2133" s="1">
        <v>0</v>
      </c>
    </row>
    <row r="2134" spans="1:11" x14ac:dyDescent="0.2">
      <c r="A2134" s="1" t="s">
        <v>2004</v>
      </c>
      <c r="B2134" s="1" t="s">
        <v>2010</v>
      </c>
      <c r="C2134" s="1" t="str">
        <f>"66298882966865"</f>
        <v>66298882966865</v>
      </c>
      <c r="D2134" s="1" t="str">
        <f>"FFC039"</f>
        <v>FFC039</v>
      </c>
      <c r="E2134" s="1" t="s">
        <v>17</v>
      </c>
      <c r="F2134" s="1">
        <v>1</v>
      </c>
      <c r="G2134" s="1">
        <v>3382</v>
      </c>
      <c r="H2134" s="1">
        <v>3382</v>
      </c>
      <c r="I2134" s="1">
        <v>0</v>
      </c>
      <c r="J2134" s="1">
        <v>1</v>
      </c>
      <c r="K2134" s="1">
        <v>0</v>
      </c>
    </row>
    <row r="2135" spans="1:11" x14ac:dyDescent="0.2">
      <c r="A2135" s="1" t="s">
        <v>2004</v>
      </c>
      <c r="B2135" s="1" t="s">
        <v>2010</v>
      </c>
      <c r="C2135" s="1" t="str">
        <f>"11357"</f>
        <v>11357</v>
      </c>
      <c r="D2135" s="1" t="str">
        <f>"11357"</f>
        <v>11357</v>
      </c>
      <c r="E2135" s="1" t="s">
        <v>17</v>
      </c>
      <c r="F2135" s="1">
        <v>1</v>
      </c>
      <c r="G2135" s="1">
        <v>4381.51</v>
      </c>
      <c r="H2135" s="1">
        <v>4382</v>
      </c>
      <c r="I2135" s="1">
        <v>0</v>
      </c>
      <c r="J2135" s="1">
        <v>1</v>
      </c>
      <c r="K2135" s="1">
        <v>0</v>
      </c>
    </row>
    <row r="2136" spans="1:11" x14ac:dyDescent="0.2">
      <c r="A2136" s="1" t="s">
        <v>2004</v>
      </c>
      <c r="B2136" s="1" t="s">
        <v>2011</v>
      </c>
      <c r="C2136" s="1" t="str">
        <f>"12194"</f>
        <v>12194</v>
      </c>
      <c r="D2136" s="1" t="str">
        <f>"12194"</f>
        <v>12194</v>
      </c>
      <c r="E2136" s="1" t="s">
        <v>17</v>
      </c>
      <c r="F2136" s="1">
        <v>22</v>
      </c>
      <c r="G2136" s="1">
        <v>2717.65</v>
      </c>
      <c r="H2136" s="1">
        <v>59788</v>
      </c>
      <c r="I2136" s="1">
        <v>0</v>
      </c>
      <c r="J2136" s="1">
        <v>22</v>
      </c>
      <c r="K2136" s="1">
        <v>0</v>
      </c>
    </row>
    <row r="2137" spans="1:11" x14ac:dyDescent="0.2">
      <c r="A2137" s="1" t="s">
        <v>2004</v>
      </c>
      <c r="B2137" s="1" t="s">
        <v>2012</v>
      </c>
      <c r="C2137" s="1" t="str">
        <f>"66298883007613"</f>
        <v>66298883007613</v>
      </c>
      <c r="D2137" s="1" t="str">
        <f>"SD004"</f>
        <v>SD004</v>
      </c>
      <c r="E2137" s="1" t="s">
        <v>17</v>
      </c>
      <c r="F2137" s="1">
        <v>17</v>
      </c>
      <c r="G2137" s="1">
        <v>2106</v>
      </c>
      <c r="H2137" s="1">
        <v>35802</v>
      </c>
      <c r="I2137" s="1">
        <v>0</v>
      </c>
      <c r="J2137" s="1">
        <v>17</v>
      </c>
      <c r="K2137" s="1">
        <v>0</v>
      </c>
    </row>
    <row r="2138" spans="1:11" x14ac:dyDescent="0.2">
      <c r="A2138" s="1" t="s">
        <v>2004</v>
      </c>
      <c r="B2138" s="1" t="s">
        <v>2013</v>
      </c>
      <c r="C2138" s="1" t="str">
        <f>"11359"</f>
        <v>11359</v>
      </c>
      <c r="D2138" s="1" t="str">
        <f>"11359"</f>
        <v>11359</v>
      </c>
      <c r="E2138" s="1" t="s">
        <v>17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</row>
    <row r="2139" spans="1:11" x14ac:dyDescent="0.2">
      <c r="A2139" s="1" t="s">
        <v>2004</v>
      </c>
      <c r="B2139" s="1" t="s">
        <v>2014</v>
      </c>
      <c r="C2139" s="1" t="str">
        <f>"11353"</f>
        <v>11353</v>
      </c>
      <c r="D2139" s="1" t="str">
        <f>"11353"</f>
        <v>11353</v>
      </c>
      <c r="E2139" s="1" t="s">
        <v>17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</row>
    <row r="2140" spans="1:11" x14ac:dyDescent="0.2">
      <c r="A2140" s="1" t="s">
        <v>2004</v>
      </c>
      <c r="B2140" s="1" t="s">
        <v>2015</v>
      </c>
      <c r="C2140" s="1" t="str">
        <f>"66298883047007"</f>
        <v>66298883047007</v>
      </c>
      <c r="D2140" s="1" t="str">
        <f>"11427-673-541"</f>
        <v>11427-673-541</v>
      </c>
      <c r="E2140" s="1" t="s">
        <v>17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</row>
    <row r="2141" spans="1:11" x14ac:dyDescent="0.2">
      <c r="A2141" s="1" t="s">
        <v>2004</v>
      </c>
      <c r="B2141" s="1" t="s">
        <v>2016</v>
      </c>
      <c r="C2141" s="1" t="str">
        <f>"66298883087002"</f>
        <v>66298883087002</v>
      </c>
      <c r="D2141" s="1" t="str">
        <f>"15412-300-325BR"</f>
        <v>15412-300-325BR</v>
      </c>
      <c r="E2141" s="1" t="s">
        <v>17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</row>
    <row r="2142" spans="1:11" x14ac:dyDescent="0.2">
      <c r="A2142" s="1" t="s">
        <v>2004</v>
      </c>
      <c r="B2142" s="1" t="s">
        <v>2017</v>
      </c>
      <c r="C2142" s="1" t="str">
        <f>"66298883130265"</f>
        <v>66298883130265</v>
      </c>
      <c r="D2142" s="1" t="str">
        <f>"SD001"</f>
        <v>SD001</v>
      </c>
      <c r="E2142" s="1" t="s">
        <v>17</v>
      </c>
      <c r="F2142" s="1">
        <v>33</v>
      </c>
      <c r="G2142" s="1">
        <v>1908</v>
      </c>
      <c r="H2142" s="1">
        <v>62964</v>
      </c>
      <c r="I2142" s="1">
        <v>0</v>
      </c>
      <c r="J2142" s="1">
        <v>33</v>
      </c>
      <c r="K2142" s="1">
        <v>0</v>
      </c>
    </row>
    <row r="2143" spans="1:11" x14ac:dyDescent="0.2">
      <c r="A2143" s="1" t="s">
        <v>2004</v>
      </c>
      <c r="B2143" s="1" t="s">
        <v>2018</v>
      </c>
      <c r="C2143" s="1" t="str">
        <f>"66298883173248"</f>
        <v>66298883173248</v>
      </c>
      <c r="D2143" s="1" t="str">
        <f>"80747"</f>
        <v>80747</v>
      </c>
      <c r="E2143" s="1" t="s">
        <v>17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</row>
    <row r="2144" spans="1:11" x14ac:dyDescent="0.2">
      <c r="A2144" s="1" t="s">
        <v>2004</v>
      </c>
      <c r="B2144" s="1" t="s">
        <v>2018</v>
      </c>
      <c r="C2144" s="1" t="str">
        <f>"B040"</f>
        <v>B040</v>
      </c>
      <c r="D2144" s="1" t="str">
        <f>"B040"</f>
        <v>B040</v>
      </c>
      <c r="E2144" s="1" t="s">
        <v>17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</row>
    <row r="2145" spans="1:11" x14ac:dyDescent="0.2">
      <c r="A2145" s="1" t="s">
        <v>2004</v>
      </c>
      <c r="B2145" s="1" t="s">
        <v>2019</v>
      </c>
      <c r="C2145" s="1" t="str">
        <f>"66298883212201"</f>
        <v>66298883212201</v>
      </c>
      <c r="D2145" s="1" t="str">
        <f>"400191"</f>
        <v>400191</v>
      </c>
      <c r="E2145" s="1" t="s">
        <v>17</v>
      </c>
      <c r="F2145" s="1">
        <v>12</v>
      </c>
      <c r="G2145" s="1">
        <v>537</v>
      </c>
      <c r="H2145" s="1">
        <v>6444</v>
      </c>
      <c r="I2145" s="1">
        <v>0</v>
      </c>
      <c r="J2145" s="1">
        <v>12</v>
      </c>
      <c r="K2145" s="1">
        <v>0</v>
      </c>
    </row>
    <row r="2146" spans="1:11" x14ac:dyDescent="0.2">
      <c r="A2146" s="1" t="s">
        <v>2004</v>
      </c>
      <c r="B2146" s="1" t="s">
        <v>2020</v>
      </c>
      <c r="C2146" s="1" t="str">
        <f>"66298883257864"</f>
        <v>66298883257864</v>
      </c>
      <c r="D2146" s="1" t="str">
        <f>"16510-25C00HB"</f>
        <v>16510-25C00HB</v>
      </c>
      <c r="E2146" s="1" t="s">
        <v>17</v>
      </c>
      <c r="F2146" s="1">
        <v>3</v>
      </c>
      <c r="G2146" s="1">
        <v>1304</v>
      </c>
      <c r="H2146" s="1">
        <v>3912</v>
      </c>
      <c r="I2146" s="1">
        <v>0</v>
      </c>
      <c r="J2146" s="1">
        <v>3</v>
      </c>
      <c r="K2146" s="1">
        <v>0</v>
      </c>
    </row>
    <row r="2147" spans="1:11" x14ac:dyDescent="0.2">
      <c r="A2147" s="1" t="s">
        <v>2004</v>
      </c>
      <c r="B2147" s="1" t="s">
        <v>2021</v>
      </c>
      <c r="C2147" s="1" t="str">
        <f>"16510-37450HB"</f>
        <v>16510-37450HB</v>
      </c>
      <c r="D2147" s="1" t="str">
        <f>"16510-37450HB"</f>
        <v>16510-37450HB</v>
      </c>
      <c r="E2147" s="1" t="s">
        <v>17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</row>
    <row r="2148" spans="1:11" x14ac:dyDescent="0.2">
      <c r="A2148" s="1" t="s">
        <v>2004</v>
      </c>
      <c r="B2148" s="1" t="s">
        <v>2022</v>
      </c>
      <c r="C2148" s="1" t="str">
        <f>"4347"</f>
        <v>4347</v>
      </c>
      <c r="D2148" s="1" t="str">
        <f>"4347"</f>
        <v>4347</v>
      </c>
      <c r="E2148" s="1" t="s">
        <v>17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</row>
    <row r="2149" spans="1:11" ht="30" x14ac:dyDescent="0.2">
      <c r="A2149" s="1" t="s">
        <v>2004</v>
      </c>
      <c r="B2149" s="1" t="s">
        <v>2023</v>
      </c>
      <c r="C2149" s="1" t="str">
        <f>"S001"</f>
        <v>S001</v>
      </c>
      <c r="D2149" s="1" t="str">
        <f>"S001"</f>
        <v>S001</v>
      </c>
      <c r="E2149" s="1" t="s">
        <v>17</v>
      </c>
      <c r="F2149" s="1">
        <v>8</v>
      </c>
      <c r="G2149" s="1">
        <v>693</v>
      </c>
      <c r="H2149" s="1">
        <v>5544</v>
      </c>
      <c r="I2149" s="1">
        <v>0</v>
      </c>
      <c r="J2149" s="1">
        <v>8</v>
      </c>
      <c r="K2149" s="1">
        <v>0</v>
      </c>
    </row>
    <row r="2150" spans="1:11" ht="30" x14ac:dyDescent="0.2">
      <c r="A2150" s="1" t="s">
        <v>2004</v>
      </c>
      <c r="B2150" s="1" t="s">
        <v>2023</v>
      </c>
      <c r="C2150" s="1" t="str">
        <f>"21C-E3440-00"</f>
        <v>21C-E3440-00</v>
      </c>
      <c r="D2150" s="1" t="str">
        <f>"21C-E3440-00"</f>
        <v>21C-E3440-00</v>
      </c>
      <c r="E2150" s="1" t="s">
        <v>17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</row>
    <row r="2151" spans="1:11" x14ac:dyDescent="0.2">
      <c r="A2151" s="1" t="s">
        <v>2004</v>
      </c>
      <c r="B2151" s="1" t="s">
        <v>2024</v>
      </c>
      <c r="C2151" s="1" t="str">
        <f>"16510-33G00-001HB"</f>
        <v>16510-33G00-001HB</v>
      </c>
      <c r="D2151" s="1" t="str">
        <f>"16510-33G00-001HB"</f>
        <v>16510-33G00-001HB</v>
      </c>
      <c r="E2151" s="1" t="s">
        <v>17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</row>
    <row r="2152" spans="1:11" ht="30" x14ac:dyDescent="0.2">
      <c r="A2152" s="1" t="s">
        <v>2004</v>
      </c>
      <c r="B2152" s="1" t="s">
        <v>2025</v>
      </c>
      <c r="C2152" s="1" t="str">
        <f>"66298883338501"</f>
        <v>66298883338501</v>
      </c>
      <c r="D2152" s="1" t="str">
        <f>"S004"</f>
        <v>S004</v>
      </c>
      <c r="E2152" s="1" t="s">
        <v>17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</row>
    <row r="2153" spans="1:11" ht="30" x14ac:dyDescent="0.2">
      <c r="A2153" s="1" t="s">
        <v>2004</v>
      </c>
      <c r="B2153" s="1" t="s">
        <v>2025</v>
      </c>
      <c r="C2153" s="1" t="str">
        <f>"66298883375287"</f>
        <v>66298883375287</v>
      </c>
      <c r="D2153" s="1" t="str">
        <f>"85180"</f>
        <v>85180</v>
      </c>
      <c r="E2153" s="1" t="s">
        <v>17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</row>
    <row r="2154" spans="1:11" ht="30" x14ac:dyDescent="0.2">
      <c r="A2154" s="1" t="s">
        <v>2004</v>
      </c>
      <c r="B2154" s="1" t="s">
        <v>2025</v>
      </c>
      <c r="C2154" s="1" t="str">
        <f>"1053"</f>
        <v>1053</v>
      </c>
      <c r="D2154" s="1" t="str">
        <f>"1053"</f>
        <v>1053</v>
      </c>
      <c r="E2154" s="1" t="s">
        <v>17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</row>
    <row r="2155" spans="1:11" ht="30" x14ac:dyDescent="0.2">
      <c r="A2155" s="1" t="s">
        <v>2004</v>
      </c>
      <c r="B2155" s="1" t="s">
        <v>2025</v>
      </c>
      <c r="C2155" s="1" t="str">
        <f>"B00202"</f>
        <v>B00202</v>
      </c>
      <c r="D2155" s="1" t="str">
        <f>"B00202"</f>
        <v>B00202</v>
      </c>
      <c r="E2155" s="1" t="s">
        <v>17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</row>
    <row r="2156" spans="1:11" ht="30" x14ac:dyDescent="0.2">
      <c r="A2156" s="1" t="s">
        <v>2004</v>
      </c>
      <c r="B2156" s="1" t="s">
        <v>2025</v>
      </c>
      <c r="C2156" s="1" t="str">
        <f>"16510-45H10-000"</f>
        <v>16510-45H10-000</v>
      </c>
      <c r="D2156" s="1" t="str">
        <f>"16510-45H10-000"</f>
        <v>16510-45H10-000</v>
      </c>
      <c r="E2156" s="1" t="s">
        <v>17</v>
      </c>
      <c r="F2156" s="1">
        <v>11</v>
      </c>
      <c r="G2156" s="1">
        <v>775</v>
      </c>
      <c r="H2156" s="1">
        <v>8525</v>
      </c>
      <c r="I2156" s="1">
        <v>0</v>
      </c>
      <c r="J2156" s="1">
        <v>11</v>
      </c>
      <c r="K2156" s="1">
        <v>0</v>
      </c>
    </row>
    <row r="2157" spans="1:11" x14ac:dyDescent="0.2">
      <c r="A2157" s="1" t="s">
        <v>2004</v>
      </c>
      <c r="B2157" s="1" t="s">
        <v>2026</v>
      </c>
      <c r="C2157" s="1" t="str">
        <f>"66298883415061"</f>
        <v>66298883415061</v>
      </c>
      <c r="D2157" s="1" t="str">
        <f>"16510-45040HB"</f>
        <v>16510-45040HB</v>
      </c>
      <c r="E2157" s="1" t="s">
        <v>17</v>
      </c>
      <c r="F2157" s="1">
        <v>3</v>
      </c>
      <c r="G2157" s="1">
        <v>1367</v>
      </c>
      <c r="H2157" s="1">
        <v>4101</v>
      </c>
      <c r="I2157" s="1">
        <v>0</v>
      </c>
      <c r="J2157" s="1">
        <v>3</v>
      </c>
      <c r="K2157" s="1">
        <v>0</v>
      </c>
    </row>
    <row r="2158" spans="1:11" x14ac:dyDescent="0.2">
      <c r="A2158" s="1" t="s">
        <v>2004</v>
      </c>
      <c r="B2158" s="1" t="s">
        <v>2026</v>
      </c>
      <c r="C2158" s="1" t="str">
        <f>"66298883457442"</f>
        <v>66298883457442</v>
      </c>
      <c r="D2158" s="1" t="str">
        <f>"16500-45810BR"</f>
        <v>16500-45810BR</v>
      </c>
      <c r="E2158" s="1" t="s">
        <v>17</v>
      </c>
      <c r="F2158" s="1">
        <v>1</v>
      </c>
      <c r="G2158" s="1">
        <v>3141</v>
      </c>
      <c r="H2158" s="1">
        <v>3141</v>
      </c>
      <c r="I2158" s="1">
        <v>0</v>
      </c>
      <c r="J2158" s="1">
        <v>1</v>
      </c>
      <c r="K2158" s="1">
        <v>0</v>
      </c>
    </row>
    <row r="2159" spans="1:11" x14ac:dyDescent="0.2">
      <c r="A2159" s="1" t="s">
        <v>2004</v>
      </c>
      <c r="B2159" s="1" t="s">
        <v>2027</v>
      </c>
      <c r="C2159" s="1" t="str">
        <f>"16510-07J00HB"</f>
        <v>16510-07J00HB</v>
      </c>
      <c r="D2159" s="1" t="str">
        <f>"16510-07J00HB"</f>
        <v>16510-07J00HB</v>
      </c>
      <c r="E2159" s="1" t="s">
        <v>17</v>
      </c>
      <c r="F2159" s="1">
        <v>11</v>
      </c>
      <c r="G2159" s="1">
        <v>2420.5500000000002</v>
      </c>
      <c r="H2159" s="1">
        <v>26626</v>
      </c>
      <c r="I2159" s="1">
        <v>0</v>
      </c>
      <c r="J2159" s="1">
        <v>11</v>
      </c>
      <c r="K2159" s="1">
        <v>0</v>
      </c>
    </row>
    <row r="2160" spans="1:11" ht="30" x14ac:dyDescent="0.2">
      <c r="A2160" s="1" t="s">
        <v>2004</v>
      </c>
      <c r="B2160" s="1" t="s">
        <v>2028</v>
      </c>
      <c r="C2160" s="1" t="str">
        <f>"66298883496183"</f>
        <v>66298883496183</v>
      </c>
      <c r="D2160" s="1" t="str">
        <f>"SD002"</f>
        <v>SD002</v>
      </c>
      <c r="E2160" s="1" t="s">
        <v>17</v>
      </c>
      <c r="F2160" s="1">
        <v>6</v>
      </c>
      <c r="G2160" s="1">
        <v>1611</v>
      </c>
      <c r="H2160" s="1">
        <v>9666</v>
      </c>
      <c r="I2160" s="1">
        <v>0</v>
      </c>
      <c r="J2160" s="1">
        <v>6</v>
      </c>
      <c r="K2160" s="1">
        <v>0</v>
      </c>
    </row>
    <row r="2161" spans="1:11" x14ac:dyDescent="0.2">
      <c r="A2161" s="1" t="s">
        <v>2004</v>
      </c>
      <c r="B2161" s="1" t="s">
        <v>2029</v>
      </c>
      <c r="C2161" s="1" t="str">
        <f>"66298883534870"</f>
        <v>66298883534870</v>
      </c>
      <c r="D2161" s="1" t="str">
        <f>"16510-HN910"</f>
        <v>16510-HN910</v>
      </c>
      <c r="E2161" s="1" t="s">
        <v>17</v>
      </c>
      <c r="F2161" s="1">
        <v>4</v>
      </c>
      <c r="G2161" s="1">
        <v>3482</v>
      </c>
      <c r="H2161" s="1">
        <v>13928</v>
      </c>
      <c r="I2161" s="1">
        <v>0</v>
      </c>
      <c r="J2161" s="1">
        <v>4</v>
      </c>
      <c r="K2161" s="1">
        <v>0</v>
      </c>
    </row>
    <row r="2162" spans="1:11" x14ac:dyDescent="0.2">
      <c r="A2162" s="1" t="s">
        <v>2004</v>
      </c>
      <c r="B2162" s="1" t="s">
        <v>2030</v>
      </c>
      <c r="C2162" s="1" t="str">
        <f>"66298883578273"</f>
        <v>66298883578273</v>
      </c>
      <c r="D2162" s="1" t="str">
        <f>"82637"</f>
        <v>82637</v>
      </c>
      <c r="E2162" s="1" t="s">
        <v>17</v>
      </c>
      <c r="F2162" s="1">
        <v>11</v>
      </c>
      <c r="G2162" s="1">
        <v>656</v>
      </c>
      <c r="H2162" s="1">
        <v>7216</v>
      </c>
      <c r="I2162" s="1">
        <v>0</v>
      </c>
      <c r="J2162" s="1">
        <v>11</v>
      </c>
      <c r="K2162" s="1">
        <v>0</v>
      </c>
    </row>
    <row r="2163" spans="1:11" x14ac:dyDescent="0.2">
      <c r="A2163" s="1" t="s">
        <v>2004</v>
      </c>
      <c r="B2163" s="1" t="s">
        <v>2030</v>
      </c>
      <c r="C2163" s="1" t="str">
        <f>"66298883585597"</f>
        <v>66298883585597</v>
      </c>
      <c r="D2163" s="1" t="str">
        <f>"S003"</f>
        <v>S003</v>
      </c>
      <c r="E2163" s="1" t="s">
        <v>17</v>
      </c>
      <c r="F2163" s="1">
        <v>18</v>
      </c>
      <c r="G2163" s="1">
        <v>891</v>
      </c>
      <c r="H2163" s="1">
        <v>16038</v>
      </c>
      <c r="I2163" s="1">
        <v>0</v>
      </c>
      <c r="J2163" s="1">
        <v>18</v>
      </c>
      <c r="K2163" s="1">
        <v>0</v>
      </c>
    </row>
    <row r="2164" spans="1:11" x14ac:dyDescent="0.2">
      <c r="A2164" s="1" t="s">
        <v>2004</v>
      </c>
      <c r="B2164" s="1" t="s">
        <v>2031</v>
      </c>
      <c r="C2164" s="1" t="str">
        <f>"B018"</f>
        <v>B018</v>
      </c>
      <c r="D2164" s="1" t="str">
        <f>"B018"</f>
        <v>B018</v>
      </c>
      <c r="E2164" s="1" t="s">
        <v>17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</row>
    <row r="2165" spans="1:11" x14ac:dyDescent="0.2">
      <c r="A2165" s="1" t="s">
        <v>2004</v>
      </c>
      <c r="B2165" s="1" t="s">
        <v>2032</v>
      </c>
      <c r="C2165" s="1" t="str">
        <f>"200144"</f>
        <v>200144</v>
      </c>
      <c r="D2165" s="1" t="str">
        <f>"200144"</f>
        <v>200144</v>
      </c>
      <c r="E2165" s="1" t="s">
        <v>17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</row>
    <row r="2166" spans="1:11" x14ac:dyDescent="0.2">
      <c r="A2166" s="1" t="s">
        <v>2004</v>
      </c>
      <c r="B2166" s="1" t="s">
        <v>2033</v>
      </c>
      <c r="C2166" s="1" t="str">
        <f>"1772"</f>
        <v>1772</v>
      </c>
      <c r="D2166" s="1" t="str">
        <f>"1772"</f>
        <v>1772</v>
      </c>
      <c r="E2166" s="1" t="s">
        <v>17</v>
      </c>
      <c r="F2166" s="1">
        <v>10</v>
      </c>
      <c r="G2166" s="1">
        <v>1608.4</v>
      </c>
      <c r="H2166" s="1">
        <v>16084</v>
      </c>
      <c r="I2166" s="1">
        <v>0</v>
      </c>
      <c r="J2166" s="1">
        <v>10</v>
      </c>
      <c r="K2166" s="1">
        <v>0</v>
      </c>
    </row>
    <row r="2167" spans="1:11" ht="30" x14ac:dyDescent="0.2">
      <c r="A2167" s="1" t="s">
        <v>2004</v>
      </c>
      <c r="B2167" s="1" t="s">
        <v>2034</v>
      </c>
      <c r="C2167" s="1" t="str">
        <f>"66298884086323"</f>
        <v>66298884086323</v>
      </c>
      <c r="D2167" s="1" t="str">
        <f>"B021"</f>
        <v>B021</v>
      </c>
      <c r="E2167" s="1" t="s">
        <v>17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</row>
    <row r="2168" spans="1:11" x14ac:dyDescent="0.2">
      <c r="A2168" s="1" t="s">
        <v>2004</v>
      </c>
      <c r="B2168" s="1" t="s">
        <v>2035</v>
      </c>
      <c r="C2168" s="1" t="str">
        <f>"66298883640445"</f>
        <v>66298883640445</v>
      </c>
      <c r="D2168" s="1" t="str">
        <f>"12080"</f>
        <v>12080</v>
      </c>
      <c r="E2168" s="1" t="s">
        <v>17</v>
      </c>
      <c r="F2168" s="1">
        <v>1</v>
      </c>
      <c r="G2168" s="1">
        <v>2647</v>
      </c>
      <c r="H2168" s="1">
        <v>2647</v>
      </c>
      <c r="I2168" s="1">
        <v>0</v>
      </c>
      <c r="J2168" s="1">
        <v>1</v>
      </c>
      <c r="K2168" s="1">
        <v>0</v>
      </c>
    </row>
    <row r="2169" spans="1:11" x14ac:dyDescent="0.2">
      <c r="A2169" s="1" t="s">
        <v>2004</v>
      </c>
      <c r="B2169" s="1" t="s">
        <v>2036</v>
      </c>
      <c r="C2169" s="1" t="str">
        <f>"FVC018"</f>
        <v>FVC018</v>
      </c>
      <c r="D2169" s="1" t="str">
        <f>"FVC018"</f>
        <v>FVC018</v>
      </c>
      <c r="E2169" s="1" t="s">
        <v>17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</row>
    <row r="2170" spans="1:11" x14ac:dyDescent="0.2">
      <c r="A2170" s="1" t="s">
        <v>2004</v>
      </c>
      <c r="B2170" s="1" t="s">
        <v>2037</v>
      </c>
      <c r="C2170" s="1" t="str">
        <f>"66298883676191"</f>
        <v>66298883676191</v>
      </c>
      <c r="D2170" s="1" t="str">
        <f>"SD005"</f>
        <v>SD005</v>
      </c>
      <c r="E2170" s="1" t="s">
        <v>17</v>
      </c>
      <c r="F2170" s="1">
        <v>8</v>
      </c>
      <c r="G2170" s="1">
        <v>2007</v>
      </c>
      <c r="H2170" s="1">
        <v>16056</v>
      </c>
      <c r="I2170" s="1">
        <v>0</v>
      </c>
      <c r="J2170" s="1">
        <v>8</v>
      </c>
      <c r="K2170" s="1">
        <v>0</v>
      </c>
    </row>
    <row r="2171" spans="1:11" x14ac:dyDescent="0.2">
      <c r="A2171" s="1" t="s">
        <v>2004</v>
      </c>
      <c r="B2171" s="1" t="s">
        <v>2038</v>
      </c>
      <c r="C2171" s="1" t="str">
        <f>"66298883717881"</f>
        <v>66298883717881</v>
      </c>
      <c r="D2171" s="1" t="str">
        <f>"SD003"</f>
        <v>SD003</v>
      </c>
      <c r="E2171" s="1" t="s">
        <v>17</v>
      </c>
      <c r="F2171" s="1">
        <v>5</v>
      </c>
      <c r="G2171" s="1">
        <v>2106</v>
      </c>
      <c r="H2171" s="1">
        <v>10530</v>
      </c>
      <c r="I2171" s="1">
        <v>0</v>
      </c>
      <c r="J2171" s="1">
        <v>5</v>
      </c>
      <c r="K2171" s="1">
        <v>0</v>
      </c>
    </row>
    <row r="2172" spans="1:11" x14ac:dyDescent="0.2">
      <c r="A2172" s="1" t="s">
        <v>2004</v>
      </c>
      <c r="B2172" s="1" t="s">
        <v>2039</v>
      </c>
      <c r="C2172" s="1" t="str">
        <f>"JE-5710-07"</f>
        <v>JE-5710-07</v>
      </c>
      <c r="D2172" s="1" t="str">
        <f>"JE-5710-07"</f>
        <v>JE-5710-07</v>
      </c>
      <c r="E2172" s="1" t="s">
        <v>17</v>
      </c>
      <c r="F2172" s="1">
        <v>8</v>
      </c>
      <c r="G2172" s="1">
        <v>864</v>
      </c>
      <c r="H2172" s="1">
        <v>6912</v>
      </c>
      <c r="I2172" s="1">
        <v>0</v>
      </c>
      <c r="J2172" s="1">
        <v>8</v>
      </c>
      <c r="K2172" s="1">
        <v>0</v>
      </c>
    </row>
    <row r="2173" spans="1:11" x14ac:dyDescent="0.2">
      <c r="A2173" s="1" t="s">
        <v>2004</v>
      </c>
      <c r="B2173" s="1" t="s">
        <v>2040</v>
      </c>
      <c r="C2173" s="1" t="str">
        <f>"66298883764265"</f>
        <v>66298883764265</v>
      </c>
      <c r="D2173" s="1" t="str">
        <f>"DH-1210-10"</f>
        <v>DH-1210-10</v>
      </c>
      <c r="E2173" s="1" t="s">
        <v>17</v>
      </c>
      <c r="F2173" s="1">
        <v>4</v>
      </c>
      <c r="G2173" s="1">
        <v>502</v>
      </c>
      <c r="H2173" s="1">
        <v>2008</v>
      </c>
      <c r="I2173" s="1">
        <v>0</v>
      </c>
      <c r="J2173" s="1">
        <v>4</v>
      </c>
      <c r="K2173" s="1">
        <v>0</v>
      </c>
    </row>
    <row r="2174" spans="1:11" ht="30" x14ac:dyDescent="0.2">
      <c r="A2174" s="1" t="s">
        <v>2004</v>
      </c>
      <c r="B2174" s="1" t="s">
        <v>2041</v>
      </c>
      <c r="C2174" s="1" t="str">
        <f>"66298883808013"</f>
        <v>66298883808013</v>
      </c>
      <c r="D2174" s="1" t="str">
        <f>"JG-5710-14HB"</f>
        <v>JG-5710-14HB</v>
      </c>
      <c r="E2174" s="1" t="s">
        <v>17</v>
      </c>
      <c r="F2174" s="1">
        <v>2</v>
      </c>
      <c r="G2174" s="1">
        <v>1296</v>
      </c>
      <c r="H2174" s="1">
        <v>2592</v>
      </c>
      <c r="I2174" s="1">
        <v>0</v>
      </c>
      <c r="J2174" s="1">
        <v>2</v>
      </c>
      <c r="K2174" s="1">
        <v>0</v>
      </c>
    </row>
    <row r="2175" spans="1:11" ht="30" x14ac:dyDescent="0.2">
      <c r="A2175" s="1" t="s">
        <v>2004</v>
      </c>
      <c r="B2175" s="1" t="s">
        <v>2041</v>
      </c>
      <c r="C2175" s="1" t="str">
        <f>"1775"</f>
        <v>1775</v>
      </c>
      <c r="D2175" s="1" t="str">
        <f>"1775"</f>
        <v>1775</v>
      </c>
      <c r="E2175" s="1" t="s">
        <v>17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</row>
    <row r="2176" spans="1:11" x14ac:dyDescent="0.2">
      <c r="A2176" s="1" t="s">
        <v>2004</v>
      </c>
      <c r="B2176" s="1" t="s">
        <v>2042</v>
      </c>
      <c r="C2176" s="1" t="str">
        <f>"66298883845172"</f>
        <v>66298883845172</v>
      </c>
      <c r="D2176" s="1" t="str">
        <f>"11427-721-779"</f>
        <v>11427-721-779</v>
      </c>
      <c r="E2176" s="1" t="s">
        <v>17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</row>
    <row r="2177" spans="1:11" x14ac:dyDescent="0.2">
      <c r="A2177" s="1" t="s">
        <v>2004</v>
      </c>
      <c r="B2177" s="1" t="s">
        <v>2043</v>
      </c>
      <c r="C2177" s="1" t="str">
        <f>"66298883882424"</f>
        <v>66298883882424</v>
      </c>
      <c r="D2177" s="1" t="str">
        <f>"16510-24501"</f>
        <v>16510-24501</v>
      </c>
      <c r="E2177" s="1" t="s">
        <v>17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</row>
    <row r="2178" spans="1:11" x14ac:dyDescent="0.2">
      <c r="A2178" s="1" t="s">
        <v>2004</v>
      </c>
      <c r="B2178" s="1" t="s">
        <v>2044</v>
      </c>
      <c r="C2178" s="1" t="str">
        <f>"10178"</f>
        <v>10178</v>
      </c>
      <c r="D2178" s="1" t="str">
        <f>"10178"</f>
        <v>10178</v>
      </c>
      <c r="E2178" s="1" t="s">
        <v>17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</row>
    <row r="2179" spans="1:11" x14ac:dyDescent="0.2">
      <c r="A2179" s="1" t="s">
        <v>2004</v>
      </c>
      <c r="B2179" s="1" t="s">
        <v>2045</v>
      </c>
      <c r="C2179" s="1" t="str">
        <f>"66298883924501"</f>
        <v>66298883924501</v>
      </c>
      <c r="D2179" s="1" t="str">
        <f>"15410-MB0-003"</f>
        <v>15410-MB0-003</v>
      </c>
      <c r="E2179" s="1" t="s">
        <v>17</v>
      </c>
      <c r="F2179" s="1">
        <v>1</v>
      </c>
      <c r="G2179" s="1">
        <v>3891</v>
      </c>
      <c r="H2179" s="1">
        <v>3891</v>
      </c>
      <c r="I2179" s="1">
        <v>0</v>
      </c>
      <c r="J2179" s="1">
        <v>1</v>
      </c>
      <c r="K2179" s="1">
        <v>0</v>
      </c>
    </row>
    <row r="2180" spans="1:11" x14ac:dyDescent="0.2">
      <c r="A2180" s="1" t="s">
        <v>2004</v>
      </c>
      <c r="B2180" s="1" t="s">
        <v>2046</v>
      </c>
      <c r="C2180" s="1" t="str">
        <f>"16510-26H00-000"</f>
        <v>16510-26H00-000</v>
      </c>
      <c r="D2180" s="1" t="str">
        <f>"16510-26H00-000"</f>
        <v>16510-26H00-000</v>
      </c>
      <c r="E2180" s="1" t="s">
        <v>17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</row>
    <row r="2181" spans="1:11" ht="30" x14ac:dyDescent="0.2">
      <c r="A2181" s="1" t="s">
        <v>2004</v>
      </c>
      <c r="B2181" s="1" t="s">
        <v>2047</v>
      </c>
      <c r="C2181" s="1" t="str">
        <f>"66298883964095"</f>
        <v>66298883964095</v>
      </c>
      <c r="D2181" s="1" t="str">
        <f>"15410-KF0-315"</f>
        <v>15410-KF0-315</v>
      </c>
      <c r="E2181" s="1" t="s">
        <v>17</v>
      </c>
      <c r="F2181" s="1">
        <v>15</v>
      </c>
      <c r="G2181" s="1">
        <v>647.33000000000004</v>
      </c>
      <c r="H2181" s="1">
        <v>9710</v>
      </c>
      <c r="I2181" s="1">
        <v>0</v>
      </c>
      <c r="J2181" s="1">
        <v>15</v>
      </c>
      <c r="K2181" s="1">
        <v>0</v>
      </c>
    </row>
    <row r="2182" spans="1:11" ht="30" x14ac:dyDescent="0.2">
      <c r="A2182" s="1" t="s">
        <v>2004</v>
      </c>
      <c r="B2182" s="1" t="s">
        <v>2048</v>
      </c>
      <c r="C2182" s="1" t="str">
        <f>"1995"</f>
        <v>1995</v>
      </c>
      <c r="D2182" s="1" t="str">
        <f>"1995"</f>
        <v>1995</v>
      </c>
      <c r="E2182" s="1" t="s">
        <v>17</v>
      </c>
      <c r="F2182" s="1">
        <v>1</v>
      </c>
      <c r="G2182" s="1">
        <v>1885.71</v>
      </c>
      <c r="H2182" s="1">
        <v>1886</v>
      </c>
      <c r="I2182" s="1">
        <v>0</v>
      </c>
      <c r="J2182" s="1">
        <v>1</v>
      </c>
      <c r="K2182" s="1">
        <v>0</v>
      </c>
    </row>
    <row r="2183" spans="1:11" ht="30" x14ac:dyDescent="0.2">
      <c r="A2183" s="1" t="s">
        <v>2004</v>
      </c>
      <c r="B2183" s="1" t="s">
        <v>2049</v>
      </c>
      <c r="C2183" s="1" t="str">
        <f>"66298884005785"</f>
        <v>66298884005785</v>
      </c>
      <c r="D2183" s="1" t="str">
        <f>"S056"</f>
        <v>S056</v>
      </c>
      <c r="E2183" s="1" t="s">
        <v>17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</row>
    <row r="2184" spans="1:11" ht="30" x14ac:dyDescent="0.2">
      <c r="A2184" s="1" t="s">
        <v>2004</v>
      </c>
      <c r="B2184" s="1" t="s">
        <v>2050</v>
      </c>
      <c r="C2184" s="1" t="str">
        <f>"B045"</f>
        <v>B045</v>
      </c>
      <c r="D2184" s="1" t="str">
        <f>"B045"</f>
        <v>B045</v>
      </c>
      <c r="E2184" s="1" t="s">
        <v>17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</row>
    <row r="2185" spans="1:11" x14ac:dyDescent="0.2">
      <c r="A2185" s="1" t="s">
        <v>2004</v>
      </c>
      <c r="B2185" s="1" t="s">
        <v>2051</v>
      </c>
      <c r="C2185" s="1" t="str">
        <f>"66298884046349"</f>
        <v>66298884046349</v>
      </c>
      <c r="D2185" s="1" t="str">
        <f>"JB025"</f>
        <v>JB025</v>
      </c>
      <c r="E2185" s="1" t="s">
        <v>17</v>
      </c>
      <c r="F2185" s="1">
        <v>16</v>
      </c>
      <c r="G2185" s="1">
        <v>1830</v>
      </c>
      <c r="H2185" s="1">
        <v>29280</v>
      </c>
      <c r="I2185" s="1">
        <v>0</v>
      </c>
      <c r="J2185" s="1">
        <v>16</v>
      </c>
      <c r="K2185" s="1">
        <v>0</v>
      </c>
    </row>
    <row r="2186" spans="1:11" x14ac:dyDescent="0.2">
      <c r="A2186" s="1" t="s">
        <v>2004</v>
      </c>
      <c r="B2186" s="1" t="s">
        <v>2052</v>
      </c>
      <c r="C2186" s="1" t="str">
        <f>"66298884127410"</f>
        <v>66298884127410</v>
      </c>
      <c r="D2186" s="1" t="str">
        <f>"80750"</f>
        <v>80750</v>
      </c>
      <c r="E2186" s="1" t="s">
        <v>17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</row>
    <row r="2187" spans="1:11" ht="30" x14ac:dyDescent="0.2">
      <c r="A2187" s="1" t="s">
        <v>2004</v>
      </c>
      <c r="B2187" s="1" t="s">
        <v>2053</v>
      </c>
      <c r="C2187" s="1" t="str">
        <f>"66298884164680"</f>
        <v>66298884164680</v>
      </c>
      <c r="D2187" s="1" t="str">
        <f>"400195"</f>
        <v>400195</v>
      </c>
      <c r="E2187" s="1" t="s">
        <v>17</v>
      </c>
      <c r="F2187" s="1">
        <v>1</v>
      </c>
      <c r="G2187" s="1">
        <v>442</v>
      </c>
      <c r="H2187" s="1">
        <v>442</v>
      </c>
      <c r="I2187" s="1">
        <v>0</v>
      </c>
      <c r="J2187" s="1">
        <v>1</v>
      </c>
      <c r="K2187" s="1">
        <v>0</v>
      </c>
    </row>
    <row r="2188" spans="1:11" x14ac:dyDescent="0.2">
      <c r="A2188" s="1" t="s">
        <v>2004</v>
      </c>
      <c r="B2188" s="1" t="s">
        <v>2054</v>
      </c>
      <c r="C2188" s="1" t="str">
        <f>"66298884201679"</f>
        <v>66298884201679</v>
      </c>
      <c r="D2188" s="1" t="str">
        <f>"FFC006"</f>
        <v>FFC006</v>
      </c>
      <c r="E2188" s="1" t="s">
        <v>17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</row>
    <row r="2189" spans="1:11" x14ac:dyDescent="0.2">
      <c r="A2189" s="1" t="s">
        <v>2004</v>
      </c>
      <c r="B2189" s="1" t="s">
        <v>2055</v>
      </c>
      <c r="C2189" s="1" t="str">
        <f>"66298884242609"</f>
        <v>66298884242609</v>
      </c>
      <c r="D2189" s="1" t="str">
        <f>"85179"</f>
        <v>85179</v>
      </c>
      <c r="E2189" s="1" t="s">
        <v>17</v>
      </c>
      <c r="F2189" s="1">
        <v>38</v>
      </c>
      <c r="G2189" s="1">
        <v>454</v>
      </c>
      <c r="H2189" s="1">
        <v>17252</v>
      </c>
      <c r="I2189" s="1">
        <v>0</v>
      </c>
      <c r="J2189" s="1">
        <v>38</v>
      </c>
      <c r="K2189" s="1">
        <v>0</v>
      </c>
    </row>
    <row r="2190" spans="1:11" x14ac:dyDescent="0.2">
      <c r="A2190" s="1" t="s">
        <v>2004</v>
      </c>
      <c r="B2190" s="1" t="s">
        <v>2055</v>
      </c>
      <c r="C2190" s="1" t="str">
        <f>"157-F3440-00HB"</f>
        <v>157-F3440-00HB</v>
      </c>
      <c r="D2190" s="1" t="str">
        <f>"157-F3440-00HB"</f>
        <v>157-F3440-00HB</v>
      </c>
      <c r="E2190" s="1" t="s">
        <v>17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</row>
    <row r="2191" spans="1:11" x14ac:dyDescent="0.2">
      <c r="A2191" s="1" t="s">
        <v>2004</v>
      </c>
      <c r="B2191" s="1" t="s">
        <v>2056</v>
      </c>
      <c r="C2191" s="1" t="str">
        <f>"66298884283102"</f>
        <v>66298884283102</v>
      </c>
      <c r="D2191" s="1" t="str">
        <f>"HA-2511"</f>
        <v>HA-2511</v>
      </c>
      <c r="E2191" s="1" t="s">
        <v>17</v>
      </c>
      <c r="F2191" s="1">
        <v>2</v>
      </c>
      <c r="G2191" s="1">
        <v>48803</v>
      </c>
      <c r="H2191" s="1">
        <v>97606</v>
      </c>
      <c r="I2191" s="1">
        <v>0</v>
      </c>
      <c r="J2191" s="1">
        <v>2</v>
      </c>
      <c r="K2191" s="1">
        <v>0</v>
      </c>
    </row>
    <row r="2192" spans="1:11" x14ac:dyDescent="0.2">
      <c r="A2192" s="1" t="s">
        <v>2004</v>
      </c>
      <c r="B2192" s="1" t="s">
        <v>2057</v>
      </c>
      <c r="C2192" s="1" t="str">
        <f>"66298884325557"</f>
        <v>66298884325557</v>
      </c>
      <c r="D2192" s="1" t="str">
        <f>"KA-2508"</f>
        <v>KA-2508</v>
      </c>
      <c r="E2192" s="1" t="s">
        <v>17</v>
      </c>
      <c r="F2192" s="1">
        <v>1</v>
      </c>
      <c r="G2192" s="1">
        <v>53697</v>
      </c>
      <c r="H2192" s="1">
        <v>53697</v>
      </c>
      <c r="I2192" s="1">
        <v>0</v>
      </c>
      <c r="J2192" s="1">
        <v>1</v>
      </c>
      <c r="K2192" s="1">
        <v>0</v>
      </c>
    </row>
    <row r="2193" spans="1:11" x14ac:dyDescent="0.2">
      <c r="A2193" s="1" t="s">
        <v>2004</v>
      </c>
      <c r="B2193" s="1" t="s">
        <v>2058</v>
      </c>
      <c r="C2193" s="1" t="str">
        <f>"66298884365876"</f>
        <v>66298884365876</v>
      </c>
      <c r="D2193" s="1" t="str">
        <f>"BA-2012"</f>
        <v>BA-2012</v>
      </c>
      <c r="E2193" s="1" t="s">
        <v>17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</row>
    <row r="2194" spans="1:11" x14ac:dyDescent="0.2">
      <c r="A2194" s="1" t="s">
        <v>2004</v>
      </c>
      <c r="B2194" s="1" t="s">
        <v>2059</v>
      </c>
      <c r="C2194" s="1" t="str">
        <f>"66298884408576"</f>
        <v>66298884408576</v>
      </c>
      <c r="D2194" s="1" t="str">
        <f>"YA-1208"</f>
        <v>YA-1208</v>
      </c>
      <c r="E2194" s="1" t="s">
        <v>17</v>
      </c>
      <c r="F2194" s="1">
        <v>2</v>
      </c>
      <c r="G2194" s="1">
        <v>36129</v>
      </c>
      <c r="H2194" s="1">
        <v>72258</v>
      </c>
      <c r="I2194" s="1">
        <v>0</v>
      </c>
      <c r="J2194" s="1">
        <v>2</v>
      </c>
      <c r="K2194" s="1">
        <v>0</v>
      </c>
    </row>
    <row r="2195" spans="1:11" x14ac:dyDescent="0.2">
      <c r="A2195" s="1" t="s">
        <v>2004</v>
      </c>
      <c r="B2195" s="1" t="s">
        <v>2060</v>
      </c>
      <c r="C2195" s="1" t="str">
        <f>"66298884447663"</f>
        <v>66298884447663</v>
      </c>
      <c r="D2195" s="1" t="str">
        <f>"54S-E4450-00HB"</f>
        <v>54S-E4450-00HB</v>
      </c>
      <c r="E2195" s="1" t="s">
        <v>17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</row>
    <row r="2196" spans="1:11" x14ac:dyDescent="0.2">
      <c r="A2196" s="1" t="s">
        <v>2004</v>
      </c>
      <c r="B2196" s="1" t="s">
        <v>2060</v>
      </c>
      <c r="C2196" s="1" t="str">
        <f>"66298884488185"</f>
        <v>66298884488185</v>
      </c>
      <c r="D2196" s="1" t="str">
        <f>"4D0-E4450-00HB"</f>
        <v>4D0-E4450-00HB</v>
      </c>
      <c r="E2196" s="1" t="s">
        <v>17</v>
      </c>
      <c r="F2196" s="1">
        <v>5</v>
      </c>
      <c r="G2196" s="1">
        <v>1557</v>
      </c>
      <c r="H2196" s="1">
        <v>7785</v>
      </c>
      <c r="I2196" s="1">
        <v>0</v>
      </c>
      <c r="J2196" s="1">
        <v>5</v>
      </c>
      <c r="K2196" s="1">
        <v>0</v>
      </c>
    </row>
    <row r="2197" spans="1:11" x14ac:dyDescent="0.2">
      <c r="A2197" s="1" t="s">
        <v>2004</v>
      </c>
      <c r="B2197" s="1" t="s">
        <v>2061</v>
      </c>
      <c r="C2197" s="1" t="str">
        <f>"12483"</f>
        <v>12483</v>
      </c>
      <c r="D2197" s="1" t="str">
        <f>"12483"</f>
        <v>12483</v>
      </c>
      <c r="E2197" s="1" t="s">
        <v>17</v>
      </c>
      <c r="F2197" s="1">
        <v>1</v>
      </c>
      <c r="G2197" s="1">
        <v>8347.06</v>
      </c>
      <c r="H2197" s="1">
        <v>8347</v>
      </c>
      <c r="I2197" s="1">
        <v>0</v>
      </c>
      <c r="J2197" s="1">
        <v>1</v>
      </c>
      <c r="K2197" s="1">
        <v>0</v>
      </c>
    </row>
    <row r="2198" spans="1:11" x14ac:dyDescent="0.2">
      <c r="A2198" s="1" t="s">
        <v>2004</v>
      </c>
      <c r="B2198" s="1" t="s">
        <v>2062</v>
      </c>
      <c r="C2198" s="1" t="str">
        <f>"49CC24"</f>
        <v>49CC24</v>
      </c>
      <c r="D2198" s="1" t="str">
        <f>"49CC24"</f>
        <v>49CC24</v>
      </c>
      <c r="E2198" s="1" t="s">
        <v>17</v>
      </c>
      <c r="F2198" s="1">
        <v>10</v>
      </c>
      <c r="G2198" s="1">
        <v>2565</v>
      </c>
      <c r="H2198" s="1">
        <v>25650</v>
      </c>
      <c r="I2198" s="1">
        <v>0</v>
      </c>
      <c r="J2198" s="1">
        <v>10</v>
      </c>
      <c r="K2198" s="1">
        <v>0</v>
      </c>
    </row>
    <row r="2199" spans="1:11" x14ac:dyDescent="0.2">
      <c r="A2199" s="1" t="s">
        <v>2004</v>
      </c>
      <c r="B2199" s="1" t="s">
        <v>2063</v>
      </c>
      <c r="C2199" s="1" t="str">
        <f>"66298884529568"</f>
        <v>66298884529568</v>
      </c>
      <c r="D2199" s="1" t="str">
        <f>"17211-K70-600HB"</f>
        <v>17211-K70-600HB</v>
      </c>
      <c r="E2199" s="1" t="s">
        <v>17</v>
      </c>
      <c r="F2199" s="1">
        <v>4</v>
      </c>
      <c r="G2199" s="1">
        <v>1762</v>
      </c>
      <c r="H2199" s="1">
        <v>7048</v>
      </c>
      <c r="I2199" s="1">
        <v>0</v>
      </c>
      <c r="J2199" s="1">
        <v>4</v>
      </c>
      <c r="K2199" s="1">
        <v>0</v>
      </c>
    </row>
    <row r="2200" spans="1:11" x14ac:dyDescent="0.2">
      <c r="A2200" s="1" t="s">
        <v>2004</v>
      </c>
      <c r="B2200" s="1" t="s">
        <v>2063</v>
      </c>
      <c r="C2200" s="1" t="str">
        <f>"66298884571731"</f>
        <v>66298884571731</v>
      </c>
      <c r="D2200" s="1" t="str">
        <f>"S038"</f>
        <v>S038</v>
      </c>
      <c r="E2200" s="1" t="s">
        <v>17</v>
      </c>
      <c r="F2200" s="1">
        <v>12</v>
      </c>
      <c r="G2200" s="1">
        <v>1692</v>
      </c>
      <c r="H2200" s="1">
        <v>20304</v>
      </c>
      <c r="I2200" s="1">
        <v>0</v>
      </c>
      <c r="J2200" s="1">
        <v>12</v>
      </c>
      <c r="K2200" s="1">
        <v>0</v>
      </c>
    </row>
    <row r="2201" spans="1:11" x14ac:dyDescent="0.2">
      <c r="A2201" s="1" t="s">
        <v>2004</v>
      </c>
      <c r="B2201" s="1" t="s">
        <v>2064</v>
      </c>
      <c r="C2201" s="1" t="str">
        <f>"66298884613812"</f>
        <v>66298884613812</v>
      </c>
      <c r="D2201" s="1" t="str">
        <f>"17211-KWF-950HB"</f>
        <v>17211-KWF-950HB</v>
      </c>
      <c r="E2201" s="1" t="s">
        <v>17</v>
      </c>
      <c r="F2201" s="1">
        <v>10</v>
      </c>
      <c r="G2201" s="1">
        <v>1861</v>
      </c>
      <c r="H2201" s="1">
        <v>18610</v>
      </c>
      <c r="I2201" s="1">
        <v>0</v>
      </c>
      <c r="J2201" s="1">
        <v>10</v>
      </c>
      <c r="K2201" s="1">
        <v>0</v>
      </c>
    </row>
    <row r="2202" spans="1:11" x14ac:dyDescent="0.2">
      <c r="A2202" s="1" t="s">
        <v>2004</v>
      </c>
      <c r="B2202" s="1" t="s">
        <v>2065</v>
      </c>
      <c r="C2202" s="1" t="str">
        <f>"66298884654202"</f>
        <v>66298884654202</v>
      </c>
      <c r="D2202" s="1" t="str">
        <f>"400172"</f>
        <v>400172</v>
      </c>
      <c r="E2202" s="1" t="s">
        <v>17</v>
      </c>
      <c r="F2202" s="1">
        <v>2</v>
      </c>
      <c r="G2202" s="1">
        <v>1183</v>
      </c>
      <c r="H2202" s="1">
        <v>2366</v>
      </c>
      <c r="I2202" s="1">
        <v>0</v>
      </c>
      <c r="J2202" s="1">
        <v>2</v>
      </c>
      <c r="K2202" s="1">
        <v>0</v>
      </c>
    </row>
    <row r="2203" spans="1:11" x14ac:dyDescent="0.2">
      <c r="A2203" s="1" t="s">
        <v>2004</v>
      </c>
      <c r="B2203" s="1" t="s">
        <v>2066</v>
      </c>
      <c r="C2203" s="1" t="str">
        <f>"66298884692045"</f>
        <v>66298884692045</v>
      </c>
      <c r="D2203" s="1" t="str">
        <f>"17211-KSP-900HB"</f>
        <v>17211-KSP-900HB</v>
      </c>
      <c r="E2203" s="1" t="s">
        <v>17</v>
      </c>
      <c r="F2203" s="1">
        <v>8</v>
      </c>
      <c r="G2203" s="1">
        <v>1724</v>
      </c>
      <c r="H2203" s="1">
        <v>13792</v>
      </c>
      <c r="I2203" s="1">
        <v>0</v>
      </c>
      <c r="J2203" s="1">
        <v>8</v>
      </c>
      <c r="K2203" s="1">
        <v>0</v>
      </c>
    </row>
    <row r="2204" spans="1:11" x14ac:dyDescent="0.2">
      <c r="A2204" s="1" t="s">
        <v>2004</v>
      </c>
      <c r="B2204" s="1" t="s">
        <v>2067</v>
      </c>
      <c r="C2204" s="1" t="str">
        <f>"66298884781917"</f>
        <v>66298884781917</v>
      </c>
      <c r="D2204" s="1" t="str">
        <f>"17211-KYJ-640HB"</f>
        <v>17211-KYJ-640HB</v>
      </c>
      <c r="E2204" s="1" t="s">
        <v>17</v>
      </c>
      <c r="F2204" s="1">
        <v>7</v>
      </c>
      <c r="G2204" s="1">
        <v>2149</v>
      </c>
      <c r="H2204" s="1">
        <v>15043</v>
      </c>
      <c r="I2204" s="1">
        <v>0</v>
      </c>
      <c r="J2204" s="1">
        <v>7</v>
      </c>
      <c r="K2204" s="1">
        <v>0</v>
      </c>
    </row>
    <row r="2205" spans="1:11" x14ac:dyDescent="0.2">
      <c r="A2205" s="1" t="s">
        <v>2004</v>
      </c>
      <c r="B2205" s="1" t="s">
        <v>2068</v>
      </c>
      <c r="C2205" s="1" t="str">
        <f>"66298884736504"</f>
        <v>66298884736504</v>
      </c>
      <c r="D2205" s="1" t="str">
        <f>"S024"</f>
        <v>S024</v>
      </c>
      <c r="E2205" s="1" t="s">
        <v>17</v>
      </c>
      <c r="F2205" s="1">
        <v>2</v>
      </c>
      <c r="G2205" s="1">
        <v>2502</v>
      </c>
      <c r="H2205" s="1">
        <v>5004</v>
      </c>
      <c r="I2205" s="1">
        <v>0</v>
      </c>
      <c r="J2205" s="1">
        <v>2</v>
      </c>
      <c r="K2205" s="1">
        <v>0</v>
      </c>
    </row>
    <row r="2206" spans="1:11" x14ac:dyDescent="0.2">
      <c r="A2206" s="1" t="s">
        <v>2004</v>
      </c>
      <c r="B2206" s="1" t="s">
        <v>2069</v>
      </c>
      <c r="C2206" s="1" t="str">
        <f>"66298884830308"</f>
        <v>66298884830308</v>
      </c>
      <c r="D2206" s="1" t="str">
        <f>"17213-KPF-960HB"</f>
        <v>17213-KPF-960HB</v>
      </c>
      <c r="E2206" s="1" t="s">
        <v>17</v>
      </c>
      <c r="F2206" s="1">
        <v>6</v>
      </c>
      <c r="G2206" s="1">
        <v>2607</v>
      </c>
      <c r="H2206" s="1">
        <v>15642</v>
      </c>
      <c r="I2206" s="1">
        <v>0</v>
      </c>
      <c r="J2206" s="1">
        <v>6</v>
      </c>
      <c r="K2206" s="1">
        <v>0</v>
      </c>
    </row>
    <row r="2207" spans="1:11" x14ac:dyDescent="0.2">
      <c r="A2207" s="1" t="s">
        <v>2004</v>
      </c>
      <c r="B2207" s="1" t="s">
        <v>2069</v>
      </c>
      <c r="C2207" s="1" t="str">
        <f>"66298884836635"</f>
        <v>66298884836635</v>
      </c>
      <c r="D2207" s="1" t="str">
        <f>"82020"</f>
        <v>82020</v>
      </c>
      <c r="E2207" s="1" t="s">
        <v>17</v>
      </c>
      <c r="F2207" s="1">
        <v>7</v>
      </c>
      <c r="G2207" s="1">
        <v>4836</v>
      </c>
      <c r="H2207" s="1">
        <v>33852</v>
      </c>
      <c r="I2207" s="1">
        <v>0</v>
      </c>
      <c r="J2207" s="1">
        <v>7</v>
      </c>
      <c r="K2207" s="1">
        <v>0</v>
      </c>
    </row>
    <row r="2208" spans="1:11" x14ac:dyDescent="0.2">
      <c r="A2208" s="1" t="s">
        <v>2004</v>
      </c>
      <c r="B2208" s="1" t="s">
        <v>2070</v>
      </c>
      <c r="C2208" s="1" t="str">
        <f>"66298884888679"</f>
        <v>66298884888679</v>
      </c>
      <c r="D2208" s="1" t="str">
        <f>"17213-397-003"</f>
        <v>17213-397-003</v>
      </c>
      <c r="E2208" s="1" t="s">
        <v>17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</row>
    <row r="2209" spans="1:11" x14ac:dyDescent="0.2">
      <c r="A2209" s="1" t="s">
        <v>2004</v>
      </c>
      <c r="B2209" s="1" t="s">
        <v>2071</v>
      </c>
      <c r="C2209" s="1" t="str">
        <f>"66298884934540"</f>
        <v>66298884934540</v>
      </c>
      <c r="D2209" s="1" t="str">
        <f>"13538"</f>
        <v>13538</v>
      </c>
      <c r="E2209" s="1" t="s">
        <v>17</v>
      </c>
      <c r="F2209" s="1">
        <v>1</v>
      </c>
      <c r="G2209" s="1">
        <v>1800</v>
      </c>
      <c r="H2209" s="1">
        <v>1800</v>
      </c>
      <c r="I2209" s="1">
        <v>0</v>
      </c>
      <c r="J2209" s="1">
        <v>1</v>
      </c>
      <c r="K2209" s="1">
        <v>0</v>
      </c>
    </row>
    <row r="2210" spans="1:11" x14ac:dyDescent="0.2">
      <c r="A2210" s="1" t="s">
        <v>2004</v>
      </c>
      <c r="B2210" s="1" t="s">
        <v>2072</v>
      </c>
      <c r="C2210" s="1" t="str">
        <f>"66298884976362"</f>
        <v>66298884976362</v>
      </c>
      <c r="D2210" s="1" t="str">
        <f>"1535R"</f>
        <v>1535R</v>
      </c>
      <c r="E2210" s="1" t="s">
        <v>17</v>
      </c>
      <c r="F2210" s="1">
        <v>1</v>
      </c>
      <c r="G2210" s="1">
        <v>1890</v>
      </c>
      <c r="H2210" s="1">
        <v>1890</v>
      </c>
      <c r="I2210" s="1">
        <v>0</v>
      </c>
      <c r="J2210" s="1">
        <v>1</v>
      </c>
      <c r="K2210" s="1">
        <v>0</v>
      </c>
    </row>
    <row r="2211" spans="1:11" x14ac:dyDescent="0.2">
      <c r="A2211" s="1" t="s">
        <v>2004</v>
      </c>
      <c r="B2211" s="1" t="s">
        <v>2073</v>
      </c>
      <c r="C2211" s="1" t="str">
        <f>"1435C"</f>
        <v>1435C</v>
      </c>
      <c r="D2211" s="1" t="str">
        <f>"1435C"</f>
        <v>1435C</v>
      </c>
      <c r="E2211" s="1" t="s">
        <v>17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</row>
    <row r="2212" spans="1:11" x14ac:dyDescent="0.2">
      <c r="A2212" s="1" t="s">
        <v>2004</v>
      </c>
      <c r="B2212" s="1" t="s">
        <v>2074</v>
      </c>
      <c r="C2212" s="1" t="str">
        <f>"66298885015660"</f>
        <v>66298885015660</v>
      </c>
      <c r="D2212" s="1" t="str">
        <f>"400794"</f>
        <v>400794</v>
      </c>
      <c r="E2212" s="1" t="s">
        <v>17</v>
      </c>
      <c r="F2212" s="1">
        <v>8</v>
      </c>
      <c r="G2212" s="1">
        <v>1419</v>
      </c>
      <c r="H2212" s="1">
        <v>11352</v>
      </c>
      <c r="I2212" s="1">
        <v>0</v>
      </c>
      <c r="J2212" s="1">
        <v>8</v>
      </c>
      <c r="K2212" s="1">
        <v>0</v>
      </c>
    </row>
    <row r="2213" spans="1:11" x14ac:dyDescent="0.2">
      <c r="A2213" s="1" t="s">
        <v>2004</v>
      </c>
      <c r="B2213" s="1" t="s">
        <v>2075</v>
      </c>
      <c r="C2213" s="1" t="str">
        <f>"12895-F"</f>
        <v>12895-F</v>
      </c>
      <c r="D2213" s="1" t="str">
        <f>"12895-F"</f>
        <v>12895-F</v>
      </c>
      <c r="E2213" s="1" t="s">
        <v>17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</row>
    <row r="2214" spans="1:11" x14ac:dyDescent="0.2">
      <c r="A2214" s="1" t="s">
        <v>2004</v>
      </c>
      <c r="B2214" s="1" t="s">
        <v>2076</v>
      </c>
      <c r="C2214" s="1" t="str">
        <f>"66298885056060"</f>
        <v>66298885056060</v>
      </c>
      <c r="D2214" s="1" t="str">
        <f>"DX-1210-10"</f>
        <v>DX-1210-10</v>
      </c>
      <c r="E2214" s="1" t="s">
        <v>17</v>
      </c>
      <c r="F2214" s="1">
        <v>1</v>
      </c>
      <c r="G2214" s="1">
        <v>657</v>
      </c>
      <c r="H2214" s="1">
        <v>657</v>
      </c>
      <c r="I2214" s="1">
        <v>0</v>
      </c>
      <c r="J2214" s="1">
        <v>1</v>
      </c>
      <c r="K2214" s="1">
        <v>0</v>
      </c>
    </row>
    <row r="2215" spans="1:11" x14ac:dyDescent="0.2">
      <c r="A2215" s="1" t="s">
        <v>2004</v>
      </c>
      <c r="B2215" s="1" t="s">
        <v>2077</v>
      </c>
      <c r="C2215" s="1" t="str">
        <f>"66298885095983"</f>
        <v>66298885095983</v>
      </c>
      <c r="D2215" s="1" t="str">
        <f>"13780-27G10HB"</f>
        <v>13780-27G10HB</v>
      </c>
      <c r="E2215" s="1" t="s">
        <v>17</v>
      </c>
      <c r="F2215" s="1">
        <v>6</v>
      </c>
      <c r="G2215" s="1">
        <v>3570</v>
      </c>
      <c r="H2215" s="1">
        <v>21420</v>
      </c>
      <c r="I2215" s="1">
        <v>0</v>
      </c>
      <c r="J2215" s="1">
        <v>6</v>
      </c>
      <c r="K2215" s="1">
        <v>0</v>
      </c>
    </row>
    <row r="2216" spans="1:11" x14ac:dyDescent="0.2">
      <c r="A2216" s="1" t="s">
        <v>2004</v>
      </c>
      <c r="B2216" s="1" t="s">
        <v>2078</v>
      </c>
      <c r="C2216" s="1" t="str">
        <f>"13780H2J000H000"</f>
        <v>13780H2J000H000</v>
      </c>
      <c r="D2216" s="1" t="str">
        <f>"13780H2J000H000"</f>
        <v>13780H2J000H000</v>
      </c>
      <c r="E2216" s="1" t="s">
        <v>17</v>
      </c>
      <c r="F2216" s="1">
        <v>2</v>
      </c>
      <c r="G2216" s="1">
        <v>10011.49</v>
      </c>
      <c r="H2216" s="1">
        <v>20023</v>
      </c>
      <c r="I2216" s="1">
        <v>0</v>
      </c>
      <c r="J2216" s="1">
        <v>2</v>
      </c>
      <c r="K2216" s="1">
        <v>0</v>
      </c>
    </row>
    <row r="2217" spans="1:11" x14ac:dyDescent="0.2">
      <c r="A2217" s="1" t="s">
        <v>2004</v>
      </c>
      <c r="B2217" s="1" t="s">
        <v>2079</v>
      </c>
      <c r="C2217" s="1" t="str">
        <f>"66298885135465"</f>
        <v>66298885135465</v>
      </c>
      <c r="D2217" s="1" t="str">
        <f>"13780-42A01HB"</f>
        <v>13780-42A01HB</v>
      </c>
      <c r="E2217" s="1" t="s">
        <v>17</v>
      </c>
      <c r="F2217" s="1">
        <v>9</v>
      </c>
      <c r="G2217" s="1">
        <v>1738</v>
      </c>
      <c r="H2217" s="1">
        <v>15642</v>
      </c>
      <c r="I2217" s="1">
        <v>0</v>
      </c>
      <c r="J2217" s="1">
        <v>9</v>
      </c>
      <c r="K2217" s="1">
        <v>0</v>
      </c>
    </row>
    <row r="2218" spans="1:11" x14ac:dyDescent="0.2">
      <c r="A2218" s="1" t="s">
        <v>2004</v>
      </c>
      <c r="B2218" s="1" t="s">
        <v>2080</v>
      </c>
      <c r="C2218" s="1" t="str">
        <f>"66298885174021"</f>
        <v>66298885174021</v>
      </c>
      <c r="D2218" s="1" t="str">
        <f>"13780-32E00HB"</f>
        <v>13780-32E00HB</v>
      </c>
      <c r="E2218" s="1" t="s">
        <v>17</v>
      </c>
      <c r="F2218" s="1">
        <v>3</v>
      </c>
      <c r="G2218" s="1">
        <v>1928</v>
      </c>
      <c r="H2218" s="1">
        <v>5784</v>
      </c>
      <c r="I2218" s="1">
        <v>0</v>
      </c>
      <c r="J2218" s="1">
        <v>3</v>
      </c>
      <c r="K2218" s="1">
        <v>0</v>
      </c>
    </row>
    <row r="2219" spans="1:11" x14ac:dyDescent="0.2">
      <c r="A2219" s="1" t="s">
        <v>2004</v>
      </c>
      <c r="B2219" s="1" t="s">
        <v>2081</v>
      </c>
      <c r="C2219" s="1" t="str">
        <f>"12216"</f>
        <v>12216</v>
      </c>
      <c r="D2219" s="1" t="str">
        <f>"12216"</f>
        <v>12216</v>
      </c>
      <c r="E2219" s="1" t="s">
        <v>17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</row>
    <row r="2220" spans="1:11" x14ac:dyDescent="0.2">
      <c r="A2220" s="1" t="s">
        <v>2004</v>
      </c>
      <c r="B2220" s="1" t="s">
        <v>2082</v>
      </c>
      <c r="C2220" s="1" t="str">
        <f>"66298885212952"</f>
        <v>66298885212952</v>
      </c>
      <c r="D2220" s="1" t="str">
        <f>"17211-KSY-900HB"</f>
        <v>17211-KSY-900HB</v>
      </c>
      <c r="E2220" s="1" t="s">
        <v>17</v>
      </c>
      <c r="F2220" s="1">
        <v>5</v>
      </c>
      <c r="G2220" s="1">
        <v>2618</v>
      </c>
      <c r="H2220" s="1">
        <v>13090</v>
      </c>
      <c r="I2220" s="1">
        <v>0</v>
      </c>
      <c r="J2220" s="1">
        <v>5</v>
      </c>
      <c r="K2220" s="1">
        <v>0</v>
      </c>
    </row>
    <row r="2221" spans="1:11" x14ac:dyDescent="0.2">
      <c r="A2221" s="1" t="s">
        <v>2004</v>
      </c>
      <c r="B2221" s="1" t="s">
        <v>2083</v>
      </c>
      <c r="C2221" s="1" t="str">
        <f>"10550"</f>
        <v>10550</v>
      </c>
      <c r="D2221" s="1" t="str">
        <f>"10550"</f>
        <v>10550</v>
      </c>
      <c r="E2221" s="1" t="s">
        <v>17</v>
      </c>
      <c r="F2221" s="1">
        <v>1</v>
      </c>
      <c r="G2221" s="1">
        <v>4936.13</v>
      </c>
      <c r="H2221" s="1">
        <v>4936</v>
      </c>
      <c r="I2221" s="1">
        <v>0</v>
      </c>
      <c r="J2221" s="1">
        <v>1</v>
      </c>
      <c r="K2221" s="1">
        <v>0</v>
      </c>
    </row>
    <row r="2222" spans="1:11" x14ac:dyDescent="0.2">
      <c r="A2222" s="1" t="s">
        <v>2004</v>
      </c>
      <c r="B2222" s="1" t="s">
        <v>2084</v>
      </c>
      <c r="C2222" s="1" t="str">
        <f>"66298885294715"</f>
        <v>66298885294715</v>
      </c>
      <c r="D2222" s="1" t="str">
        <f>"21C-E4450-00"</f>
        <v>21C-E4450-00</v>
      </c>
      <c r="E2222" s="1" t="s">
        <v>17</v>
      </c>
      <c r="F2222" s="1">
        <v>4</v>
      </c>
      <c r="G2222" s="1">
        <v>2556</v>
      </c>
      <c r="H2222" s="1">
        <v>10224</v>
      </c>
      <c r="I2222" s="1">
        <v>0</v>
      </c>
      <c r="J2222" s="1">
        <v>4</v>
      </c>
      <c r="K2222" s="1">
        <v>0</v>
      </c>
    </row>
    <row r="2223" spans="1:11" x14ac:dyDescent="0.2">
      <c r="A2223" s="1" t="s">
        <v>2004</v>
      </c>
      <c r="B2223" s="1" t="s">
        <v>2085</v>
      </c>
      <c r="C2223" s="1" t="str">
        <f>"66298885343080"</f>
        <v>66298885343080</v>
      </c>
      <c r="D2223" s="1" t="str">
        <f>"400173"</f>
        <v>400173</v>
      </c>
      <c r="E2223" s="1" t="s">
        <v>17</v>
      </c>
      <c r="F2223" s="1">
        <v>3</v>
      </c>
      <c r="G2223" s="1">
        <v>1435</v>
      </c>
      <c r="H2223" s="1">
        <v>4305</v>
      </c>
      <c r="I2223" s="1">
        <v>0</v>
      </c>
      <c r="J2223" s="1">
        <v>3</v>
      </c>
      <c r="K2223" s="1">
        <v>0</v>
      </c>
    </row>
    <row r="2224" spans="1:11" x14ac:dyDescent="0.2">
      <c r="A2224" s="1" t="s">
        <v>2004</v>
      </c>
      <c r="B2224" s="1" t="s">
        <v>2086</v>
      </c>
      <c r="C2224" s="1" t="str">
        <f>"66298885252434"</f>
        <v>66298885252434</v>
      </c>
      <c r="D2224" s="1" t="str">
        <f>"S002"</f>
        <v>S002</v>
      </c>
      <c r="E2224" s="1" t="s">
        <v>17</v>
      </c>
      <c r="F2224" s="1">
        <v>4</v>
      </c>
      <c r="G2224" s="1">
        <v>2316</v>
      </c>
      <c r="H2224" s="1">
        <v>9264</v>
      </c>
      <c r="I2224" s="1">
        <v>0</v>
      </c>
      <c r="J2224" s="1">
        <v>4</v>
      </c>
      <c r="K2224" s="1">
        <v>0</v>
      </c>
    </row>
    <row r="2225" spans="1:11" x14ac:dyDescent="0.2">
      <c r="A2225" s="1" t="s">
        <v>2004</v>
      </c>
      <c r="B2225" s="1" t="s">
        <v>2086</v>
      </c>
      <c r="C2225" s="1" t="str">
        <f>"13540"</f>
        <v>13540</v>
      </c>
      <c r="D2225" s="1" t="str">
        <f>"13540"</f>
        <v>13540</v>
      </c>
      <c r="E2225" s="1" t="s">
        <v>17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</row>
    <row r="2226" spans="1:11" x14ac:dyDescent="0.2">
      <c r="A2226" s="1" t="s">
        <v>2004</v>
      </c>
      <c r="B2226" s="1" t="s">
        <v>2087</v>
      </c>
      <c r="C2226" s="1" t="str">
        <f>"S4V0485200066"</f>
        <v>S4V0485200066</v>
      </c>
      <c r="D2226" s="1" t="str">
        <f>"S4V0485200066"</f>
        <v>S4V0485200066</v>
      </c>
      <c r="E2226" s="1" t="s">
        <v>17</v>
      </c>
      <c r="F2226" s="1">
        <v>3</v>
      </c>
      <c r="G2226" s="1">
        <v>9927.73</v>
      </c>
      <c r="H2226" s="1">
        <v>29783</v>
      </c>
      <c r="I2226" s="1">
        <v>0</v>
      </c>
      <c r="J2226" s="1">
        <v>3</v>
      </c>
      <c r="K2226" s="1">
        <v>0</v>
      </c>
    </row>
    <row r="2227" spans="1:11" x14ac:dyDescent="0.2">
      <c r="A2227" s="1" t="s">
        <v>2004</v>
      </c>
      <c r="B2227" s="1" t="s">
        <v>2088</v>
      </c>
      <c r="C2227" s="1" t="str">
        <f>"66298885382653"</f>
        <v>66298885382653</v>
      </c>
      <c r="D2227" s="1" t="str">
        <f>"5VX-14451-00HB"</f>
        <v>5VX-14451-00HB</v>
      </c>
      <c r="E2227" s="1" t="s">
        <v>17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</row>
    <row r="2228" spans="1:11" x14ac:dyDescent="0.2">
      <c r="A2228" s="1" t="s">
        <v>2004</v>
      </c>
      <c r="B2228" s="1" t="s">
        <v>2089</v>
      </c>
      <c r="C2228" s="1" t="str">
        <f>"66298885468255"</f>
        <v>66298885468255</v>
      </c>
      <c r="D2228" s="1" t="str">
        <f>"S026"</f>
        <v>S026</v>
      </c>
      <c r="E2228" s="1" t="s">
        <v>17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</row>
    <row r="2229" spans="1:11" x14ac:dyDescent="0.2">
      <c r="A2229" s="1" t="s">
        <v>2004</v>
      </c>
      <c r="B2229" s="1" t="s">
        <v>2090</v>
      </c>
      <c r="C2229" s="1" t="str">
        <f>"66298885426943"</f>
        <v>66298885426943</v>
      </c>
      <c r="D2229" s="1" t="str">
        <f>"2GS-E4450-00HB"</f>
        <v>2GS-E4450-00HB</v>
      </c>
      <c r="E2229" s="1" t="s">
        <v>17</v>
      </c>
      <c r="F2229" s="1">
        <v>10</v>
      </c>
      <c r="G2229" s="1">
        <v>2325</v>
      </c>
      <c r="H2229" s="1">
        <v>23250</v>
      </c>
      <c r="I2229" s="1">
        <v>0</v>
      </c>
      <c r="J2229" s="1">
        <v>10</v>
      </c>
      <c r="K2229" s="1">
        <v>0</v>
      </c>
    </row>
    <row r="2230" spans="1:11" x14ac:dyDescent="0.2">
      <c r="A2230" s="1" t="s">
        <v>2004</v>
      </c>
      <c r="B2230" s="1" t="s">
        <v>2091</v>
      </c>
      <c r="C2230" s="1" t="str">
        <f>"66298885511699"</f>
        <v>66298885511699</v>
      </c>
      <c r="D2230" s="1" t="str">
        <f>"13780-34J00HB"</f>
        <v>13780-34J00HB</v>
      </c>
      <c r="E2230" s="1" t="s">
        <v>17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</row>
    <row r="2231" spans="1:11" x14ac:dyDescent="0.2">
      <c r="A2231" s="1" t="s">
        <v>2004</v>
      </c>
      <c r="B2231" s="1" t="s">
        <v>2091</v>
      </c>
      <c r="C2231" s="1" t="str">
        <f>"66298885518040"</f>
        <v>66298885518040</v>
      </c>
      <c r="D2231" s="1" t="str">
        <f>"S037"</f>
        <v>S037</v>
      </c>
      <c r="E2231" s="1" t="s">
        <v>17</v>
      </c>
      <c r="F2231" s="1">
        <v>7</v>
      </c>
      <c r="G2231" s="1">
        <v>2691</v>
      </c>
      <c r="H2231" s="1">
        <v>18837</v>
      </c>
      <c r="I2231" s="1">
        <v>0</v>
      </c>
      <c r="J2231" s="1">
        <v>7</v>
      </c>
      <c r="K2231" s="1">
        <v>0</v>
      </c>
    </row>
    <row r="2232" spans="1:11" x14ac:dyDescent="0.2">
      <c r="A2232" s="1" t="s">
        <v>2004</v>
      </c>
      <c r="B2232" s="1" t="s">
        <v>2092</v>
      </c>
      <c r="C2232" s="1" t="str">
        <f>"66298885568867"</f>
        <v>66298885568867</v>
      </c>
      <c r="D2232" s="1" t="str">
        <f>"13780-45F00-000"</f>
        <v>13780-45F00-000</v>
      </c>
      <c r="E2232" s="1" t="s">
        <v>17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</row>
    <row r="2233" spans="1:11" x14ac:dyDescent="0.2">
      <c r="A2233" s="1" t="s">
        <v>2004</v>
      </c>
      <c r="B2233" s="1" t="s">
        <v>2093</v>
      </c>
      <c r="C2233" s="1" t="str">
        <f>"13780-38301-000"</f>
        <v>13780-38301-000</v>
      </c>
      <c r="D2233" s="1" t="str">
        <f>"13780-38301-000"</f>
        <v>13780-38301-000</v>
      </c>
      <c r="E2233" s="1" t="s">
        <v>17</v>
      </c>
      <c r="F2233" s="1">
        <v>4</v>
      </c>
      <c r="G2233" s="1">
        <v>1503</v>
      </c>
      <c r="H2233" s="1">
        <v>6012</v>
      </c>
      <c r="I2233" s="1">
        <v>0</v>
      </c>
      <c r="J2233" s="1">
        <v>4</v>
      </c>
      <c r="K2233" s="1">
        <v>0</v>
      </c>
    </row>
    <row r="2234" spans="1:11" x14ac:dyDescent="0.2">
      <c r="A2234" s="1" t="s">
        <v>2004</v>
      </c>
      <c r="B2234" s="1" t="s">
        <v>2094</v>
      </c>
      <c r="C2234" s="1" t="str">
        <f>"66298885609302"</f>
        <v>66298885609302</v>
      </c>
      <c r="D2234" s="1" t="str">
        <f>"A048"</f>
        <v>A048</v>
      </c>
      <c r="E2234" s="1" t="s">
        <v>17</v>
      </c>
      <c r="F2234" s="1">
        <v>3</v>
      </c>
      <c r="G2234" s="1">
        <v>2260</v>
      </c>
      <c r="H2234" s="1">
        <v>6780</v>
      </c>
      <c r="I2234" s="1">
        <v>0</v>
      </c>
      <c r="J2234" s="1">
        <v>3</v>
      </c>
      <c r="K2234" s="1">
        <v>0</v>
      </c>
    </row>
    <row r="2235" spans="1:11" x14ac:dyDescent="0.2">
      <c r="A2235" s="1" t="s">
        <v>2004</v>
      </c>
      <c r="B2235" s="1" t="s">
        <v>2095</v>
      </c>
      <c r="C2235" s="1" t="str">
        <f>"13780-30H10-00HB"</f>
        <v>13780-30H10-00HB</v>
      </c>
      <c r="D2235" s="1" t="str">
        <f>"13780-30H10-00HB"</f>
        <v>13780-30H10-00HB</v>
      </c>
      <c r="E2235" s="1" t="s">
        <v>17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</row>
    <row r="2236" spans="1:11" x14ac:dyDescent="0.2">
      <c r="A2236" s="1" t="s">
        <v>2004</v>
      </c>
      <c r="B2236" s="1" t="s">
        <v>2096</v>
      </c>
      <c r="C2236" s="1" t="str">
        <f>"66298885688082"</f>
        <v>66298885688082</v>
      </c>
      <c r="D2236" s="1" t="str">
        <f>"82636"</f>
        <v>82636</v>
      </c>
      <c r="E2236" s="1" t="s">
        <v>17</v>
      </c>
      <c r="F2236" s="1">
        <v>3</v>
      </c>
      <c r="G2236" s="1">
        <v>996</v>
      </c>
      <c r="H2236" s="1">
        <v>2988</v>
      </c>
      <c r="I2236" s="1">
        <v>0</v>
      </c>
      <c r="J2236" s="1">
        <v>3</v>
      </c>
      <c r="K2236" s="1">
        <v>0</v>
      </c>
    </row>
    <row r="2237" spans="1:11" x14ac:dyDescent="0.2">
      <c r="A2237" s="1" t="s">
        <v>2004</v>
      </c>
      <c r="B2237" s="1" t="s">
        <v>2097</v>
      </c>
      <c r="C2237" s="1" t="str">
        <f>"66298885730990"</f>
        <v>66298885730990</v>
      </c>
      <c r="D2237" s="1" t="str">
        <f>"A037"</f>
        <v>A037</v>
      </c>
      <c r="E2237" s="1" t="s">
        <v>17</v>
      </c>
      <c r="F2237" s="1">
        <v>2</v>
      </c>
      <c r="G2237" s="1">
        <v>2230</v>
      </c>
      <c r="H2237" s="1">
        <v>4460</v>
      </c>
      <c r="I2237" s="1">
        <v>0</v>
      </c>
      <c r="J2237" s="1">
        <v>2</v>
      </c>
      <c r="K2237" s="1">
        <v>0</v>
      </c>
    </row>
    <row r="2238" spans="1:11" x14ac:dyDescent="0.2">
      <c r="A2238" s="1" t="s">
        <v>2004</v>
      </c>
      <c r="B2238" s="1" t="s">
        <v>2098</v>
      </c>
      <c r="C2238" s="1" t="str">
        <f>"13780-25H00-000"</f>
        <v>13780-25H00-000</v>
      </c>
      <c r="D2238" s="1" t="str">
        <f>"13780-25H00-000"</f>
        <v>13780-25H00-000</v>
      </c>
      <c r="E2238" s="1" t="s">
        <v>17</v>
      </c>
      <c r="F2238" s="1">
        <v>5</v>
      </c>
      <c r="G2238" s="1">
        <v>2889</v>
      </c>
      <c r="H2238" s="1">
        <v>14445</v>
      </c>
      <c r="I2238" s="1">
        <v>0</v>
      </c>
      <c r="J2238" s="1">
        <v>5</v>
      </c>
      <c r="K2238" s="1">
        <v>0</v>
      </c>
    </row>
    <row r="2239" spans="1:11" ht="30" x14ac:dyDescent="0.2">
      <c r="A2239" s="1" t="s">
        <v>2004</v>
      </c>
      <c r="B2239" s="1" t="s">
        <v>2099</v>
      </c>
      <c r="C2239" s="1" t="str">
        <f>"EMJM20278"</f>
        <v>EMJM20278</v>
      </c>
      <c r="D2239" s="1" t="str">
        <f>"EMJM20278"</f>
        <v>EMJM20278</v>
      </c>
      <c r="E2239" s="1" t="s">
        <v>17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</row>
    <row r="2240" spans="1:11" x14ac:dyDescent="0.2">
      <c r="A2240" s="1" t="s">
        <v>2004</v>
      </c>
      <c r="B2240" s="1" t="s">
        <v>2100</v>
      </c>
      <c r="C2240" s="1" t="str">
        <f>"12366"</f>
        <v>12366</v>
      </c>
      <c r="D2240" s="1" t="str">
        <f>"12366"</f>
        <v>12366</v>
      </c>
      <c r="E2240" s="1" t="s">
        <v>17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</row>
    <row r="2241" spans="1:11" x14ac:dyDescent="0.2">
      <c r="A2241" s="1" t="s">
        <v>2004</v>
      </c>
      <c r="B2241" s="1" t="s">
        <v>2101</v>
      </c>
      <c r="C2241" s="1" t="str">
        <f>"66298885808861"</f>
        <v>66298885808861</v>
      </c>
      <c r="D2241" s="1" t="str">
        <f>"PP-30615-000HB"</f>
        <v>PP-30615-000HB</v>
      </c>
      <c r="E2241" s="1" t="s">
        <v>17</v>
      </c>
      <c r="F2241" s="1">
        <v>5</v>
      </c>
      <c r="G2241" s="1">
        <v>520</v>
      </c>
      <c r="H2241" s="1">
        <v>2600</v>
      </c>
      <c r="I2241" s="1">
        <v>0</v>
      </c>
      <c r="J2241" s="1">
        <v>5</v>
      </c>
      <c r="K2241" s="1">
        <v>0</v>
      </c>
    </row>
    <row r="2242" spans="1:11" x14ac:dyDescent="0.2">
      <c r="A2242" s="1" t="s">
        <v>2004</v>
      </c>
      <c r="B2242" s="1" t="s">
        <v>2102</v>
      </c>
      <c r="C2242" s="1" t="str">
        <f>"13781H2C001H000"</f>
        <v>13781H2C001H000</v>
      </c>
      <c r="D2242" s="1" t="str">
        <f>"13781H2C001H000"</f>
        <v>13781H2C001H000</v>
      </c>
      <c r="E2242" s="1" t="s">
        <v>17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</row>
    <row r="2243" spans="1:11" x14ac:dyDescent="0.2">
      <c r="A2243" s="1" t="s">
        <v>2004</v>
      </c>
      <c r="B2243" s="1" t="s">
        <v>2102</v>
      </c>
      <c r="C2243" s="1" t="str">
        <f>"11993"</f>
        <v>11993</v>
      </c>
      <c r="D2243" s="1" t="str">
        <f>"11993"</f>
        <v>11993</v>
      </c>
      <c r="E2243" s="1" t="s">
        <v>17</v>
      </c>
      <c r="F2243" s="1">
        <v>1</v>
      </c>
      <c r="G2243" s="1">
        <v>3826.89</v>
      </c>
      <c r="H2243" s="1">
        <v>3827</v>
      </c>
      <c r="I2243" s="1">
        <v>0</v>
      </c>
      <c r="J2243" s="1">
        <v>1</v>
      </c>
      <c r="K2243" s="1">
        <v>0</v>
      </c>
    </row>
    <row r="2244" spans="1:11" x14ac:dyDescent="0.2">
      <c r="A2244" s="1" t="s">
        <v>2004</v>
      </c>
      <c r="B2244" s="1" t="s">
        <v>2103</v>
      </c>
      <c r="C2244" s="1" t="str">
        <f>"66298885849228"</f>
        <v>66298885849228</v>
      </c>
      <c r="D2244" s="1" t="str">
        <f>"11013-0025JP"</f>
        <v>11013-0025JP</v>
      </c>
      <c r="E2244" s="1" t="s">
        <v>17</v>
      </c>
      <c r="F2244" s="1">
        <v>7</v>
      </c>
      <c r="G2244" s="1">
        <v>1350</v>
      </c>
      <c r="H2244" s="1">
        <v>9450</v>
      </c>
      <c r="I2244" s="1">
        <v>0</v>
      </c>
      <c r="J2244" s="1">
        <v>7</v>
      </c>
      <c r="K2244" s="1">
        <v>0</v>
      </c>
    </row>
    <row r="2245" spans="1:11" x14ac:dyDescent="0.2">
      <c r="A2245" s="1" t="s">
        <v>2004</v>
      </c>
      <c r="B2245" s="1" t="s">
        <v>2104</v>
      </c>
      <c r="C2245" s="1" t="str">
        <f>"66298885893652"</f>
        <v>66298885893652</v>
      </c>
      <c r="D2245" s="1" t="str">
        <f>"90106015000"</f>
        <v>90106015000</v>
      </c>
      <c r="E2245" s="1" t="s">
        <v>17</v>
      </c>
      <c r="F2245" s="1">
        <v>10</v>
      </c>
      <c r="G2245" s="1">
        <v>2467</v>
      </c>
      <c r="H2245" s="1">
        <v>24670</v>
      </c>
      <c r="I2245" s="1">
        <v>0</v>
      </c>
      <c r="J2245" s="1">
        <v>10</v>
      </c>
      <c r="K2245" s="1">
        <v>0</v>
      </c>
    </row>
    <row r="2246" spans="1:11" x14ac:dyDescent="0.2">
      <c r="A2246" s="1" t="s">
        <v>2004</v>
      </c>
      <c r="B2246" s="1" t="s">
        <v>2105</v>
      </c>
      <c r="C2246" s="1" t="str">
        <f>"K353352900"</f>
        <v>K353352900</v>
      </c>
      <c r="D2246" s="1" t="str">
        <f>"K353352900"</f>
        <v>K353352900</v>
      </c>
      <c r="E2246" s="1" t="s">
        <v>17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</row>
    <row r="2247" spans="1:11" x14ac:dyDescent="0.2">
      <c r="A2247" s="1" t="s">
        <v>2004</v>
      </c>
      <c r="B2247" s="1" t="s">
        <v>2106</v>
      </c>
      <c r="C2247" s="1" t="str">
        <f>"7889"</f>
        <v>7889</v>
      </c>
      <c r="D2247" s="1" t="str">
        <f>"7889"</f>
        <v>7889</v>
      </c>
      <c r="E2247" s="1" t="s">
        <v>17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</row>
    <row r="2248" spans="1:11" x14ac:dyDescent="0.2">
      <c r="A2248" s="1" t="s">
        <v>2004</v>
      </c>
      <c r="B2248" s="1" t="s">
        <v>2107</v>
      </c>
      <c r="C2248" s="1" t="str">
        <f>"1RC-14451-00HB"</f>
        <v>1RC-14451-00HB</v>
      </c>
      <c r="D2248" s="1" t="str">
        <f>"1RC-14451-00HB"</f>
        <v>1RC-14451-00HB</v>
      </c>
      <c r="E2248" s="1" t="s">
        <v>17</v>
      </c>
      <c r="F2248" s="1">
        <v>3</v>
      </c>
      <c r="G2248" s="1">
        <v>9394</v>
      </c>
      <c r="H2248" s="1">
        <v>28182</v>
      </c>
      <c r="I2248" s="1">
        <v>0</v>
      </c>
      <c r="J2248" s="1">
        <v>3</v>
      </c>
      <c r="K2248" s="1">
        <v>0</v>
      </c>
    </row>
    <row r="2249" spans="1:11" x14ac:dyDescent="0.2">
      <c r="A2249" s="1" t="s">
        <v>2004</v>
      </c>
      <c r="B2249" s="1" t="s">
        <v>2108</v>
      </c>
      <c r="C2249" s="1" t="str">
        <f>"66298885934567"</f>
        <v>66298885934567</v>
      </c>
      <c r="D2249" s="1" t="str">
        <f>"S022"</f>
        <v>S022</v>
      </c>
      <c r="E2249" s="1" t="s">
        <v>17</v>
      </c>
      <c r="F2249" s="1">
        <v>10</v>
      </c>
      <c r="G2249" s="1">
        <v>2052</v>
      </c>
      <c r="H2249" s="1">
        <v>20520</v>
      </c>
      <c r="I2249" s="1">
        <v>0</v>
      </c>
      <c r="J2249" s="1">
        <v>10</v>
      </c>
      <c r="K2249" s="1">
        <v>0</v>
      </c>
    </row>
    <row r="2250" spans="1:11" ht="30" x14ac:dyDescent="0.2">
      <c r="A2250" s="1" t="s">
        <v>2004</v>
      </c>
      <c r="B2250" s="1" t="s">
        <v>2109</v>
      </c>
      <c r="C2250" s="1" t="str">
        <f>"17211-KVX-600"</f>
        <v>17211-KVX-600</v>
      </c>
      <c r="D2250" s="1" t="str">
        <f>"17211-KVX-600"</f>
        <v>17211-KVX-600</v>
      </c>
      <c r="E2250" s="1" t="s">
        <v>17</v>
      </c>
      <c r="F2250" s="1">
        <v>8</v>
      </c>
      <c r="G2250" s="1">
        <v>1749</v>
      </c>
      <c r="H2250" s="1">
        <v>13992</v>
      </c>
      <c r="I2250" s="1">
        <v>0</v>
      </c>
      <c r="J2250" s="1">
        <v>8</v>
      </c>
      <c r="K2250" s="1">
        <v>0</v>
      </c>
    </row>
    <row r="2251" spans="1:11" ht="30" x14ac:dyDescent="0.2">
      <c r="A2251" s="1" t="s">
        <v>2004</v>
      </c>
      <c r="B2251" s="1" t="s">
        <v>2109</v>
      </c>
      <c r="C2251" s="1" t="str">
        <f>"3080"</f>
        <v>3080</v>
      </c>
      <c r="D2251" s="1" t="str">
        <f>"3080"</f>
        <v>3080</v>
      </c>
      <c r="E2251" s="1" t="s">
        <v>17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</row>
    <row r="2252" spans="1:11" ht="30" x14ac:dyDescent="0.2">
      <c r="A2252" s="1" t="s">
        <v>2004</v>
      </c>
      <c r="B2252" s="1" t="s">
        <v>2109</v>
      </c>
      <c r="C2252" s="1" t="str">
        <f>"7001"</f>
        <v>7001</v>
      </c>
      <c r="D2252" s="1" t="str">
        <f>"7001"</f>
        <v>7001</v>
      </c>
      <c r="E2252" s="1" t="s">
        <v>17</v>
      </c>
      <c r="F2252" s="1">
        <v>8</v>
      </c>
      <c r="G2252" s="1">
        <v>2899.2</v>
      </c>
      <c r="H2252" s="1">
        <v>23194</v>
      </c>
      <c r="I2252" s="1">
        <v>0</v>
      </c>
      <c r="J2252" s="1">
        <v>8</v>
      </c>
      <c r="K2252" s="1">
        <v>0</v>
      </c>
    </row>
    <row r="2253" spans="1:11" x14ac:dyDescent="0.2">
      <c r="A2253" s="1" t="s">
        <v>2004</v>
      </c>
      <c r="B2253" s="1" t="s">
        <v>2110</v>
      </c>
      <c r="C2253" s="1" t="str">
        <f>"EMHJ52407"</f>
        <v>EMHJ52407</v>
      </c>
      <c r="D2253" s="1" t="str">
        <f>"EMHJ52407"</f>
        <v>EMHJ52407</v>
      </c>
      <c r="E2253" s="1" t="s">
        <v>17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</row>
    <row r="2254" spans="1:11" x14ac:dyDescent="0.2">
      <c r="A2254" s="1" t="s">
        <v>2004</v>
      </c>
      <c r="B2254" s="1" t="s">
        <v>2111</v>
      </c>
      <c r="C2254" s="1" t="str">
        <f>"13781H40100H000"</f>
        <v>13781H40100H000</v>
      </c>
      <c r="D2254" s="1" t="str">
        <f>"13781H40100H000"</f>
        <v>13781H40100H000</v>
      </c>
      <c r="E2254" s="1" t="s">
        <v>17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</row>
    <row r="2255" spans="1:11" x14ac:dyDescent="0.2">
      <c r="A2255" s="1" t="s">
        <v>2004</v>
      </c>
      <c r="B2255" s="1" t="s">
        <v>2111</v>
      </c>
      <c r="C2255" s="1" t="str">
        <f>"12893"</f>
        <v>12893</v>
      </c>
      <c r="D2255" s="1" t="str">
        <f>"12893"</f>
        <v>12893</v>
      </c>
      <c r="E2255" s="1" t="s">
        <v>17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</row>
    <row r="2256" spans="1:11" x14ac:dyDescent="0.2">
      <c r="A2256" s="1" t="s">
        <v>2004</v>
      </c>
      <c r="B2256" s="1" t="s">
        <v>2112</v>
      </c>
      <c r="C2256" s="1" t="str">
        <f>"66298886021071"</f>
        <v>66298886021071</v>
      </c>
      <c r="D2256" s="1" t="str">
        <f>"400174"</f>
        <v>400174</v>
      </c>
      <c r="E2256" s="1" t="s">
        <v>17</v>
      </c>
      <c r="F2256" s="1">
        <v>5</v>
      </c>
      <c r="G2256" s="1">
        <v>799</v>
      </c>
      <c r="H2256" s="1">
        <v>3995</v>
      </c>
      <c r="I2256" s="1">
        <v>0</v>
      </c>
      <c r="J2256" s="1">
        <v>5</v>
      </c>
      <c r="K2256" s="1">
        <v>0</v>
      </c>
    </row>
    <row r="2257" spans="1:11" x14ac:dyDescent="0.2">
      <c r="A2257" s="1" t="s">
        <v>2004</v>
      </c>
      <c r="B2257" s="1" t="s">
        <v>2113</v>
      </c>
      <c r="C2257" s="1" t="str">
        <f>"66298885972280"</f>
        <v>66298885972280</v>
      </c>
      <c r="D2257" s="1" t="str">
        <f>"17211-KRE-900HB"</f>
        <v>17211-KRE-900HB</v>
      </c>
      <c r="E2257" s="1" t="s">
        <v>17</v>
      </c>
      <c r="F2257" s="1">
        <v>5</v>
      </c>
      <c r="G2257" s="1">
        <v>1447</v>
      </c>
      <c r="H2257" s="1">
        <v>7235</v>
      </c>
      <c r="I2257" s="1">
        <v>0</v>
      </c>
      <c r="J2257" s="1">
        <v>5</v>
      </c>
      <c r="K2257" s="1">
        <v>0</v>
      </c>
    </row>
    <row r="2258" spans="1:11" x14ac:dyDescent="0.2">
      <c r="A2258" s="1" t="s">
        <v>2004</v>
      </c>
      <c r="B2258" s="1" t="s">
        <v>2114</v>
      </c>
      <c r="C2258" s="1" t="str">
        <f>"66298886061186"</f>
        <v>66298886061186</v>
      </c>
      <c r="D2258" s="1" t="str">
        <f>"D073"</f>
        <v>D073</v>
      </c>
      <c r="E2258" s="1" t="s">
        <v>17</v>
      </c>
      <c r="F2258" s="1">
        <v>2</v>
      </c>
      <c r="G2258" s="1">
        <v>2960</v>
      </c>
      <c r="H2258" s="1">
        <v>5920</v>
      </c>
      <c r="I2258" s="1">
        <v>0</v>
      </c>
      <c r="J2258" s="1">
        <v>2</v>
      </c>
      <c r="K2258" s="1">
        <v>0</v>
      </c>
    </row>
    <row r="2259" spans="1:11" x14ac:dyDescent="0.2">
      <c r="A2259" s="1" t="s">
        <v>2004</v>
      </c>
      <c r="B2259" s="1" t="s">
        <v>2115</v>
      </c>
      <c r="C2259" s="1" t="str">
        <f>"JA-5810-05HB"</f>
        <v>JA-5810-05HB</v>
      </c>
      <c r="D2259" s="1" t="str">
        <f>"JA-5810-05HB"</f>
        <v>JA-5810-05HB</v>
      </c>
      <c r="E2259" s="1" t="s">
        <v>17</v>
      </c>
      <c r="F2259" s="1">
        <v>3</v>
      </c>
      <c r="G2259" s="1">
        <v>1194</v>
      </c>
      <c r="H2259" s="1">
        <v>3582</v>
      </c>
      <c r="I2259" s="1">
        <v>0</v>
      </c>
      <c r="J2259" s="1">
        <v>3</v>
      </c>
      <c r="K2259" s="1">
        <v>0</v>
      </c>
    </row>
    <row r="2260" spans="1:11" x14ac:dyDescent="0.2">
      <c r="A2260" s="1" t="s">
        <v>2004</v>
      </c>
      <c r="B2260" s="1" t="s">
        <v>2116</v>
      </c>
      <c r="C2260" s="1" t="str">
        <f>"66298886145679"</f>
        <v>66298886145679</v>
      </c>
      <c r="D2260" s="1" t="str">
        <f>"DK-1210-09"</f>
        <v>DK-1210-09</v>
      </c>
      <c r="E2260" s="1" t="s">
        <v>17</v>
      </c>
      <c r="F2260" s="1">
        <v>5</v>
      </c>
      <c r="G2260" s="1">
        <v>1216</v>
      </c>
      <c r="H2260" s="1">
        <v>6080</v>
      </c>
      <c r="I2260" s="1">
        <v>0</v>
      </c>
      <c r="J2260" s="1">
        <v>5</v>
      </c>
      <c r="K2260" s="1">
        <v>0</v>
      </c>
    </row>
    <row r="2261" spans="1:11" x14ac:dyDescent="0.2">
      <c r="A2261" s="1" t="s">
        <v>2004</v>
      </c>
      <c r="B2261" s="1" t="s">
        <v>2117</v>
      </c>
      <c r="C2261" s="1" t="str">
        <f>"66298886189016"</f>
        <v>66298886189016</v>
      </c>
      <c r="D2261" s="1" t="str">
        <f>"36-DK00-15"</f>
        <v>36-DK00-15</v>
      </c>
      <c r="E2261" s="1" t="s">
        <v>17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</row>
    <row r="2262" spans="1:11" x14ac:dyDescent="0.2">
      <c r="A2262" s="1" t="s">
        <v>2004</v>
      </c>
      <c r="B2262" s="1" t="s">
        <v>2118</v>
      </c>
      <c r="C2262" s="1" t="str">
        <f>"66298886284807"</f>
        <v>66298886284807</v>
      </c>
      <c r="D2262" s="1" t="str">
        <f>"JL-5810-09HB"</f>
        <v>JL-5810-09HB</v>
      </c>
      <c r="E2262" s="1" t="s">
        <v>17</v>
      </c>
      <c r="F2262" s="1">
        <v>13</v>
      </c>
      <c r="G2262" s="1">
        <v>1862</v>
      </c>
      <c r="H2262" s="1">
        <v>24206</v>
      </c>
      <c r="I2262" s="1">
        <v>0</v>
      </c>
      <c r="J2262" s="1">
        <v>13</v>
      </c>
      <c r="K2262" s="1">
        <v>0</v>
      </c>
    </row>
    <row r="2263" spans="1:11" ht="30" x14ac:dyDescent="0.2">
      <c r="A2263" s="1" t="s">
        <v>2004</v>
      </c>
      <c r="B2263" s="1" t="s">
        <v>2119</v>
      </c>
      <c r="C2263" s="1" t="str">
        <f>"9421"</f>
        <v>9421</v>
      </c>
      <c r="D2263" s="1" t="str">
        <f>"9421"</f>
        <v>9421</v>
      </c>
      <c r="E2263" s="1" t="s">
        <v>17</v>
      </c>
      <c r="F2263" s="1">
        <v>1</v>
      </c>
      <c r="G2263" s="1">
        <v>4028.57</v>
      </c>
      <c r="H2263" s="1">
        <v>4029</v>
      </c>
      <c r="I2263" s="1">
        <v>0</v>
      </c>
      <c r="J2263" s="1">
        <v>1</v>
      </c>
      <c r="K2263" s="1">
        <v>0</v>
      </c>
    </row>
    <row r="2264" spans="1:11" x14ac:dyDescent="0.2">
      <c r="A2264" s="1" t="s">
        <v>2004</v>
      </c>
      <c r="B2264" s="1" t="s">
        <v>2120</v>
      </c>
      <c r="C2264" s="1" t="str">
        <f>"66298886242274"</f>
        <v>66298886242274</v>
      </c>
      <c r="D2264" s="1" t="str">
        <f>"S028"</f>
        <v>S028</v>
      </c>
      <c r="E2264" s="1" t="s">
        <v>17</v>
      </c>
      <c r="F2264" s="1">
        <v>10</v>
      </c>
      <c r="G2264" s="1">
        <v>2223</v>
      </c>
      <c r="H2264" s="1">
        <v>22230</v>
      </c>
      <c r="I2264" s="1">
        <v>0</v>
      </c>
      <c r="J2264" s="1">
        <v>10</v>
      </c>
      <c r="K2264" s="1">
        <v>0</v>
      </c>
    </row>
    <row r="2265" spans="1:11" x14ac:dyDescent="0.2">
      <c r="A2265" s="1" t="s">
        <v>2004</v>
      </c>
      <c r="B2265" s="1" t="s">
        <v>2120</v>
      </c>
      <c r="C2265" s="1" t="str">
        <f>"7885"</f>
        <v>7885</v>
      </c>
      <c r="D2265" s="1" t="str">
        <f>"7885"</f>
        <v>7885</v>
      </c>
      <c r="E2265" s="1" t="s">
        <v>17</v>
      </c>
      <c r="F2265" s="1">
        <v>3</v>
      </c>
      <c r="G2265" s="1">
        <v>3826.89</v>
      </c>
      <c r="H2265" s="1">
        <v>11481</v>
      </c>
      <c r="I2265" s="1">
        <v>0</v>
      </c>
      <c r="J2265" s="1">
        <v>3</v>
      </c>
      <c r="K2265" s="1">
        <v>0</v>
      </c>
    </row>
    <row r="2266" spans="1:11" x14ac:dyDescent="0.2">
      <c r="A2266" s="1" t="s">
        <v>2004</v>
      </c>
      <c r="B2266" s="1" t="s">
        <v>2121</v>
      </c>
      <c r="C2266" s="1" t="str">
        <f>"7011"</f>
        <v>7011</v>
      </c>
      <c r="D2266" s="1" t="str">
        <f>"7011"</f>
        <v>7011</v>
      </c>
      <c r="E2266" s="1" t="s">
        <v>17</v>
      </c>
      <c r="F2266" s="1">
        <v>3</v>
      </c>
      <c r="G2266" s="1">
        <v>3319.33</v>
      </c>
      <c r="H2266" s="1">
        <v>9958</v>
      </c>
      <c r="I2266" s="1">
        <v>0</v>
      </c>
      <c r="J2266" s="1">
        <v>3</v>
      </c>
      <c r="K2266" s="1">
        <v>0</v>
      </c>
    </row>
    <row r="2267" spans="1:11" x14ac:dyDescent="0.2">
      <c r="A2267" s="1" t="s">
        <v>2004</v>
      </c>
      <c r="B2267" s="1" t="s">
        <v>2122</v>
      </c>
      <c r="C2267" s="1" t="str">
        <f>"66298886329024"</f>
        <v>66298886329024</v>
      </c>
      <c r="D2267" s="1" t="str">
        <f>"17211-M9Q-0001HB"</f>
        <v>17211-M9Q-0001HB</v>
      </c>
      <c r="E2267" s="1" t="s">
        <v>17</v>
      </c>
      <c r="F2267" s="1">
        <v>1</v>
      </c>
      <c r="G2267" s="1">
        <v>1697</v>
      </c>
      <c r="H2267" s="1">
        <v>1697</v>
      </c>
      <c r="I2267" s="1">
        <v>0</v>
      </c>
      <c r="J2267" s="1">
        <v>1</v>
      </c>
      <c r="K2267" s="1">
        <v>0</v>
      </c>
    </row>
    <row r="2268" spans="1:11" x14ac:dyDescent="0.2">
      <c r="A2268" s="1" t="s">
        <v>2004</v>
      </c>
      <c r="B2268" s="1" t="s">
        <v>2122</v>
      </c>
      <c r="C2268" s="1" t="str">
        <f>"66298886335213"</f>
        <v>66298886335213</v>
      </c>
      <c r="D2268" s="1" t="str">
        <f>"S052"</f>
        <v>S052</v>
      </c>
      <c r="E2268" s="1" t="s">
        <v>17</v>
      </c>
      <c r="F2268" s="1">
        <v>3</v>
      </c>
      <c r="G2268" s="1">
        <v>1278</v>
      </c>
      <c r="H2268" s="1">
        <v>3834</v>
      </c>
      <c r="I2268" s="1">
        <v>0</v>
      </c>
      <c r="J2268" s="1">
        <v>3</v>
      </c>
      <c r="K2268" s="1">
        <v>0</v>
      </c>
    </row>
    <row r="2269" spans="1:11" x14ac:dyDescent="0.2">
      <c r="A2269" s="1" t="s">
        <v>2004</v>
      </c>
      <c r="B2269" s="1" t="s">
        <v>2122</v>
      </c>
      <c r="C2269" s="1" t="str">
        <f>"66298886342105"</f>
        <v>66298886342105</v>
      </c>
      <c r="D2269" s="1" t="str">
        <f>"S005"</f>
        <v>S005</v>
      </c>
      <c r="E2269" s="1" t="s">
        <v>17</v>
      </c>
      <c r="F2269" s="1">
        <v>6</v>
      </c>
      <c r="G2269" s="1">
        <v>2025</v>
      </c>
      <c r="H2269" s="1">
        <v>12150</v>
      </c>
      <c r="I2269" s="1">
        <v>0</v>
      </c>
      <c r="J2269" s="1">
        <v>6</v>
      </c>
      <c r="K2269" s="1">
        <v>0</v>
      </c>
    </row>
    <row r="2270" spans="1:11" x14ac:dyDescent="0.2">
      <c r="A2270" s="1" t="s">
        <v>2004</v>
      </c>
      <c r="B2270" s="1" t="s">
        <v>2122</v>
      </c>
      <c r="C2270" s="1" t="str">
        <f>"A010"</f>
        <v>A010</v>
      </c>
      <c r="D2270" s="1" t="str">
        <f>"A010"</f>
        <v>A010</v>
      </c>
      <c r="E2270" s="1" t="s">
        <v>17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</row>
    <row r="2271" spans="1:11" x14ac:dyDescent="0.2">
      <c r="A2271" s="1" t="s">
        <v>2004</v>
      </c>
      <c r="B2271" s="1" t="s">
        <v>2123</v>
      </c>
      <c r="C2271" s="1" t="str">
        <f>"66298886414116"</f>
        <v>66298886414116</v>
      </c>
      <c r="D2271" s="1" t="str">
        <f>"80499"</f>
        <v>80499</v>
      </c>
      <c r="E2271" s="1" t="s">
        <v>17</v>
      </c>
      <c r="F2271" s="1">
        <v>6</v>
      </c>
      <c r="G2271" s="1">
        <v>1446</v>
      </c>
      <c r="H2271" s="1">
        <v>8676</v>
      </c>
      <c r="I2271" s="1">
        <v>0</v>
      </c>
      <c r="J2271" s="1">
        <v>6</v>
      </c>
      <c r="K2271" s="1">
        <v>0</v>
      </c>
    </row>
    <row r="2272" spans="1:11" x14ac:dyDescent="0.2">
      <c r="A2272" s="1" t="s">
        <v>2004</v>
      </c>
      <c r="B2272" s="1" t="s">
        <v>2123</v>
      </c>
      <c r="C2272" s="1" t="str">
        <f>"66298886460669"</f>
        <v>66298886460669</v>
      </c>
      <c r="D2272" s="1" t="str">
        <f>"F00010059HB"</f>
        <v>F00010059HB</v>
      </c>
      <c r="E2272" s="1" t="s">
        <v>17</v>
      </c>
      <c r="F2272" s="1">
        <v>12</v>
      </c>
      <c r="G2272" s="1">
        <v>1710</v>
      </c>
      <c r="H2272" s="1">
        <v>20520</v>
      </c>
      <c r="I2272" s="1">
        <v>0</v>
      </c>
      <c r="J2272" s="1">
        <v>12</v>
      </c>
      <c r="K2272" s="1">
        <v>0</v>
      </c>
    </row>
    <row r="2273" spans="1:11" x14ac:dyDescent="0.2">
      <c r="A2273" s="1" t="s">
        <v>2004</v>
      </c>
      <c r="B2273" s="1" t="s">
        <v>2123</v>
      </c>
      <c r="C2273" s="1" t="str">
        <f>"66298886466977"</f>
        <v>66298886466977</v>
      </c>
      <c r="D2273" s="1" t="str">
        <f>"S015"</f>
        <v>S015</v>
      </c>
      <c r="E2273" s="1" t="s">
        <v>17</v>
      </c>
      <c r="F2273" s="1">
        <v>10</v>
      </c>
      <c r="G2273" s="1">
        <v>1278</v>
      </c>
      <c r="H2273" s="1">
        <v>12780</v>
      </c>
      <c r="I2273" s="1">
        <v>0</v>
      </c>
      <c r="J2273" s="1">
        <v>10</v>
      </c>
      <c r="K2273" s="1">
        <v>0</v>
      </c>
    </row>
    <row r="2274" spans="1:11" x14ac:dyDescent="0.2">
      <c r="A2274" s="1" t="s">
        <v>2004</v>
      </c>
      <c r="B2274" s="1" t="s">
        <v>2124</v>
      </c>
      <c r="C2274" s="1" t="str">
        <f>"66298886525979"</f>
        <v>66298886525979</v>
      </c>
      <c r="D2274" s="1" t="str">
        <f>"D011"</f>
        <v>D011</v>
      </c>
      <c r="E2274" s="1" t="s">
        <v>17</v>
      </c>
      <c r="F2274" s="1">
        <v>2</v>
      </c>
      <c r="G2274" s="1">
        <v>2570</v>
      </c>
      <c r="H2274" s="1">
        <v>5140</v>
      </c>
      <c r="I2274" s="1">
        <v>0</v>
      </c>
      <c r="J2274" s="1">
        <v>2</v>
      </c>
      <c r="K2274" s="1">
        <v>0</v>
      </c>
    </row>
    <row r="2275" spans="1:11" x14ac:dyDescent="0.2">
      <c r="A2275" s="1" t="s">
        <v>2004</v>
      </c>
      <c r="B2275" s="1" t="s">
        <v>2125</v>
      </c>
      <c r="C2275" s="1" t="str">
        <f>"66298886569686"</f>
        <v>66298886569686</v>
      </c>
      <c r="D2275" s="1" t="str">
        <f>"A013"</f>
        <v>A013</v>
      </c>
      <c r="E2275" s="1" t="s">
        <v>17</v>
      </c>
      <c r="F2275" s="1">
        <v>4</v>
      </c>
      <c r="G2275" s="1">
        <v>2350</v>
      </c>
      <c r="H2275" s="1">
        <v>9400</v>
      </c>
      <c r="I2275" s="1">
        <v>0</v>
      </c>
      <c r="J2275" s="1">
        <v>4</v>
      </c>
      <c r="K2275" s="1">
        <v>0</v>
      </c>
    </row>
    <row r="2276" spans="1:11" x14ac:dyDescent="0.2">
      <c r="A2276" s="1" t="s">
        <v>2004</v>
      </c>
      <c r="B2276" s="1" t="s">
        <v>2125</v>
      </c>
      <c r="C2276" s="1" t="str">
        <f>"66298886613055"</f>
        <v>66298886613055</v>
      </c>
      <c r="D2276" s="1" t="str">
        <f>"FILTRO-STORM"</f>
        <v>FILTRO-STORM</v>
      </c>
      <c r="E2276" s="1" t="s">
        <v>17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</row>
    <row r="2277" spans="1:11" x14ac:dyDescent="0.2">
      <c r="A2277" s="1" t="s">
        <v>2004</v>
      </c>
      <c r="B2277" s="1" t="s">
        <v>2126</v>
      </c>
      <c r="C2277" s="1" t="str">
        <f>"66298886657025"</f>
        <v>66298886657025</v>
      </c>
      <c r="D2277" s="1" t="str">
        <f>"17214-KRF-B40HB"</f>
        <v>17214-KRF-B40HB</v>
      </c>
      <c r="E2277" s="1" t="s">
        <v>17</v>
      </c>
      <c r="F2277" s="1">
        <v>4</v>
      </c>
      <c r="G2277" s="1">
        <v>2059</v>
      </c>
      <c r="H2277" s="1">
        <v>8236</v>
      </c>
      <c r="I2277" s="1">
        <v>0</v>
      </c>
      <c r="J2277" s="1">
        <v>4</v>
      </c>
      <c r="K2277" s="1">
        <v>0</v>
      </c>
    </row>
    <row r="2278" spans="1:11" x14ac:dyDescent="0.2">
      <c r="A2278" s="1" t="s">
        <v>2004</v>
      </c>
      <c r="B2278" s="1" t="s">
        <v>2127</v>
      </c>
      <c r="C2278" s="1" t="str">
        <f>"66298886700200"</f>
        <v>66298886700200</v>
      </c>
      <c r="D2278" s="1" t="str">
        <f>"A058"</f>
        <v>A058</v>
      </c>
      <c r="E2278" s="1" t="s">
        <v>17</v>
      </c>
      <c r="F2278" s="1">
        <v>2</v>
      </c>
      <c r="G2278" s="1">
        <v>2730</v>
      </c>
      <c r="H2278" s="1">
        <v>5460</v>
      </c>
      <c r="I2278" s="1">
        <v>0</v>
      </c>
      <c r="J2278" s="1">
        <v>2</v>
      </c>
      <c r="K2278" s="1">
        <v>0</v>
      </c>
    </row>
    <row r="2279" spans="1:11" x14ac:dyDescent="0.2">
      <c r="A2279" s="1" t="s">
        <v>2004</v>
      </c>
      <c r="B2279" s="1" t="s">
        <v>2128</v>
      </c>
      <c r="C2279" s="1" t="str">
        <f>"66298886741954"</f>
        <v>66298886741954</v>
      </c>
      <c r="D2279" s="1" t="str">
        <f>"13780H37200H000"</f>
        <v>13780H37200H000</v>
      </c>
      <c r="E2279" s="1" t="s">
        <v>17</v>
      </c>
      <c r="F2279" s="1">
        <v>1</v>
      </c>
      <c r="G2279" s="1">
        <v>6000</v>
      </c>
      <c r="H2279" s="1">
        <v>6000</v>
      </c>
      <c r="I2279" s="1">
        <v>0</v>
      </c>
      <c r="J2279" s="1">
        <v>1</v>
      </c>
      <c r="K2279" s="1">
        <v>0</v>
      </c>
    </row>
    <row r="2280" spans="1:11" x14ac:dyDescent="0.2">
      <c r="A2280" s="1" t="s">
        <v>2004</v>
      </c>
      <c r="B2280" s="1" t="s">
        <v>2129</v>
      </c>
      <c r="C2280" s="1" t="str">
        <f>"66298886783973"</f>
        <v>66298886783973</v>
      </c>
      <c r="D2280" s="1" t="str">
        <f>"F002-48MMHB"</f>
        <v>F002-48MMHB</v>
      </c>
      <c r="E2280" s="1" t="s">
        <v>17</v>
      </c>
      <c r="F2280" s="1">
        <v>11</v>
      </c>
      <c r="G2280" s="1">
        <v>2195</v>
      </c>
      <c r="H2280" s="1">
        <v>24145</v>
      </c>
      <c r="I2280" s="1">
        <v>0</v>
      </c>
      <c r="J2280" s="1">
        <v>11</v>
      </c>
      <c r="K2280" s="1">
        <v>0</v>
      </c>
    </row>
    <row r="2281" spans="1:11" x14ac:dyDescent="0.2">
      <c r="A2281" s="1" t="s">
        <v>2004</v>
      </c>
      <c r="B2281" s="1" t="s">
        <v>2130</v>
      </c>
      <c r="C2281" s="1" t="str">
        <f>"F003-35MMHB"</f>
        <v>F003-35MMHB</v>
      </c>
      <c r="D2281" s="1" t="str">
        <f>"F003-35MMHB"</f>
        <v>F003-35MMHB</v>
      </c>
      <c r="E2281" s="1" t="s">
        <v>17</v>
      </c>
      <c r="F2281" s="1">
        <v>8</v>
      </c>
      <c r="G2281" s="1">
        <v>1853</v>
      </c>
      <c r="H2281" s="1">
        <v>14824</v>
      </c>
      <c r="I2281" s="1">
        <v>0</v>
      </c>
      <c r="J2281" s="1">
        <v>8</v>
      </c>
      <c r="K2281" s="1">
        <v>0</v>
      </c>
    </row>
    <row r="2282" spans="1:11" x14ac:dyDescent="0.2">
      <c r="A2282" s="1" t="s">
        <v>2004</v>
      </c>
      <c r="B2282" s="1" t="s">
        <v>2131</v>
      </c>
      <c r="C2282" s="1" t="str">
        <f>"66298886865966"</f>
        <v>66298886865966</v>
      </c>
      <c r="D2282" s="1" t="str">
        <f>"F001-39MMHB"</f>
        <v>F001-39MMHB</v>
      </c>
      <c r="E2282" s="1" t="s">
        <v>17</v>
      </c>
      <c r="F2282" s="1">
        <v>10</v>
      </c>
      <c r="G2282" s="1">
        <v>1963</v>
      </c>
      <c r="H2282" s="1">
        <v>19630</v>
      </c>
      <c r="I2282" s="1">
        <v>0</v>
      </c>
      <c r="J2282" s="1">
        <v>10</v>
      </c>
      <c r="K2282" s="1">
        <v>0</v>
      </c>
    </row>
    <row r="2283" spans="1:11" x14ac:dyDescent="0.2">
      <c r="A2283" s="1" t="s">
        <v>2004</v>
      </c>
      <c r="B2283" s="1" t="s">
        <v>2132</v>
      </c>
      <c r="C2283" s="1" t="str">
        <f>"66298886917992"</f>
        <v>66298886917992</v>
      </c>
      <c r="D2283" s="1" t="str">
        <f>"F002-45MMHB"</f>
        <v>F002-45MMHB</v>
      </c>
      <c r="E2283" s="1" t="s">
        <v>17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</row>
    <row r="2284" spans="1:11" x14ac:dyDescent="0.2">
      <c r="A2284" s="1" t="s">
        <v>2004</v>
      </c>
      <c r="B2284" s="1" t="s">
        <v>2133</v>
      </c>
      <c r="C2284" s="1" t="str">
        <f>"66298886955198"</f>
        <v>66298886955198</v>
      </c>
      <c r="D2284" s="1" t="str">
        <f>"1548A"</f>
        <v>1548A</v>
      </c>
      <c r="E2284" s="1" t="s">
        <v>17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</row>
    <row r="2285" spans="1:11" x14ac:dyDescent="0.2">
      <c r="A2285" s="1" t="s">
        <v>2004</v>
      </c>
      <c r="B2285" s="1" t="s">
        <v>2134</v>
      </c>
      <c r="C2285" s="1" t="str">
        <f>"66298886993097"</f>
        <v>66298886993097</v>
      </c>
      <c r="D2285" s="1" t="str">
        <f>"1658"</f>
        <v>1658</v>
      </c>
      <c r="E2285" s="1" t="s">
        <v>17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</row>
    <row r="2286" spans="1:11" x14ac:dyDescent="0.2">
      <c r="A2286" s="1" t="s">
        <v>2004</v>
      </c>
      <c r="B2286" s="1" t="s">
        <v>2135</v>
      </c>
      <c r="C2286" s="1" t="str">
        <f>"66298887041741"</f>
        <v>66298887041741</v>
      </c>
      <c r="D2286" s="1" t="str">
        <f>"13780H7A001H000"</f>
        <v>13780H7A001H000</v>
      </c>
      <c r="E2286" s="1" t="s">
        <v>17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</row>
    <row r="2287" spans="1:11" x14ac:dyDescent="0.2">
      <c r="A2287" s="1" t="s">
        <v>2004</v>
      </c>
      <c r="B2287" s="1" t="s">
        <v>2136</v>
      </c>
      <c r="C2287" s="1" t="str">
        <f>"12894"</f>
        <v>12894</v>
      </c>
      <c r="D2287" s="1" t="str">
        <f>"12894"</f>
        <v>12894</v>
      </c>
      <c r="E2287" s="1" t="s">
        <v>17</v>
      </c>
      <c r="F2287" s="1">
        <v>1</v>
      </c>
      <c r="G2287" s="1">
        <v>4991.6000000000004</v>
      </c>
      <c r="H2287" s="1">
        <v>4992</v>
      </c>
      <c r="I2287" s="1">
        <v>0</v>
      </c>
      <c r="J2287" s="1">
        <v>1</v>
      </c>
      <c r="K2287" s="1">
        <v>0</v>
      </c>
    </row>
    <row r="2288" spans="1:11" x14ac:dyDescent="0.2">
      <c r="A2288" s="1" t="s">
        <v>2004</v>
      </c>
      <c r="B2288" s="1" t="s">
        <v>2137</v>
      </c>
      <c r="C2288" s="1" t="str">
        <f>"66298887095640"</f>
        <v>66298887095640</v>
      </c>
      <c r="D2288" s="1" t="str">
        <f>"13780-04F00HB"</f>
        <v>13780-04F00HB</v>
      </c>
      <c r="E2288" s="1" t="s">
        <v>17</v>
      </c>
      <c r="F2288" s="1">
        <v>3</v>
      </c>
      <c r="G2288" s="1">
        <v>1074</v>
      </c>
      <c r="H2288" s="1">
        <v>3222</v>
      </c>
      <c r="I2288" s="1">
        <v>0</v>
      </c>
      <c r="J2288" s="1">
        <v>3</v>
      </c>
      <c r="K2288" s="1">
        <v>0</v>
      </c>
    </row>
    <row r="2289" spans="1:11" x14ac:dyDescent="0.2">
      <c r="A2289" s="1" t="s">
        <v>2004</v>
      </c>
      <c r="B2289" s="1" t="s">
        <v>2138</v>
      </c>
      <c r="C2289" s="1" t="str">
        <f>"66298887136466"</f>
        <v>66298887136466</v>
      </c>
      <c r="D2289" s="1" t="str">
        <f>"S023"</f>
        <v>S023</v>
      </c>
      <c r="E2289" s="1" t="s">
        <v>17</v>
      </c>
      <c r="F2289" s="1">
        <v>2</v>
      </c>
      <c r="G2289" s="1">
        <v>1755</v>
      </c>
      <c r="H2289" s="1">
        <v>3510</v>
      </c>
      <c r="I2289" s="1">
        <v>0</v>
      </c>
      <c r="J2289" s="1">
        <v>2</v>
      </c>
      <c r="K2289" s="1">
        <v>0</v>
      </c>
    </row>
    <row r="2290" spans="1:11" x14ac:dyDescent="0.2">
      <c r="A2290" s="1" t="s">
        <v>2004</v>
      </c>
      <c r="B2290" s="1" t="s">
        <v>2138</v>
      </c>
      <c r="C2290" s="1" t="str">
        <f>"8006"</f>
        <v>8006</v>
      </c>
      <c r="D2290" s="1" t="str">
        <f>"8006"</f>
        <v>8006</v>
      </c>
      <c r="E2290" s="1" t="s">
        <v>17</v>
      </c>
      <c r="F2290" s="1">
        <v>1</v>
      </c>
      <c r="G2290" s="1">
        <v>2939.5</v>
      </c>
      <c r="H2290" s="1">
        <v>2940</v>
      </c>
      <c r="I2290" s="1">
        <v>0</v>
      </c>
      <c r="J2290" s="1">
        <v>1</v>
      </c>
      <c r="K2290" s="1">
        <v>0</v>
      </c>
    </row>
    <row r="2291" spans="1:11" x14ac:dyDescent="0.2">
      <c r="A2291" s="1" t="s">
        <v>2004</v>
      </c>
      <c r="B2291" s="1" t="s">
        <v>2139</v>
      </c>
      <c r="C2291" s="1" t="str">
        <f>"66298887173507"</f>
        <v>66298887173507</v>
      </c>
      <c r="D2291" s="1" t="str">
        <f>"S032"</f>
        <v>S032</v>
      </c>
      <c r="E2291" s="1" t="s">
        <v>17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</row>
    <row r="2292" spans="1:11" x14ac:dyDescent="0.2">
      <c r="A2292" s="1" t="s">
        <v>2004</v>
      </c>
      <c r="B2292" s="1" t="s">
        <v>2140</v>
      </c>
      <c r="C2292" s="1" t="str">
        <f>"66298887269501"</f>
        <v>66298887269501</v>
      </c>
      <c r="D2292" s="1" t="str">
        <f>"17211-KPE-730"</f>
        <v>17211-KPE-730</v>
      </c>
      <c r="E2292" s="1" t="s">
        <v>17</v>
      </c>
      <c r="F2292" s="1">
        <v>1</v>
      </c>
      <c r="G2292" s="1">
        <v>2319</v>
      </c>
      <c r="H2292" s="1">
        <v>2319</v>
      </c>
      <c r="I2292" s="1">
        <v>0</v>
      </c>
      <c r="J2292" s="1">
        <v>1</v>
      </c>
      <c r="K2292" s="1">
        <v>0</v>
      </c>
    </row>
    <row r="2293" spans="1:11" x14ac:dyDescent="0.2">
      <c r="A2293" s="1" t="s">
        <v>2004</v>
      </c>
      <c r="B2293" s="1" t="s">
        <v>2141</v>
      </c>
      <c r="C2293" s="1" t="str">
        <f>"66298887220007"</f>
        <v>66298887220007</v>
      </c>
      <c r="D2293" s="1" t="str">
        <f>"80751"</f>
        <v>80751</v>
      </c>
      <c r="E2293" s="1" t="s">
        <v>17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</row>
    <row r="2294" spans="1:11" x14ac:dyDescent="0.2">
      <c r="A2294" s="1" t="s">
        <v>2004</v>
      </c>
      <c r="B2294" s="1" t="s">
        <v>2142</v>
      </c>
      <c r="C2294" s="1" t="str">
        <f>"7507"</f>
        <v>7507</v>
      </c>
      <c r="D2294" s="1" t="str">
        <f>"7507"</f>
        <v>7507</v>
      </c>
      <c r="E2294" s="1" t="s">
        <v>17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</row>
    <row r="2295" spans="1:11" x14ac:dyDescent="0.2">
      <c r="A2295" s="1" t="s">
        <v>2004</v>
      </c>
      <c r="B2295" s="1" t="s">
        <v>2143</v>
      </c>
      <c r="C2295" s="1" t="str">
        <f>"66298887347571"</f>
        <v>66298887347571</v>
      </c>
      <c r="D2295" s="1" t="str">
        <f>"17211-KWT-A20HB"</f>
        <v>17211-KWT-A20HB</v>
      </c>
      <c r="E2295" s="1" t="s">
        <v>17</v>
      </c>
      <c r="F2295" s="1">
        <v>3</v>
      </c>
      <c r="G2295" s="1">
        <v>3694</v>
      </c>
      <c r="H2295" s="1">
        <v>11082</v>
      </c>
      <c r="I2295" s="1">
        <v>0</v>
      </c>
      <c r="J2295" s="1">
        <v>3</v>
      </c>
      <c r="K2295" s="1">
        <v>0</v>
      </c>
    </row>
    <row r="2296" spans="1:11" x14ac:dyDescent="0.2">
      <c r="A2296" s="1" t="s">
        <v>2004</v>
      </c>
      <c r="B2296" s="1" t="s">
        <v>2144</v>
      </c>
      <c r="C2296" s="1" t="str">
        <f>"66298887309543"</f>
        <v>66298887309543</v>
      </c>
      <c r="D2296" s="1" t="str">
        <f>"17211-KWT-900BR"</f>
        <v>17211-KWT-900BR</v>
      </c>
      <c r="E2296" s="1" t="s">
        <v>17</v>
      </c>
      <c r="F2296" s="1">
        <v>1</v>
      </c>
      <c r="G2296" s="1">
        <v>4644</v>
      </c>
      <c r="H2296" s="1">
        <v>4644</v>
      </c>
      <c r="I2296" s="1">
        <v>0</v>
      </c>
      <c r="J2296" s="1">
        <v>1</v>
      </c>
      <c r="K2296" s="1">
        <v>0</v>
      </c>
    </row>
    <row r="2297" spans="1:11" x14ac:dyDescent="0.2">
      <c r="A2297" s="1" t="s">
        <v>2004</v>
      </c>
      <c r="B2297" s="1" t="s">
        <v>2145</v>
      </c>
      <c r="C2297" s="1" t="str">
        <f>"66298887390618"</f>
        <v>66298887390618</v>
      </c>
      <c r="D2297" s="1" t="str">
        <f>"5RM-14451-00HB"</f>
        <v>5RM-14451-00HB</v>
      </c>
      <c r="E2297" s="1" t="s">
        <v>17</v>
      </c>
      <c r="F2297" s="1">
        <v>4</v>
      </c>
      <c r="G2297" s="1">
        <v>1743</v>
      </c>
      <c r="H2297" s="1">
        <v>6972</v>
      </c>
      <c r="I2297" s="1">
        <v>0</v>
      </c>
      <c r="J2297" s="1">
        <v>4</v>
      </c>
      <c r="K2297" s="1">
        <v>0</v>
      </c>
    </row>
    <row r="2298" spans="1:11" x14ac:dyDescent="0.2">
      <c r="A2298" s="1" t="s">
        <v>2004</v>
      </c>
      <c r="B2298" s="1" t="s">
        <v>2146</v>
      </c>
      <c r="C2298" s="1" t="str">
        <f>"66298887431910"</f>
        <v>66298887431910</v>
      </c>
      <c r="D2298" s="1" t="str">
        <f>"1S4-14451-00HB"</f>
        <v>1S4-14451-00HB</v>
      </c>
      <c r="E2298" s="1" t="s">
        <v>17</v>
      </c>
      <c r="F2298" s="1">
        <v>6</v>
      </c>
      <c r="G2298" s="1">
        <v>702</v>
      </c>
      <c r="H2298" s="1">
        <v>4212</v>
      </c>
      <c r="I2298" s="1">
        <v>0</v>
      </c>
      <c r="J2298" s="1">
        <v>6</v>
      </c>
      <c r="K2298" s="1">
        <v>0</v>
      </c>
    </row>
    <row r="2299" spans="1:11" x14ac:dyDescent="0.2">
      <c r="A2299" s="1" t="s">
        <v>2004</v>
      </c>
      <c r="B2299" s="1" t="s">
        <v>2147</v>
      </c>
      <c r="C2299" s="1" t="str">
        <f>"66298887512225"</f>
        <v>66298887512225</v>
      </c>
      <c r="D2299" s="1" t="str">
        <f>"5VL-E4450-00HB"</f>
        <v>5VL-E4450-00HB</v>
      </c>
      <c r="E2299" s="1" t="s">
        <v>17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</row>
    <row r="2300" spans="1:11" x14ac:dyDescent="0.2">
      <c r="A2300" s="1" t="s">
        <v>2004</v>
      </c>
      <c r="B2300" s="1" t="s">
        <v>2148</v>
      </c>
      <c r="C2300" s="1" t="str">
        <f>"66298887552930"</f>
        <v>66298887552930</v>
      </c>
      <c r="D2300" s="1" t="str">
        <f>"5HH-14450-00HB"</f>
        <v>5HH-14450-00HB</v>
      </c>
      <c r="E2300" s="1" t="s">
        <v>17</v>
      </c>
      <c r="F2300" s="1">
        <v>12</v>
      </c>
      <c r="G2300" s="1">
        <v>784</v>
      </c>
      <c r="H2300" s="1">
        <v>9408</v>
      </c>
      <c r="I2300" s="1">
        <v>0</v>
      </c>
      <c r="J2300" s="1">
        <v>12</v>
      </c>
      <c r="K2300" s="1">
        <v>0</v>
      </c>
    </row>
    <row r="2301" spans="1:11" x14ac:dyDescent="0.2">
      <c r="A2301" s="1" t="s">
        <v>2004</v>
      </c>
      <c r="B2301" s="1" t="s">
        <v>2149</v>
      </c>
      <c r="C2301" s="1" t="str">
        <f>"66298887470077"</f>
        <v>66298887470077</v>
      </c>
      <c r="D2301" s="1" t="str">
        <f>"S010"</f>
        <v>S010</v>
      </c>
      <c r="E2301" s="1" t="s">
        <v>17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</row>
    <row r="2302" spans="1:11" x14ac:dyDescent="0.2">
      <c r="A2302" s="1" t="s">
        <v>2004</v>
      </c>
      <c r="B2302" s="1" t="s">
        <v>2150</v>
      </c>
      <c r="C2302" s="1" t="str">
        <f>"66298887589615"</f>
        <v>66298887589615</v>
      </c>
      <c r="D2302" s="1" t="str">
        <f>"5KA-E4450-00"</f>
        <v>5KA-E4450-00</v>
      </c>
      <c r="E2302" s="1" t="s">
        <v>17</v>
      </c>
      <c r="F2302" s="1">
        <v>2</v>
      </c>
      <c r="G2302" s="1">
        <v>875</v>
      </c>
      <c r="H2302" s="1">
        <v>1750</v>
      </c>
      <c r="I2302" s="1">
        <v>0</v>
      </c>
      <c r="J2302" s="1">
        <v>2</v>
      </c>
      <c r="K2302" s="1">
        <v>0</v>
      </c>
    </row>
    <row r="2303" spans="1:11" x14ac:dyDescent="0.2">
      <c r="A2303" s="1" t="s">
        <v>2004</v>
      </c>
      <c r="B2303" s="1" t="s">
        <v>2151</v>
      </c>
      <c r="C2303" s="1" t="str">
        <f>"66298887628121"</f>
        <v>66298887628121</v>
      </c>
      <c r="D2303" s="1" t="str">
        <f>"4VP-E4451-00HB"</f>
        <v>4VP-E4451-00HB</v>
      </c>
      <c r="E2303" s="1" t="s">
        <v>17</v>
      </c>
      <c r="F2303" s="1">
        <v>6</v>
      </c>
      <c r="G2303" s="1">
        <v>1088</v>
      </c>
      <c r="H2303" s="1">
        <v>6528</v>
      </c>
      <c r="I2303" s="1">
        <v>0</v>
      </c>
      <c r="J2303" s="1">
        <v>6</v>
      </c>
      <c r="K2303" s="1">
        <v>0</v>
      </c>
    </row>
    <row r="2304" spans="1:11" x14ac:dyDescent="0.2">
      <c r="A2304" s="1" t="s">
        <v>2004</v>
      </c>
      <c r="B2304" s="1" t="s">
        <v>2152</v>
      </c>
      <c r="C2304" s="1" t="str">
        <f>"66298887670003"</f>
        <v>66298887670003</v>
      </c>
      <c r="D2304" s="1" t="str">
        <f>"5S9-E4451-00HB"</f>
        <v>5S9-E4451-00HB</v>
      </c>
      <c r="E2304" s="1" t="s">
        <v>17</v>
      </c>
      <c r="F2304" s="1">
        <v>4</v>
      </c>
      <c r="G2304" s="1">
        <v>2850</v>
      </c>
      <c r="H2304" s="1">
        <v>11400</v>
      </c>
      <c r="I2304" s="1">
        <v>0</v>
      </c>
      <c r="J2304" s="1">
        <v>4</v>
      </c>
      <c r="K2304" s="1">
        <v>0</v>
      </c>
    </row>
    <row r="2305" spans="1:11" x14ac:dyDescent="0.2">
      <c r="A2305" s="1" t="s">
        <v>2004</v>
      </c>
      <c r="B2305" s="1" t="s">
        <v>2153</v>
      </c>
      <c r="C2305" s="1" t="str">
        <f>"66298887722105"</f>
        <v>66298887722105</v>
      </c>
      <c r="D2305" s="1" t="str">
        <f>"20P-E4450-00HB"</f>
        <v>20P-E4450-00HB</v>
      </c>
      <c r="E2305" s="1" t="s">
        <v>17</v>
      </c>
      <c r="F2305" s="1">
        <v>4</v>
      </c>
      <c r="G2305" s="1">
        <v>2668.5</v>
      </c>
      <c r="H2305" s="1">
        <v>10674</v>
      </c>
      <c r="I2305" s="1">
        <v>0</v>
      </c>
      <c r="J2305" s="1">
        <v>4</v>
      </c>
      <c r="K2305" s="1">
        <v>0</v>
      </c>
    </row>
    <row r="2306" spans="1:11" x14ac:dyDescent="0.2">
      <c r="A2306" s="1" t="s">
        <v>2004</v>
      </c>
      <c r="B2306" s="1" t="s">
        <v>2153</v>
      </c>
      <c r="C2306" s="1" t="str">
        <f>"66298887733535"</f>
        <v>66298887733535</v>
      </c>
      <c r="D2306" s="1" t="str">
        <f>"S055"</f>
        <v>S055</v>
      </c>
      <c r="E2306" s="1" t="s">
        <v>17</v>
      </c>
      <c r="F2306" s="1">
        <v>5</v>
      </c>
      <c r="G2306" s="1">
        <v>2979</v>
      </c>
      <c r="H2306" s="1">
        <v>14895</v>
      </c>
      <c r="I2306" s="1">
        <v>0</v>
      </c>
      <c r="J2306" s="1">
        <v>5</v>
      </c>
      <c r="K2306" s="1">
        <v>0</v>
      </c>
    </row>
    <row r="2307" spans="1:11" x14ac:dyDescent="0.2">
      <c r="A2307" s="1" t="s">
        <v>2004</v>
      </c>
      <c r="B2307" s="1" t="s">
        <v>2154</v>
      </c>
      <c r="C2307" s="1" t="str">
        <f>"66298887792074"</f>
        <v>66298887792074</v>
      </c>
      <c r="D2307" s="1" t="str">
        <f>"1WD-E4451-00HB"</f>
        <v>1WD-E4451-00HB</v>
      </c>
      <c r="E2307" s="1" t="s">
        <v>17</v>
      </c>
      <c r="F2307" s="1">
        <v>5</v>
      </c>
      <c r="G2307" s="1">
        <v>3528</v>
      </c>
      <c r="H2307" s="1">
        <v>17640</v>
      </c>
      <c r="I2307" s="1">
        <v>0</v>
      </c>
      <c r="J2307" s="1">
        <v>5</v>
      </c>
      <c r="K2307" s="1">
        <v>0</v>
      </c>
    </row>
    <row r="2308" spans="1:11" x14ac:dyDescent="0.2">
      <c r="A2308" s="1" t="s">
        <v>2004</v>
      </c>
      <c r="B2308" s="1" t="s">
        <v>2155</v>
      </c>
      <c r="C2308" s="1" t="str">
        <f>"66298887834607"</f>
        <v>66298887834607</v>
      </c>
      <c r="D2308" s="1" t="str">
        <f>"ZNT22-F14-405"</f>
        <v>ZNT22-F14-405</v>
      </c>
      <c r="E2308" s="1" t="s">
        <v>17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</row>
    <row r="2309" spans="1:11" x14ac:dyDescent="0.2">
      <c r="A2309" s="1" t="s">
        <v>2004</v>
      </c>
      <c r="B2309" s="1" t="s">
        <v>2156</v>
      </c>
      <c r="C2309" s="1" t="str">
        <f>"44360-05760-000"</f>
        <v>44360-05760-000</v>
      </c>
      <c r="D2309" s="1" t="str">
        <f>"44360-05760-000"</f>
        <v>44360-05760-000</v>
      </c>
      <c r="E2309" s="1" t="s">
        <v>17</v>
      </c>
      <c r="F2309" s="1">
        <v>62</v>
      </c>
      <c r="G2309" s="1">
        <v>351</v>
      </c>
      <c r="H2309" s="1">
        <v>21762</v>
      </c>
      <c r="I2309" s="1">
        <v>0</v>
      </c>
      <c r="J2309" s="1">
        <v>62</v>
      </c>
      <c r="K2309" s="1">
        <v>0</v>
      </c>
    </row>
    <row r="2310" spans="1:11" ht="30" x14ac:dyDescent="0.2">
      <c r="A2310" s="1" t="s">
        <v>2004</v>
      </c>
      <c r="B2310" s="1" t="s">
        <v>2157</v>
      </c>
      <c r="C2310" s="1" t="str">
        <f>"DT171814"</f>
        <v>DT171814</v>
      </c>
      <c r="D2310" s="1" t="str">
        <f>"DT171814"</f>
        <v>DT171814</v>
      </c>
      <c r="E2310" s="1" t="s">
        <v>17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</row>
    <row r="2311" spans="1:11" x14ac:dyDescent="0.2">
      <c r="A2311" s="1" t="s">
        <v>2004</v>
      </c>
      <c r="B2311" s="1" t="s">
        <v>2158</v>
      </c>
      <c r="C2311" s="1" t="str">
        <f>"67950194117066"</f>
        <v>67950194117066</v>
      </c>
      <c r="D2311" s="1" t="str">
        <f>"P-AP6S21-01"</f>
        <v>P-AP6S21-01</v>
      </c>
      <c r="E2311" s="1" t="s">
        <v>17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</row>
    <row r="2312" spans="1:11" x14ac:dyDescent="0.2">
      <c r="A2312" s="1" t="s">
        <v>2004</v>
      </c>
      <c r="B2312" s="1" t="s">
        <v>2159</v>
      </c>
      <c r="C2312" s="1" t="str">
        <f>"67950194131162"</f>
        <v>67950194131162</v>
      </c>
      <c r="D2312" s="1" t="str">
        <f>"P-AP10S16-0R"</f>
        <v>P-AP10S16-0R</v>
      </c>
      <c r="E2312" s="1" t="s">
        <v>17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</row>
    <row r="2313" spans="1:11" ht="30" x14ac:dyDescent="0.2">
      <c r="A2313" s="1" t="s">
        <v>2004</v>
      </c>
      <c r="B2313" s="1" t="s">
        <v>2160</v>
      </c>
      <c r="C2313" s="1" t="str">
        <f>"67950194190273"</f>
        <v>67950194190273</v>
      </c>
      <c r="D2313" s="1" t="str">
        <f>"P-BE3N15-01"</f>
        <v>P-BE3N15-01</v>
      </c>
      <c r="E2313" s="1" t="s">
        <v>17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</row>
    <row r="2314" spans="1:11" x14ac:dyDescent="0.2">
      <c r="A2314" s="1" t="s">
        <v>2004</v>
      </c>
      <c r="B2314" s="1" t="s">
        <v>2161</v>
      </c>
      <c r="C2314" s="1" t="str">
        <f>"67950194204556"</f>
        <v>67950194204556</v>
      </c>
      <c r="D2314" s="1" t="str">
        <f>"P-BE6N15-01"</f>
        <v>P-BE6N15-01</v>
      </c>
      <c r="E2314" s="1" t="s">
        <v>17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</row>
    <row r="2315" spans="1:11" ht="30" x14ac:dyDescent="0.2">
      <c r="A2315" s="1" t="s">
        <v>2004</v>
      </c>
      <c r="B2315" s="1" t="s">
        <v>2162</v>
      </c>
      <c r="C2315" s="1" t="str">
        <f>"67950194212682"</f>
        <v>67950194212682</v>
      </c>
      <c r="D2315" s="1" t="str">
        <f>"P-BE5N20-01"</f>
        <v>P-BE5N20-01</v>
      </c>
      <c r="E2315" s="1" t="s">
        <v>17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</row>
    <row r="2316" spans="1:11" ht="30" x14ac:dyDescent="0.2">
      <c r="A2316" s="1" t="s">
        <v>2004</v>
      </c>
      <c r="B2316" s="1" t="s">
        <v>2163</v>
      </c>
      <c r="C2316" s="1" t="str">
        <f>"67950194243716"</f>
        <v>67950194243716</v>
      </c>
      <c r="D2316" s="1" t="str">
        <f>"P-BM8E20-01"</f>
        <v>P-BM8E20-01</v>
      </c>
      <c r="E2316" s="1" t="s">
        <v>17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</row>
    <row r="2317" spans="1:11" x14ac:dyDescent="0.2">
      <c r="A2317" s="1" t="s">
        <v>2004</v>
      </c>
      <c r="B2317" s="1" t="s">
        <v>2164</v>
      </c>
      <c r="C2317" s="1" t="str">
        <f>"67950194259721"</f>
        <v>67950194259721</v>
      </c>
      <c r="D2317" s="1" t="str">
        <f>"P-BM8S09-01"</f>
        <v>P-BM8S09-01</v>
      </c>
      <c r="E2317" s="1" t="s">
        <v>17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</row>
    <row r="2318" spans="1:11" ht="30" x14ac:dyDescent="0.2">
      <c r="A2318" s="1" t="s">
        <v>2004</v>
      </c>
      <c r="B2318" s="1" t="s">
        <v>2165</v>
      </c>
      <c r="C2318" s="1" t="str">
        <f>"67950194278735"</f>
        <v>67950194278735</v>
      </c>
      <c r="D2318" s="1" t="str">
        <f>"P-BM3N20-01"</f>
        <v>P-BM3N20-01</v>
      </c>
      <c r="E2318" s="1" t="s">
        <v>17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</row>
    <row r="2319" spans="1:11" ht="30" x14ac:dyDescent="0.2">
      <c r="A2319" s="1" t="s">
        <v>2004</v>
      </c>
      <c r="B2319" s="1" t="s">
        <v>2166</v>
      </c>
      <c r="C2319" s="1" t="str">
        <f>"67950194340110"</f>
        <v>67950194340110</v>
      </c>
      <c r="D2319" s="1" t="str">
        <f>"P-BM12E13-01"</f>
        <v>P-BM12E13-01</v>
      </c>
      <c r="E2319" s="1" t="s">
        <v>17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</row>
    <row r="2320" spans="1:11" ht="30" x14ac:dyDescent="0.2">
      <c r="A2320" s="1" t="s">
        <v>2004</v>
      </c>
      <c r="B2320" s="1" t="s">
        <v>2167</v>
      </c>
      <c r="C2320" s="1" t="str">
        <f>"67950194341651"</f>
        <v>67950194341651</v>
      </c>
      <c r="D2320" s="1" t="str">
        <f>"P-BM10S10-0R"</f>
        <v>P-BM10S10-0R</v>
      </c>
      <c r="E2320" s="1" t="s">
        <v>17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</row>
    <row r="2321" spans="1:11" ht="30" x14ac:dyDescent="0.2">
      <c r="A2321" s="1" t="s">
        <v>2004</v>
      </c>
      <c r="B2321" s="1" t="s">
        <v>2168</v>
      </c>
      <c r="C2321" s="1" t="str">
        <f>"67950194344456"</f>
        <v>67950194344456</v>
      </c>
      <c r="D2321" s="1" t="str">
        <f>"P-BM10S20-0R"</f>
        <v>P-BM10S20-0R</v>
      </c>
      <c r="E2321" s="1" t="s">
        <v>17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</row>
    <row r="2322" spans="1:11" ht="30" x14ac:dyDescent="0.2">
      <c r="A2322" s="1" t="s">
        <v>2004</v>
      </c>
      <c r="B2322" s="1" t="s">
        <v>2169</v>
      </c>
      <c r="C2322" s="1" t="str">
        <f>"67950194349718"</f>
        <v>67950194349718</v>
      </c>
      <c r="D2322" s="1" t="str">
        <f>"P-CF2N20-01"</f>
        <v>P-CF2N20-01</v>
      </c>
      <c r="E2322" s="1" t="s">
        <v>17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</row>
    <row r="2323" spans="1:11" ht="30" x14ac:dyDescent="0.2">
      <c r="A2323" s="1" t="s">
        <v>2004</v>
      </c>
      <c r="B2323" s="1" t="s">
        <v>2170</v>
      </c>
      <c r="C2323" s="1" t="str">
        <f>"67950194407671"</f>
        <v>67950194407671</v>
      </c>
      <c r="D2323" s="1" t="str">
        <f>"P-CF6N14-01"</f>
        <v>P-CF6N14-01</v>
      </c>
      <c r="E2323" s="1" t="s">
        <v>17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</row>
    <row r="2324" spans="1:11" ht="30" x14ac:dyDescent="0.2">
      <c r="A2324" s="1" t="s">
        <v>2004</v>
      </c>
      <c r="B2324" s="1" t="s">
        <v>2171</v>
      </c>
      <c r="C2324" s="1" t="str">
        <f>"67950194429895"</f>
        <v>67950194429895</v>
      </c>
      <c r="D2324" s="1" t="str">
        <f>"P-H65S19-01"</f>
        <v>P-H65S19-01</v>
      </c>
      <c r="E2324" s="1" t="s">
        <v>17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</row>
    <row r="2325" spans="1:11" ht="30" x14ac:dyDescent="0.2">
      <c r="A2325" s="1" t="s">
        <v>2004</v>
      </c>
      <c r="B2325" s="1" t="s">
        <v>2172</v>
      </c>
      <c r="C2325" s="1" t="str">
        <f>"67950194465823"</f>
        <v>67950194465823</v>
      </c>
      <c r="D2325" s="1" t="str">
        <f>"P-H10S08-0R"</f>
        <v>P-H10S08-0R</v>
      </c>
      <c r="E2325" s="1" t="s">
        <v>17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</row>
    <row r="2326" spans="1:11" ht="30" x14ac:dyDescent="0.2">
      <c r="A2326" s="1" t="s">
        <v>2004</v>
      </c>
      <c r="B2326" s="1" t="s">
        <v>2173</v>
      </c>
      <c r="C2326" s="1" t="str">
        <f>"67950194467313"</f>
        <v>67950194467313</v>
      </c>
      <c r="D2326" s="1" t="str">
        <f>"R-H10S18-0R"</f>
        <v>R-H10S18-0R</v>
      </c>
      <c r="E2326" s="1" t="s">
        <v>17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</row>
    <row r="2327" spans="1:11" ht="30" x14ac:dyDescent="0.2">
      <c r="A2327" s="1" t="s">
        <v>2004</v>
      </c>
      <c r="B2327" s="1" t="s">
        <v>2174</v>
      </c>
      <c r="C2327" s="1" t="str">
        <f>"67950194477543"</f>
        <v>67950194477543</v>
      </c>
      <c r="D2327" s="1" t="str">
        <f>"P-H2S11-01"</f>
        <v>P-H2S11-01</v>
      </c>
      <c r="E2327" s="1" t="s">
        <v>17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</row>
    <row r="2328" spans="1:11" ht="30" x14ac:dyDescent="0.2">
      <c r="A2328" s="1" t="s">
        <v>2004</v>
      </c>
      <c r="B2328" s="1" t="s">
        <v>2175</v>
      </c>
      <c r="C2328" s="1" t="str">
        <f>"67950194518002"</f>
        <v>67950194518002</v>
      </c>
      <c r="D2328" s="1" t="str">
        <f>"R-H5S13-01"</f>
        <v>R-H5S13-01</v>
      </c>
      <c r="E2328" s="1" t="s">
        <v>17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</row>
    <row r="2329" spans="1:11" ht="30" x14ac:dyDescent="0.2">
      <c r="A2329" s="1" t="s">
        <v>2004</v>
      </c>
      <c r="B2329" s="1" t="s">
        <v>2176</v>
      </c>
      <c r="C2329" s="1" t="str">
        <f>"67950194542151"</f>
        <v>67950194542151</v>
      </c>
      <c r="D2329" s="1" t="str">
        <f>"R-H5N20-01"</f>
        <v>R-H5N20-01</v>
      </c>
      <c r="E2329" s="1" t="s">
        <v>17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</row>
    <row r="2330" spans="1:11" x14ac:dyDescent="0.2">
      <c r="A2330" s="1" t="s">
        <v>2004</v>
      </c>
      <c r="B2330" s="1" t="s">
        <v>2177</v>
      </c>
      <c r="C2330" s="1" t="str">
        <f>"67950194560961"</f>
        <v>67950194560961</v>
      </c>
      <c r="D2330" s="1" t="str">
        <f>"P-H6S07-0R"</f>
        <v>P-H6S07-0R</v>
      </c>
      <c r="E2330" s="1" t="s">
        <v>17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</row>
    <row r="2331" spans="1:11" ht="30" x14ac:dyDescent="0.2">
      <c r="A2331" s="1" t="s">
        <v>2004</v>
      </c>
      <c r="B2331" s="1" t="s">
        <v>2178</v>
      </c>
      <c r="C2331" s="1" t="str">
        <f>"67950194565206"</f>
        <v>67950194565206</v>
      </c>
      <c r="D2331" s="1" t="str">
        <f>"P-H75SC21-01"</f>
        <v>P-H75SC21-01</v>
      </c>
      <c r="E2331" s="1" t="s">
        <v>17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</row>
    <row r="2332" spans="1:11" ht="30" x14ac:dyDescent="0.2">
      <c r="A2332" s="1" t="s">
        <v>2004</v>
      </c>
      <c r="B2332" s="1" t="s">
        <v>2179</v>
      </c>
      <c r="C2332" s="1" t="str">
        <f>"67950194596035"</f>
        <v>67950194596035</v>
      </c>
      <c r="D2332" s="1" t="str">
        <f>"P-K2S08-01"</f>
        <v>P-K2S08-01</v>
      </c>
      <c r="E2332" s="1" t="s">
        <v>17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</row>
    <row r="2333" spans="1:11" ht="30" x14ac:dyDescent="0.2">
      <c r="A2333" s="1" t="s">
        <v>2004</v>
      </c>
      <c r="B2333" s="1" t="s">
        <v>2180</v>
      </c>
      <c r="C2333" s="1" t="str">
        <f>"67950194620647"</f>
        <v>67950194620647</v>
      </c>
      <c r="D2333" s="1" t="str">
        <f>"P-K4S18-01"</f>
        <v>P-K4S18-01</v>
      </c>
      <c r="E2333" s="1" t="s">
        <v>17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</row>
    <row r="2334" spans="1:11" ht="30" x14ac:dyDescent="0.2">
      <c r="A2334" s="1" t="s">
        <v>2004</v>
      </c>
      <c r="B2334" s="1" t="s">
        <v>2181</v>
      </c>
      <c r="C2334" s="1" t="str">
        <f>"67950194633236"</f>
        <v>67950194633236</v>
      </c>
      <c r="D2334" s="1" t="str">
        <f>"P-K6N15-01"</f>
        <v>P-K6N15-01</v>
      </c>
      <c r="E2334" s="1" t="s">
        <v>17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</row>
    <row r="2335" spans="1:11" ht="30" x14ac:dyDescent="0.2">
      <c r="A2335" s="1" t="s">
        <v>2004</v>
      </c>
      <c r="B2335" s="1" t="s">
        <v>2182</v>
      </c>
      <c r="C2335" s="1" t="str">
        <f>"67950194641131"</f>
        <v>67950194641131</v>
      </c>
      <c r="D2335" s="1" t="str">
        <f>"P-K6N06-01"</f>
        <v>P-K6N06-01</v>
      </c>
      <c r="E2335" s="1" t="s">
        <v>17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</row>
    <row r="2336" spans="1:11" ht="30" x14ac:dyDescent="0.2">
      <c r="A2336" s="1" t="s">
        <v>2004</v>
      </c>
      <c r="B2336" s="1" t="s">
        <v>2183</v>
      </c>
      <c r="C2336" s="1" t="str">
        <f>"67950194661490"</f>
        <v>67950194661490</v>
      </c>
      <c r="D2336" s="1" t="str">
        <f>"P-K10S10-0R"</f>
        <v>P-K10S10-0R</v>
      </c>
      <c r="E2336" s="1" t="s">
        <v>17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</row>
    <row r="2337" spans="1:11" ht="30" x14ac:dyDescent="0.2">
      <c r="A2337" s="1" t="s">
        <v>2004</v>
      </c>
      <c r="B2337" s="1" t="s">
        <v>2184</v>
      </c>
      <c r="C2337" s="1" t="str">
        <f>"67950194694837"</f>
        <v>67950194694837</v>
      </c>
      <c r="D2337" s="1" t="str">
        <f>"R-K10S03-01"</f>
        <v>R-K10S03-01</v>
      </c>
      <c r="E2337" s="1" t="s">
        <v>17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</row>
    <row r="2338" spans="1:11" ht="30" x14ac:dyDescent="0.2">
      <c r="A2338" s="1" t="s">
        <v>2004</v>
      </c>
      <c r="B2338" s="1" t="s">
        <v>2185</v>
      </c>
      <c r="C2338" s="1" t="str">
        <f>"67950194731611"</f>
        <v>67950194731611</v>
      </c>
      <c r="D2338" s="1" t="str">
        <f>"P-K9N18-01"</f>
        <v>P-K9N18-01</v>
      </c>
      <c r="E2338" s="1" t="s">
        <v>17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</row>
    <row r="2339" spans="1:11" ht="30" x14ac:dyDescent="0.2">
      <c r="A2339" s="1" t="s">
        <v>2004</v>
      </c>
      <c r="B2339" s="1" t="s">
        <v>2186</v>
      </c>
      <c r="C2339" s="1" t="str">
        <f>"67950194767178"</f>
        <v>67950194767178</v>
      </c>
      <c r="D2339" s="1" t="str">
        <f>"P-K10S16-0R"</f>
        <v>P-K10S16-0R</v>
      </c>
      <c r="E2339" s="1" t="s">
        <v>17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</row>
    <row r="2340" spans="1:11" x14ac:dyDescent="0.2">
      <c r="A2340" s="1" t="s">
        <v>2004</v>
      </c>
      <c r="B2340" s="1" t="s">
        <v>2187</v>
      </c>
      <c r="C2340" s="1" t="str">
        <f>"67950194774072"</f>
        <v>67950194774072</v>
      </c>
      <c r="D2340" s="1" t="str">
        <f>"P-K6S09-0R"</f>
        <v>P-K6S09-0R</v>
      </c>
      <c r="E2340" s="1" t="s">
        <v>17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</row>
    <row r="2341" spans="1:11" ht="45" x14ac:dyDescent="0.2">
      <c r="A2341" s="1" t="s">
        <v>2004</v>
      </c>
      <c r="B2341" s="1" t="s">
        <v>2188</v>
      </c>
      <c r="C2341" s="1" t="str">
        <f>"67950194811661"</f>
        <v>67950194811661</v>
      </c>
      <c r="D2341" s="1" t="str">
        <f>"P-KT3N18-01"</f>
        <v>P-KT3N18-01</v>
      </c>
      <c r="E2341" s="1" t="s">
        <v>17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</row>
    <row r="2342" spans="1:11" ht="30" x14ac:dyDescent="0.2">
      <c r="A2342" s="1" t="s">
        <v>2004</v>
      </c>
      <c r="B2342" s="1" t="s">
        <v>2189</v>
      </c>
      <c r="C2342" s="1" t="str">
        <f>"67950194860095"</f>
        <v>67950194860095</v>
      </c>
      <c r="D2342" s="1" t="str">
        <f>"R-KT1SM11-01"</f>
        <v>R-KT1SM11-01</v>
      </c>
      <c r="E2342" s="1" t="s">
        <v>17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</row>
    <row r="2343" spans="1:11" ht="30" x14ac:dyDescent="0.2">
      <c r="A2343" s="1" t="s">
        <v>2004</v>
      </c>
      <c r="B2343" s="1" t="s">
        <v>2190</v>
      </c>
      <c r="C2343" s="1" t="str">
        <f>"67950194773163"</f>
        <v>67950194773163</v>
      </c>
      <c r="D2343" s="1" t="str">
        <f>"P-KT12E13-01"</f>
        <v>P-KT12E13-01</v>
      </c>
      <c r="E2343" s="1" t="s">
        <v>17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</row>
    <row r="2344" spans="1:11" x14ac:dyDescent="0.2">
      <c r="A2344" s="1" t="s">
        <v>2004</v>
      </c>
      <c r="B2344" s="1" t="s">
        <v>2191</v>
      </c>
      <c r="C2344" s="1" t="str">
        <f>"67950194872239"</f>
        <v>67950194872239</v>
      </c>
      <c r="D2344" s="1" t="str">
        <f>"P-Y3S15-01"</f>
        <v>P-Y3S15-01</v>
      </c>
      <c r="E2344" s="1" t="s">
        <v>17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</row>
    <row r="2345" spans="1:11" ht="30" x14ac:dyDescent="0.2">
      <c r="A2345" s="1" t="s">
        <v>2004</v>
      </c>
      <c r="B2345" s="1" t="s">
        <v>2192</v>
      </c>
      <c r="C2345" s="1" t="str">
        <f>"67950194164490"</f>
        <v>67950194164490</v>
      </c>
      <c r="D2345" s="1" t="str">
        <f>"P-BJ4N22-01"</f>
        <v>P-BJ4N22-01</v>
      </c>
      <c r="E2345" s="1" t="s">
        <v>17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</row>
    <row r="2346" spans="1:11" ht="30" x14ac:dyDescent="0.2">
      <c r="A2346" s="1" t="s">
        <v>2004</v>
      </c>
      <c r="B2346" s="1" t="s">
        <v>2193</v>
      </c>
      <c r="C2346" s="1" t="str">
        <f>"67950194873809"</f>
        <v>67950194873809</v>
      </c>
      <c r="D2346" s="1" t="str">
        <f>"R-RE4N19-01"</f>
        <v>R-RE4N19-01</v>
      </c>
      <c r="E2346" s="1" t="s">
        <v>17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</row>
    <row r="2347" spans="1:11" ht="30" x14ac:dyDescent="0.2">
      <c r="A2347" s="1" t="s">
        <v>2004</v>
      </c>
      <c r="B2347" s="1" t="s">
        <v>2194</v>
      </c>
      <c r="C2347" s="1" t="str">
        <f>"67950194914910"</f>
        <v>67950194914910</v>
      </c>
      <c r="D2347" s="1" t="str">
        <f>"R-RE65N18-01"</f>
        <v>R-RE65N18-01</v>
      </c>
      <c r="E2347" s="1" t="s">
        <v>17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</row>
    <row r="2348" spans="1:11" x14ac:dyDescent="0.2">
      <c r="A2348" s="1" t="s">
        <v>2004</v>
      </c>
      <c r="B2348" s="1" t="s">
        <v>2195</v>
      </c>
      <c r="C2348" s="1" t="str">
        <f>"67950195059366"</f>
        <v>67950195059366</v>
      </c>
      <c r="D2348" s="1" t="str">
        <f>"P-S6S06-01"</f>
        <v>P-S6S06-01</v>
      </c>
      <c r="E2348" s="1" t="s">
        <v>17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</row>
    <row r="2349" spans="1:11" ht="30" x14ac:dyDescent="0.2">
      <c r="A2349" s="1" t="s">
        <v>2004</v>
      </c>
      <c r="B2349" s="1" t="s">
        <v>2196</v>
      </c>
      <c r="C2349" s="1" t="str">
        <f>"67950194969736"</f>
        <v>67950194969736</v>
      </c>
      <c r="D2349" s="1" t="str">
        <f>"P-S10S17-01"</f>
        <v>P-S10S17-01</v>
      </c>
      <c r="E2349" s="1" t="s">
        <v>17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</row>
    <row r="2350" spans="1:11" ht="30" x14ac:dyDescent="0.2">
      <c r="A2350" s="1" t="s">
        <v>2004</v>
      </c>
      <c r="B2350" s="1" t="s">
        <v>2197</v>
      </c>
      <c r="C2350" s="1" t="str">
        <f>"67950194972634"</f>
        <v>67950194972634</v>
      </c>
      <c r="D2350" s="1" t="str">
        <f>"P-S6S11-0R"</f>
        <v>P-S6S11-0R</v>
      </c>
      <c r="E2350" s="1" t="s">
        <v>17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 ht="30" x14ac:dyDescent="0.2">
      <c r="A2351" s="1" t="s">
        <v>2004</v>
      </c>
      <c r="B2351" s="1" t="s">
        <v>2198</v>
      </c>
      <c r="C2351" s="1" t="str">
        <f>"67950195039636"</f>
        <v>67950195039636</v>
      </c>
      <c r="D2351" s="1" t="str">
        <f>"P-S10S09-0R"</f>
        <v>P-S10S09-0R</v>
      </c>
      <c r="E2351" s="1" t="s">
        <v>17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</row>
    <row r="2352" spans="1:11" ht="30" x14ac:dyDescent="0.2">
      <c r="A2352" s="1" t="s">
        <v>2004</v>
      </c>
      <c r="B2352" s="1" t="s">
        <v>2199</v>
      </c>
      <c r="C2352" s="1" t="str">
        <f>"67950195080798"</f>
        <v>67950195080798</v>
      </c>
      <c r="D2352" s="1" t="str">
        <f>"P-S10E14-01"</f>
        <v>P-S10E14-01</v>
      </c>
      <c r="E2352" s="1" t="s">
        <v>17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</row>
    <row r="2353" spans="1:11" ht="30" x14ac:dyDescent="0.2">
      <c r="A2353" s="1" t="s">
        <v>2004</v>
      </c>
      <c r="B2353" s="1" t="s">
        <v>2200</v>
      </c>
      <c r="C2353" s="1" t="str">
        <f>"67950195100653"</f>
        <v>67950195100653</v>
      </c>
      <c r="D2353" s="1" t="str">
        <f>"P-S2N13-01"</f>
        <v>P-S2N13-01</v>
      </c>
      <c r="E2353" s="1" t="s">
        <v>17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</row>
    <row r="2354" spans="1:11" ht="30" x14ac:dyDescent="0.2">
      <c r="A2354" s="1" t="s">
        <v>2004</v>
      </c>
      <c r="B2354" s="1" t="s">
        <v>2201</v>
      </c>
      <c r="C2354" s="1" t="str">
        <f>"67950195105030"</f>
        <v>67950195105030</v>
      </c>
      <c r="D2354" s="1" t="str">
        <f>"P-S10E03-02"</f>
        <v>P-S10E03-02</v>
      </c>
      <c r="E2354" s="1" t="s">
        <v>17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</row>
    <row r="2355" spans="1:11" ht="30" x14ac:dyDescent="0.2">
      <c r="A2355" s="1" t="s">
        <v>2004</v>
      </c>
      <c r="B2355" s="1" t="s">
        <v>2202</v>
      </c>
      <c r="C2355" s="1" t="str">
        <f>"67950195126373"</f>
        <v>67950195126373</v>
      </c>
      <c r="D2355" s="1" t="str">
        <f>"P-TR6S13-0R"</f>
        <v>P-TR6S13-0R</v>
      </c>
      <c r="E2355" s="1" t="s">
        <v>17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</row>
    <row r="2356" spans="1:11" ht="30" x14ac:dyDescent="0.2">
      <c r="A2356" s="1" t="s">
        <v>2004</v>
      </c>
      <c r="B2356" s="1" t="s">
        <v>2203</v>
      </c>
      <c r="C2356" s="1" t="str">
        <f>"67950195153029"</f>
        <v>67950195153029</v>
      </c>
      <c r="D2356" s="1" t="str">
        <f>"P-TR6S06-01"</f>
        <v>P-TR6S06-01</v>
      </c>
      <c r="E2356" s="1" t="s">
        <v>17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</row>
    <row r="2357" spans="1:11" ht="30" x14ac:dyDescent="0.2">
      <c r="A2357" s="1" t="s">
        <v>2004</v>
      </c>
      <c r="B2357" s="1" t="s">
        <v>2204</v>
      </c>
      <c r="C2357" s="1" t="str">
        <f>"67950195166303"</f>
        <v>67950195166303</v>
      </c>
      <c r="D2357" s="1" t="str">
        <f>"P-TR10N16-01"</f>
        <v>P-TR10N16-01</v>
      </c>
      <c r="E2357" s="1" t="s">
        <v>17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</row>
    <row r="2358" spans="1:11" ht="30" x14ac:dyDescent="0.2">
      <c r="A2358" s="1" t="s">
        <v>2004</v>
      </c>
      <c r="B2358" s="1" t="s">
        <v>2205</v>
      </c>
      <c r="C2358" s="1" t="str">
        <f>"67950195175014"</f>
        <v>67950195175014</v>
      </c>
      <c r="D2358" s="1" t="str">
        <f>"P-TR7S20-0R"</f>
        <v>P-TR7S20-0R</v>
      </c>
      <c r="E2358" s="1" t="s">
        <v>17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</row>
    <row r="2359" spans="1:11" ht="30" x14ac:dyDescent="0.2">
      <c r="A2359" s="1" t="s">
        <v>2004</v>
      </c>
      <c r="B2359" s="1" t="s">
        <v>2206</v>
      </c>
      <c r="C2359" s="1" t="str">
        <f>"67950195231410"</f>
        <v>67950195231410</v>
      </c>
      <c r="D2359" s="1" t="str">
        <f>"P-TR12E12-01"</f>
        <v>P-TR12E12-01</v>
      </c>
      <c r="E2359" s="1" t="s">
        <v>17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</row>
    <row r="2360" spans="1:11" x14ac:dyDescent="0.2">
      <c r="A2360" s="1" t="s">
        <v>2004</v>
      </c>
      <c r="B2360" s="1" t="s">
        <v>2207</v>
      </c>
      <c r="C2360" s="1" t="str">
        <f>"67950195204875"</f>
        <v>67950195204875</v>
      </c>
      <c r="D2360" s="1" t="str">
        <f>"P-TR8N11-01"</f>
        <v>P-TR8N11-01</v>
      </c>
      <c r="E2360" s="1" t="s">
        <v>17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</row>
    <row r="2361" spans="1:11" ht="30" x14ac:dyDescent="0.2">
      <c r="A2361" s="1" t="s">
        <v>2004</v>
      </c>
      <c r="B2361" s="1" t="s">
        <v>2208</v>
      </c>
      <c r="C2361" s="1" t="str">
        <f>"67950195213220"</f>
        <v>67950195213220</v>
      </c>
      <c r="D2361" s="1" t="str">
        <f>"P-TR9E20-01"</f>
        <v>P-TR9E20-01</v>
      </c>
      <c r="E2361" s="1" t="s">
        <v>17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</row>
    <row r="2362" spans="1:11" ht="30" x14ac:dyDescent="0.2">
      <c r="A2362" s="1" t="s">
        <v>2004</v>
      </c>
      <c r="B2362" s="1" t="s">
        <v>2209</v>
      </c>
      <c r="C2362" s="1" t="str">
        <f>"67950195238713"</f>
        <v>67950195238713</v>
      </c>
      <c r="D2362" s="1" t="str">
        <f>"P-TR6N21-01"</f>
        <v>P-TR6N21-01</v>
      </c>
      <c r="E2362" s="1" t="s">
        <v>17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</row>
    <row r="2363" spans="1:11" x14ac:dyDescent="0.2">
      <c r="A2363" s="1" t="s">
        <v>2004</v>
      </c>
      <c r="B2363" s="1" t="s">
        <v>2210</v>
      </c>
      <c r="C2363" s="1" t="str">
        <f>"67950195266379"</f>
        <v>67950195266379</v>
      </c>
      <c r="D2363" s="1" t="str">
        <f>"R-Y7N14-01"</f>
        <v>R-Y7N14-01</v>
      </c>
      <c r="E2363" s="1" t="s">
        <v>17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</row>
    <row r="2364" spans="1:11" x14ac:dyDescent="0.2">
      <c r="A2364" s="1" t="s">
        <v>2004</v>
      </c>
      <c r="B2364" s="1" t="s">
        <v>2211</v>
      </c>
      <c r="C2364" s="1" t="str">
        <f>"67950195296729"</f>
        <v>67950195296729</v>
      </c>
      <c r="D2364" s="1" t="str">
        <f>"P-Y8N14-01"</f>
        <v>P-Y8N14-01</v>
      </c>
      <c r="E2364" s="1" t="s">
        <v>17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</row>
    <row r="2365" spans="1:11" ht="30" x14ac:dyDescent="0.2">
      <c r="A2365" s="1" t="s">
        <v>2004</v>
      </c>
      <c r="B2365" s="1" t="s">
        <v>2212</v>
      </c>
      <c r="C2365" s="1" t="str">
        <f>"67950195299452"</f>
        <v>67950195299452</v>
      </c>
      <c r="D2365" s="1" t="str">
        <f>"P-Y6N09-01"</f>
        <v>P-Y6N09-01</v>
      </c>
      <c r="E2365" s="1" t="s">
        <v>17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</row>
    <row r="2366" spans="1:11" x14ac:dyDescent="0.2">
      <c r="A2366" s="1" t="s">
        <v>2004</v>
      </c>
      <c r="B2366" s="1" t="s">
        <v>2213</v>
      </c>
      <c r="C2366" s="1" t="str">
        <f>"67950195306359"</f>
        <v>67950195306359</v>
      </c>
      <c r="D2366" s="1" t="str">
        <f>"P-Y12E10-01"</f>
        <v>P-Y12E10-01</v>
      </c>
      <c r="E2366" s="1" t="s">
        <v>17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</row>
    <row r="2367" spans="1:11" ht="30" x14ac:dyDescent="0.2">
      <c r="A2367" s="1" t="s">
        <v>2004</v>
      </c>
      <c r="B2367" s="1" t="s">
        <v>2214</v>
      </c>
      <c r="C2367" s="1" t="str">
        <f>"67950195339841"</f>
        <v>67950195339841</v>
      </c>
      <c r="D2367" s="1" t="str">
        <f>"P-Y10S09-0R"</f>
        <v>P-Y10S09-0R</v>
      </c>
      <c r="E2367" s="1" t="s">
        <v>17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</row>
    <row r="2368" spans="1:11" ht="30" x14ac:dyDescent="0.2">
      <c r="A2368" s="1" t="s">
        <v>2004</v>
      </c>
      <c r="B2368" s="1" t="s">
        <v>2215</v>
      </c>
      <c r="C2368" s="1" t="str">
        <f>"67950195361385"</f>
        <v>67950195361385</v>
      </c>
      <c r="D2368" s="1" t="str">
        <f>"P-Y10S15-0R"</f>
        <v>P-Y10S15-0R</v>
      </c>
      <c r="E2368" s="1" t="s">
        <v>17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</row>
    <row r="2369" spans="1:11" ht="30" x14ac:dyDescent="0.2">
      <c r="A2369" s="1" t="s">
        <v>2004</v>
      </c>
      <c r="B2369" s="1" t="s">
        <v>2216</v>
      </c>
      <c r="C2369" s="1" t="str">
        <f>"67950195362979"</f>
        <v>67950195362979</v>
      </c>
      <c r="D2369" s="1" t="str">
        <f>"P-Y1S09-01"</f>
        <v>P-Y1S09-01</v>
      </c>
      <c r="E2369" s="1" t="s">
        <v>17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</row>
    <row r="2370" spans="1:11" x14ac:dyDescent="0.2">
      <c r="A2370" s="1" t="s">
        <v>2004</v>
      </c>
      <c r="B2370" s="1" t="s">
        <v>2217</v>
      </c>
      <c r="C2370" s="1" t="str">
        <f>"67950195369479"</f>
        <v>67950195369479</v>
      </c>
      <c r="D2370" s="1" t="str">
        <f>"P-Y6S08-0R"</f>
        <v>P-Y6S08-0R</v>
      </c>
      <c r="E2370" s="1" t="s">
        <v>17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</row>
    <row r="2371" spans="1:11" x14ac:dyDescent="0.2">
      <c r="A2371" s="1" t="s">
        <v>2218</v>
      </c>
      <c r="B2371" s="1" t="s">
        <v>2219</v>
      </c>
      <c r="C2371" s="1" t="str">
        <f>"K353147500"</f>
        <v>K353147500</v>
      </c>
      <c r="D2371" s="1" t="str">
        <f>"K353147500"</f>
        <v>K353147500</v>
      </c>
      <c r="E2371" s="1" t="s">
        <v>17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</row>
    <row r="2372" spans="1:11" x14ac:dyDescent="0.2">
      <c r="A2372" s="1" t="s">
        <v>2218</v>
      </c>
      <c r="B2372" s="1" t="s">
        <v>2220</v>
      </c>
      <c r="C2372" s="1" t="str">
        <f>"66298887872029"</f>
        <v>66298887872029</v>
      </c>
      <c r="D2372" s="1" t="str">
        <f>"83254"</f>
        <v>83254</v>
      </c>
      <c r="E2372" s="1" t="s">
        <v>17</v>
      </c>
      <c r="F2372" s="1">
        <v>5</v>
      </c>
      <c r="G2372" s="1">
        <v>569</v>
      </c>
      <c r="H2372" s="1">
        <v>2845</v>
      </c>
      <c r="I2372" s="1">
        <v>0</v>
      </c>
      <c r="J2372" s="1">
        <v>5</v>
      </c>
      <c r="K2372" s="1">
        <v>0</v>
      </c>
    </row>
    <row r="2373" spans="1:11" x14ac:dyDescent="0.2">
      <c r="A2373" s="1" t="s">
        <v>2218</v>
      </c>
      <c r="B2373" s="1" t="s">
        <v>2221</v>
      </c>
      <c r="C2373" s="1" t="str">
        <f>"66298887911756"</f>
        <v>66298887911756</v>
      </c>
      <c r="D2373" s="1" t="str">
        <f>"400682"</f>
        <v>400682</v>
      </c>
      <c r="E2373" s="1" t="s">
        <v>17</v>
      </c>
      <c r="F2373" s="1">
        <v>91</v>
      </c>
      <c r="G2373" s="1">
        <v>849</v>
      </c>
      <c r="H2373" s="1">
        <v>77259</v>
      </c>
      <c r="I2373" s="1">
        <v>0</v>
      </c>
      <c r="J2373" s="1">
        <v>91</v>
      </c>
      <c r="K2373" s="1">
        <v>0</v>
      </c>
    </row>
    <row r="2374" spans="1:11" x14ac:dyDescent="0.2">
      <c r="A2374" s="1" t="s">
        <v>2218</v>
      </c>
      <c r="B2374" s="1" t="s">
        <v>2222</v>
      </c>
      <c r="C2374" s="1" t="str">
        <f>"66298887989000"</f>
        <v>66298887989000</v>
      </c>
      <c r="D2374" s="1" t="str">
        <f>"B065"</f>
        <v>B065</v>
      </c>
      <c r="E2374" s="1" t="s">
        <v>17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</row>
    <row r="2375" spans="1:11" x14ac:dyDescent="0.2">
      <c r="A2375" s="1" t="s">
        <v>2218</v>
      </c>
      <c r="B2375" s="1" t="s">
        <v>2223</v>
      </c>
      <c r="C2375" s="1" t="str">
        <f>"66298888028385"</f>
        <v>66298888028385</v>
      </c>
      <c r="D2375" s="1" t="str">
        <f>"400033"</f>
        <v>400033</v>
      </c>
      <c r="E2375" s="1" t="s">
        <v>17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</row>
    <row r="2376" spans="1:11" x14ac:dyDescent="0.2">
      <c r="A2376" s="1" t="s">
        <v>2218</v>
      </c>
      <c r="B2376" s="1" t="s">
        <v>2224</v>
      </c>
      <c r="C2376" s="1" t="str">
        <f>"FL-UNIV-LED"</f>
        <v>FL-UNIV-LED</v>
      </c>
      <c r="D2376" s="1" t="str">
        <f>"FL-UNIV-LED"</f>
        <v>FL-UNIV-LED</v>
      </c>
      <c r="E2376" s="1" t="s">
        <v>17</v>
      </c>
      <c r="F2376" s="1">
        <v>27</v>
      </c>
      <c r="G2376" s="1">
        <v>478.99</v>
      </c>
      <c r="H2376" s="1">
        <v>12933</v>
      </c>
      <c r="I2376" s="1">
        <v>0</v>
      </c>
      <c r="J2376" s="1">
        <v>27</v>
      </c>
      <c r="K2376" s="1">
        <v>0</v>
      </c>
    </row>
    <row r="2377" spans="1:11" x14ac:dyDescent="0.2">
      <c r="A2377" s="1" t="s">
        <v>2218</v>
      </c>
      <c r="B2377" s="1" t="s">
        <v>2225</v>
      </c>
      <c r="C2377" s="1" t="str">
        <f>"66298887951737"</f>
        <v>66298887951737</v>
      </c>
      <c r="D2377" s="1" t="str">
        <f>"FL-UNIV"</f>
        <v>FL-UNIV</v>
      </c>
      <c r="E2377" s="1" t="s">
        <v>17</v>
      </c>
      <c r="F2377" s="1">
        <v>4</v>
      </c>
      <c r="G2377" s="1">
        <v>504.21</v>
      </c>
      <c r="H2377" s="1">
        <v>2017</v>
      </c>
      <c r="I2377" s="1">
        <v>0</v>
      </c>
      <c r="J2377" s="1">
        <v>4</v>
      </c>
      <c r="K2377" s="1">
        <v>0</v>
      </c>
    </row>
    <row r="2378" spans="1:11" x14ac:dyDescent="0.2">
      <c r="A2378" s="1" t="s">
        <v>2218</v>
      </c>
      <c r="B2378" s="1" t="s">
        <v>2225</v>
      </c>
      <c r="C2378" s="1" t="str">
        <f>"H002"</f>
        <v>H002</v>
      </c>
      <c r="D2378" s="1" t="str">
        <f>"H002"</f>
        <v>H002</v>
      </c>
      <c r="E2378" s="1" t="s">
        <v>17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</row>
    <row r="2379" spans="1:11" x14ac:dyDescent="0.2">
      <c r="A2379" s="1" t="s">
        <v>2218</v>
      </c>
      <c r="B2379" s="1" t="s">
        <v>2226</v>
      </c>
      <c r="C2379" s="1" t="str">
        <f>"66298888071485"</f>
        <v>66298888071485</v>
      </c>
      <c r="D2379" s="1" t="str">
        <f>"82239"</f>
        <v>82239</v>
      </c>
      <c r="E2379" s="1" t="s">
        <v>17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</row>
    <row r="2380" spans="1:11" x14ac:dyDescent="0.2">
      <c r="A2380" s="1" t="s">
        <v>2218</v>
      </c>
      <c r="B2380" s="1" t="s">
        <v>2227</v>
      </c>
      <c r="C2380" s="1" t="str">
        <f>"66298888116460"</f>
        <v>66298888116460</v>
      </c>
      <c r="D2380" s="1" t="str">
        <f>"82820"</f>
        <v>82820</v>
      </c>
      <c r="E2380" s="1" t="s">
        <v>17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</row>
    <row r="2381" spans="1:11" x14ac:dyDescent="0.2">
      <c r="A2381" s="1" t="s">
        <v>2218</v>
      </c>
      <c r="B2381" s="1" t="s">
        <v>2228</v>
      </c>
      <c r="C2381" s="1" t="str">
        <f>"66298888156149"</f>
        <v>66298888156149</v>
      </c>
      <c r="D2381" s="1" t="str">
        <f>"DS-2010-25"</f>
        <v>DS-2010-25</v>
      </c>
      <c r="E2381" s="1" t="s">
        <v>17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</row>
    <row r="2382" spans="1:11" x14ac:dyDescent="0.2">
      <c r="A2382" s="1" t="s">
        <v>1213</v>
      </c>
      <c r="B2382" s="1" t="s">
        <v>2229</v>
      </c>
      <c r="C2382" s="1" t="str">
        <f>"66298888196827"</f>
        <v>66298888196827</v>
      </c>
      <c r="D2382" s="1" t="str">
        <f>"BF011"</f>
        <v>BF011</v>
      </c>
      <c r="E2382" s="1" t="s">
        <v>17</v>
      </c>
      <c r="F2382" s="1">
        <v>1</v>
      </c>
      <c r="G2382" s="1">
        <v>2316</v>
      </c>
      <c r="H2382" s="1">
        <v>2316</v>
      </c>
      <c r="I2382" s="1">
        <v>0</v>
      </c>
      <c r="J2382" s="1">
        <v>1</v>
      </c>
      <c r="K2382" s="1">
        <v>0</v>
      </c>
    </row>
    <row r="2383" spans="1:11" x14ac:dyDescent="0.2">
      <c r="A2383" s="1" t="s">
        <v>2230</v>
      </c>
      <c r="B2383" s="1" t="s">
        <v>2231</v>
      </c>
      <c r="C2383" s="1" t="str">
        <f>"BF008"</f>
        <v>BF008</v>
      </c>
      <c r="D2383" s="1" t="str">
        <f>"BF008"</f>
        <v>BF008</v>
      </c>
      <c r="E2383" s="1" t="s">
        <v>17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</row>
    <row r="2384" spans="1:11" x14ac:dyDescent="0.2">
      <c r="A2384" s="1" t="s">
        <v>2230</v>
      </c>
      <c r="B2384" s="1" t="s">
        <v>2232</v>
      </c>
      <c r="C2384" s="1" t="str">
        <f>"BF007"</f>
        <v>BF007</v>
      </c>
      <c r="D2384" s="1" t="str">
        <f>"BF007"</f>
        <v>BF007</v>
      </c>
      <c r="E2384" s="1" t="s">
        <v>17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</row>
    <row r="2385" spans="1:11" x14ac:dyDescent="0.2">
      <c r="A2385" s="1" t="s">
        <v>243</v>
      </c>
      <c r="B2385" s="1" t="s">
        <v>2233</v>
      </c>
      <c r="C2385" s="1" t="str">
        <f>"12273"</f>
        <v>12273</v>
      </c>
      <c r="D2385" s="1" t="str">
        <f>"12273"</f>
        <v>12273</v>
      </c>
      <c r="E2385" s="1" t="s">
        <v>17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</row>
    <row r="2386" spans="1:11" x14ac:dyDescent="0.2">
      <c r="A2386" s="1" t="s">
        <v>2234</v>
      </c>
      <c r="B2386" s="1" t="s">
        <v>2235</v>
      </c>
      <c r="C2386" s="1" t="str">
        <f>"A209"</f>
        <v>A209</v>
      </c>
      <c r="D2386" s="1" t="str">
        <f>"A209"</f>
        <v>A209</v>
      </c>
      <c r="E2386" s="1" t="s">
        <v>17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</row>
    <row r="2387" spans="1:11" x14ac:dyDescent="0.2">
      <c r="A2387" s="1" t="s">
        <v>1948</v>
      </c>
      <c r="B2387" s="1" t="s">
        <v>2236</v>
      </c>
      <c r="C2387" s="1" t="str">
        <f>"66298888236802"</f>
        <v>66298888236802</v>
      </c>
      <c r="D2387" s="1" t="str">
        <f>"84888"</f>
        <v>84888</v>
      </c>
      <c r="E2387" s="1" t="s">
        <v>17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</row>
    <row r="2388" spans="1:11" x14ac:dyDescent="0.2">
      <c r="A2388" s="1" t="s">
        <v>15</v>
      </c>
      <c r="B2388" s="1" t="s">
        <v>2237</v>
      </c>
      <c r="C2388" s="1" t="str">
        <f>"11936"</f>
        <v>11936</v>
      </c>
      <c r="D2388" s="1" t="str">
        <f>"11936"</f>
        <v>11936</v>
      </c>
      <c r="E2388" s="1" t="s">
        <v>17</v>
      </c>
      <c r="F2388" s="1">
        <v>40</v>
      </c>
      <c r="G2388" s="1">
        <v>1500</v>
      </c>
      <c r="H2388" s="1">
        <v>60000</v>
      </c>
      <c r="I2388" s="1">
        <v>0</v>
      </c>
      <c r="J2388" s="1">
        <v>40</v>
      </c>
      <c r="K2388" s="1">
        <v>0</v>
      </c>
    </row>
    <row r="2389" spans="1:11" x14ac:dyDescent="0.2">
      <c r="A2389" s="1" t="s">
        <v>15</v>
      </c>
      <c r="B2389" s="1" t="s">
        <v>2238</v>
      </c>
      <c r="C2389" s="1" t="str">
        <f>"11607"</f>
        <v>11607</v>
      </c>
      <c r="D2389" s="1" t="str">
        <f>"11607"</f>
        <v>11607</v>
      </c>
      <c r="E2389" s="1" t="s">
        <v>17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</row>
    <row r="2390" spans="1:11" x14ac:dyDescent="0.2">
      <c r="A2390" s="1" t="s">
        <v>18</v>
      </c>
      <c r="B2390" s="1" t="s">
        <v>2239</v>
      </c>
      <c r="C2390" s="1" t="str">
        <f>"66298888321874"</f>
        <v>66298888321874</v>
      </c>
      <c r="D2390" s="1" t="str">
        <f>"0489"</f>
        <v>0489</v>
      </c>
      <c r="E2390" s="1" t="s">
        <v>17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</row>
    <row r="2391" spans="1:11" ht="30" x14ac:dyDescent="0.2">
      <c r="A2391" s="1" t="s">
        <v>18</v>
      </c>
      <c r="B2391" s="1" t="s">
        <v>2240</v>
      </c>
      <c r="C2391" s="1" t="str">
        <f>"RC028-AZUL"</f>
        <v>RC028-AZUL</v>
      </c>
      <c r="D2391" s="1" t="str">
        <f>"RC028-AZUL"</f>
        <v>RC028-AZUL</v>
      </c>
      <c r="E2391" s="1" t="s">
        <v>17</v>
      </c>
      <c r="F2391" s="1">
        <v>1</v>
      </c>
      <c r="G2391" s="1">
        <v>8091</v>
      </c>
      <c r="H2391" s="1">
        <v>8091</v>
      </c>
      <c r="I2391" s="1">
        <v>0</v>
      </c>
      <c r="J2391" s="1">
        <v>1</v>
      </c>
      <c r="K2391" s="1">
        <v>0</v>
      </c>
    </row>
    <row r="2392" spans="1:11" ht="30" x14ac:dyDescent="0.2">
      <c r="A2392" s="1" t="s">
        <v>18</v>
      </c>
      <c r="B2392" s="1" t="s">
        <v>2241</v>
      </c>
      <c r="C2392" s="1" t="str">
        <f>"RC028-DORADO"</f>
        <v>RC028-DORADO</v>
      </c>
      <c r="D2392" s="1" t="str">
        <f>"RC028-DORADO"</f>
        <v>RC028-DORADO</v>
      </c>
      <c r="E2392" s="1" t="s">
        <v>17</v>
      </c>
      <c r="F2392" s="1">
        <v>3</v>
      </c>
      <c r="G2392" s="1">
        <v>8091</v>
      </c>
      <c r="H2392" s="1">
        <v>24273</v>
      </c>
      <c r="I2392" s="1">
        <v>0</v>
      </c>
      <c r="J2392" s="1">
        <v>3</v>
      </c>
      <c r="K2392" s="1">
        <v>0</v>
      </c>
    </row>
    <row r="2393" spans="1:11" ht="30" x14ac:dyDescent="0.2">
      <c r="A2393" s="1" t="s">
        <v>18</v>
      </c>
      <c r="B2393" s="1" t="s">
        <v>2242</v>
      </c>
      <c r="C2393" s="1" t="str">
        <f>"RC028-PLATEADO"</f>
        <v>RC028-PLATEADO</v>
      </c>
      <c r="D2393" s="1" t="str">
        <f>"RC028-PLATEADO"</f>
        <v>RC028-PLATEADO</v>
      </c>
      <c r="E2393" s="1" t="s">
        <v>17</v>
      </c>
      <c r="F2393" s="1">
        <v>2</v>
      </c>
      <c r="G2393" s="1">
        <v>8091</v>
      </c>
      <c r="H2393" s="1">
        <v>16182</v>
      </c>
      <c r="I2393" s="1">
        <v>0</v>
      </c>
      <c r="J2393" s="1">
        <v>2</v>
      </c>
      <c r="K2393" s="1">
        <v>0</v>
      </c>
    </row>
    <row r="2394" spans="1:11" ht="30" x14ac:dyDescent="0.2">
      <c r="A2394" s="1" t="s">
        <v>18</v>
      </c>
      <c r="B2394" s="1" t="s">
        <v>2243</v>
      </c>
      <c r="C2394" s="1" t="str">
        <f>"RC028-ROJO"</f>
        <v>RC028-ROJO</v>
      </c>
      <c r="D2394" s="1" t="str">
        <f>"RC028-ROJO"</f>
        <v>RC028-ROJO</v>
      </c>
      <c r="E2394" s="1" t="s">
        <v>17</v>
      </c>
      <c r="F2394" s="1">
        <v>3</v>
      </c>
      <c r="G2394" s="1">
        <v>8091</v>
      </c>
      <c r="H2394" s="1">
        <v>24273</v>
      </c>
      <c r="I2394" s="1">
        <v>0</v>
      </c>
      <c r="J2394" s="1">
        <v>3</v>
      </c>
      <c r="K2394" s="1">
        <v>0</v>
      </c>
    </row>
    <row r="2395" spans="1:11" x14ac:dyDescent="0.2">
      <c r="A2395" s="1" t="s">
        <v>18</v>
      </c>
      <c r="B2395" s="1" t="s">
        <v>2244</v>
      </c>
      <c r="C2395" s="1" t="str">
        <f>"66298888281286"</f>
        <v>66298888281286</v>
      </c>
      <c r="D2395" s="1" t="str">
        <f>"RC061"</f>
        <v>RC061</v>
      </c>
      <c r="E2395" s="1" t="s">
        <v>17</v>
      </c>
      <c r="F2395" s="1">
        <v>6</v>
      </c>
      <c r="G2395" s="1">
        <v>5382</v>
      </c>
      <c r="H2395" s="1">
        <v>32292</v>
      </c>
      <c r="I2395" s="1">
        <v>0</v>
      </c>
      <c r="J2395" s="1">
        <v>6</v>
      </c>
      <c r="K2395" s="1">
        <v>0</v>
      </c>
    </row>
    <row r="2396" spans="1:11" x14ac:dyDescent="0.2">
      <c r="A2396" s="1" t="s">
        <v>18</v>
      </c>
      <c r="B2396" s="1" t="s">
        <v>2245</v>
      </c>
      <c r="C2396" s="1" t="str">
        <f>"810"</f>
        <v>810</v>
      </c>
      <c r="D2396" s="1" t="str">
        <f>"810"</f>
        <v>810</v>
      </c>
      <c r="E2396" s="1" t="s">
        <v>17</v>
      </c>
      <c r="F2396" s="1">
        <v>10</v>
      </c>
      <c r="G2396" s="1">
        <v>4832</v>
      </c>
      <c r="H2396" s="1">
        <v>48320</v>
      </c>
      <c r="I2396" s="1">
        <v>0</v>
      </c>
      <c r="J2396" s="1">
        <v>10</v>
      </c>
      <c r="K2396" s="1">
        <v>0</v>
      </c>
    </row>
    <row r="2397" spans="1:11" x14ac:dyDescent="0.2">
      <c r="A2397" s="1" t="s">
        <v>18</v>
      </c>
      <c r="B2397" s="1" t="s">
        <v>2245</v>
      </c>
      <c r="C2397" s="1" t="str">
        <f>"10822"</f>
        <v>10822</v>
      </c>
      <c r="D2397" s="1" t="str">
        <f>"10822"</f>
        <v>10822</v>
      </c>
      <c r="E2397" s="1" t="s">
        <v>17</v>
      </c>
      <c r="F2397" s="1">
        <v>12</v>
      </c>
      <c r="G2397" s="1">
        <v>4936.5</v>
      </c>
      <c r="H2397" s="1">
        <v>59238</v>
      </c>
      <c r="I2397" s="1">
        <v>0</v>
      </c>
      <c r="J2397" s="1">
        <v>12</v>
      </c>
      <c r="K2397" s="1">
        <v>0</v>
      </c>
    </row>
    <row r="2398" spans="1:11" x14ac:dyDescent="0.2">
      <c r="A2398" s="1" t="s">
        <v>18</v>
      </c>
      <c r="B2398" s="1" t="s">
        <v>2245</v>
      </c>
      <c r="C2398" s="1" t="str">
        <f>"15794"</f>
        <v>15794</v>
      </c>
      <c r="D2398" s="1" t="str">
        <f>"15794"</f>
        <v>15794</v>
      </c>
      <c r="E2398" s="1" t="s">
        <v>17</v>
      </c>
      <c r="F2398" s="1">
        <v>6</v>
      </c>
      <c r="G2398" s="1">
        <v>8255.5</v>
      </c>
      <c r="H2398" s="1">
        <v>49533</v>
      </c>
      <c r="I2398" s="1">
        <v>0</v>
      </c>
      <c r="J2398" s="1">
        <v>6</v>
      </c>
      <c r="K2398" s="1">
        <v>0</v>
      </c>
    </row>
    <row r="2399" spans="1:11" x14ac:dyDescent="0.2">
      <c r="A2399" s="1" t="s">
        <v>2246</v>
      </c>
      <c r="B2399" s="1" t="s">
        <v>2247</v>
      </c>
      <c r="C2399" s="1" t="str">
        <f>"66298888407412"</f>
        <v>66298888407412</v>
      </c>
      <c r="D2399" s="1" t="str">
        <f>"DM-F-00019"</f>
        <v>DM-F-00019</v>
      </c>
      <c r="E2399" s="1" t="s">
        <v>17</v>
      </c>
      <c r="F2399" s="1">
        <v>1</v>
      </c>
      <c r="G2399" s="1">
        <v>4747</v>
      </c>
      <c r="H2399" s="1">
        <v>4747</v>
      </c>
      <c r="I2399" s="1">
        <v>0</v>
      </c>
      <c r="J2399" s="1">
        <v>1</v>
      </c>
      <c r="K2399" s="1">
        <v>0</v>
      </c>
    </row>
    <row r="2400" spans="1:11" x14ac:dyDescent="0.2">
      <c r="A2400" s="1" t="s">
        <v>2246</v>
      </c>
      <c r="B2400" s="1" t="s">
        <v>2248</v>
      </c>
      <c r="C2400" s="1" t="str">
        <f>"66298888449922"</f>
        <v>66298888449922</v>
      </c>
      <c r="D2400" s="1" t="str">
        <f>"DM-F-00005"</f>
        <v>DM-F-00005</v>
      </c>
      <c r="E2400" s="1" t="s">
        <v>17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</row>
    <row r="2401" spans="1:11" x14ac:dyDescent="0.2">
      <c r="A2401" s="1" t="s">
        <v>2246</v>
      </c>
      <c r="B2401" s="1" t="s">
        <v>2249</v>
      </c>
      <c r="C2401" s="1" t="str">
        <f>"66298888527964"</f>
        <v>66298888527964</v>
      </c>
      <c r="D2401" s="1" t="str">
        <f>"33120-K52-901GH"</f>
        <v>33120-K52-901GH</v>
      </c>
      <c r="E2401" s="1" t="s">
        <v>17</v>
      </c>
      <c r="F2401" s="1">
        <v>4</v>
      </c>
      <c r="G2401" s="1">
        <v>36039</v>
      </c>
      <c r="H2401" s="1">
        <v>144156</v>
      </c>
      <c r="I2401" s="1">
        <v>0</v>
      </c>
      <c r="J2401" s="1">
        <v>4</v>
      </c>
      <c r="K2401" s="1">
        <v>0</v>
      </c>
    </row>
    <row r="2402" spans="1:11" x14ac:dyDescent="0.2">
      <c r="A2402" s="1" t="s">
        <v>2246</v>
      </c>
      <c r="B2402" s="1" t="s">
        <v>2250</v>
      </c>
      <c r="C2402" s="1" t="str">
        <f>"P055"</f>
        <v>P055</v>
      </c>
      <c r="D2402" s="1" t="str">
        <f>"P055"</f>
        <v>P055</v>
      </c>
      <c r="E2402" s="1" t="s">
        <v>17</v>
      </c>
      <c r="F2402" s="1">
        <v>5</v>
      </c>
      <c r="G2402" s="1">
        <v>12104.96</v>
      </c>
      <c r="H2402" s="1">
        <v>60525</v>
      </c>
      <c r="I2402" s="1">
        <v>0</v>
      </c>
      <c r="J2402" s="1">
        <v>5</v>
      </c>
      <c r="K2402" s="1">
        <v>0</v>
      </c>
    </row>
    <row r="2403" spans="1:11" x14ac:dyDescent="0.2">
      <c r="A2403" s="1" t="s">
        <v>2246</v>
      </c>
      <c r="B2403" s="1" t="s">
        <v>2251</v>
      </c>
      <c r="C2403" s="1" t="str">
        <f>"66298888570151"</f>
        <v>66298888570151</v>
      </c>
      <c r="D2403" s="1" t="str">
        <f>"85124"</f>
        <v>85124</v>
      </c>
      <c r="E2403" s="1" t="s">
        <v>17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</row>
    <row r="2404" spans="1:11" x14ac:dyDescent="0.2">
      <c r="A2404" s="1" t="s">
        <v>2246</v>
      </c>
      <c r="B2404" s="1" t="s">
        <v>2251</v>
      </c>
      <c r="C2404" s="1" t="str">
        <f>"66298888576322"</f>
        <v>66298888576322</v>
      </c>
      <c r="D2404" s="1" t="str">
        <f>"P038"</f>
        <v>P038</v>
      </c>
      <c r="E2404" s="1" t="s">
        <v>17</v>
      </c>
      <c r="F2404" s="1">
        <v>1</v>
      </c>
      <c r="G2404" s="1">
        <v>58776</v>
      </c>
      <c r="H2404" s="1">
        <v>58776</v>
      </c>
      <c r="I2404" s="1">
        <v>0</v>
      </c>
      <c r="J2404" s="1">
        <v>1</v>
      </c>
      <c r="K2404" s="1">
        <v>0</v>
      </c>
    </row>
    <row r="2405" spans="1:11" x14ac:dyDescent="0.2">
      <c r="A2405" s="1" t="s">
        <v>2246</v>
      </c>
      <c r="B2405" s="1" t="s">
        <v>2252</v>
      </c>
      <c r="C2405" s="1" t="str">
        <f>"66298888789411"</f>
        <v>66298888789411</v>
      </c>
      <c r="D2405" s="1" t="str">
        <f>"P044"</f>
        <v>P044</v>
      </c>
      <c r="E2405" s="1" t="s">
        <v>17</v>
      </c>
      <c r="F2405" s="1">
        <v>1</v>
      </c>
      <c r="G2405" s="1">
        <v>24588</v>
      </c>
      <c r="H2405" s="1">
        <v>24588</v>
      </c>
      <c r="I2405" s="1">
        <v>0</v>
      </c>
      <c r="J2405" s="1">
        <v>1</v>
      </c>
      <c r="K2405" s="1">
        <v>0</v>
      </c>
    </row>
    <row r="2406" spans="1:11" x14ac:dyDescent="0.2">
      <c r="A2406" s="1" t="s">
        <v>2246</v>
      </c>
      <c r="B2406" s="1" t="s">
        <v>2253</v>
      </c>
      <c r="C2406" s="1" t="str">
        <f>"66298888488761"</f>
        <v>66298888488761</v>
      </c>
      <c r="D2406" s="1" t="str">
        <f>"P037"</f>
        <v>P037</v>
      </c>
      <c r="E2406" s="1" t="s">
        <v>17</v>
      </c>
      <c r="F2406" s="1">
        <v>2</v>
      </c>
      <c r="G2406" s="1">
        <v>10761</v>
      </c>
      <c r="H2406" s="1">
        <v>21522</v>
      </c>
      <c r="I2406" s="1">
        <v>0</v>
      </c>
      <c r="J2406" s="1">
        <v>2</v>
      </c>
      <c r="K2406" s="1">
        <v>0</v>
      </c>
    </row>
    <row r="2407" spans="1:11" x14ac:dyDescent="0.2">
      <c r="A2407" s="1" t="s">
        <v>2246</v>
      </c>
      <c r="B2407" s="1" t="s">
        <v>2254</v>
      </c>
      <c r="C2407" s="1" t="str">
        <f>"7838-NEGRO"</f>
        <v>7838-NEGRO</v>
      </c>
      <c r="D2407" s="1" t="str">
        <f>"7838-NEGRO"</f>
        <v>7838-NEGRO</v>
      </c>
      <c r="E2407" s="1" t="s">
        <v>17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</row>
    <row r="2408" spans="1:11" x14ac:dyDescent="0.2">
      <c r="A2408" s="1" t="s">
        <v>2246</v>
      </c>
      <c r="B2408" s="1" t="s">
        <v>2255</v>
      </c>
      <c r="C2408" s="1" t="str">
        <f>"66298888663811"</f>
        <v>66298888663811</v>
      </c>
      <c r="D2408" s="1" t="str">
        <f>"P024"</f>
        <v>P024</v>
      </c>
      <c r="E2408" s="1" t="s">
        <v>17</v>
      </c>
      <c r="F2408" s="1">
        <v>2</v>
      </c>
      <c r="G2408" s="1">
        <v>12574</v>
      </c>
      <c r="H2408" s="1">
        <v>25148</v>
      </c>
      <c r="I2408" s="1">
        <v>0</v>
      </c>
      <c r="J2408" s="1">
        <v>2</v>
      </c>
      <c r="K2408" s="1">
        <v>0</v>
      </c>
    </row>
    <row r="2409" spans="1:11" x14ac:dyDescent="0.2">
      <c r="A2409" s="1" t="s">
        <v>2246</v>
      </c>
      <c r="B2409" s="1" t="s">
        <v>2256</v>
      </c>
      <c r="C2409" s="1" t="str">
        <f>"66298888708994"</f>
        <v>66298888708994</v>
      </c>
      <c r="D2409" s="1" t="str">
        <f>"P023"</f>
        <v>P023</v>
      </c>
      <c r="E2409" s="1" t="s">
        <v>17</v>
      </c>
      <c r="F2409" s="1">
        <v>4</v>
      </c>
      <c r="G2409" s="1">
        <v>12927</v>
      </c>
      <c r="H2409" s="1">
        <v>51708</v>
      </c>
      <c r="I2409" s="1">
        <v>0</v>
      </c>
      <c r="J2409" s="1">
        <v>4</v>
      </c>
      <c r="K2409" s="1">
        <v>0</v>
      </c>
    </row>
    <row r="2410" spans="1:11" x14ac:dyDescent="0.2">
      <c r="A2410" s="1" t="s">
        <v>2246</v>
      </c>
      <c r="B2410" s="1" t="s">
        <v>2257</v>
      </c>
      <c r="C2410" s="1" t="str">
        <f>"66298888747918"</f>
        <v>66298888747918</v>
      </c>
      <c r="D2410" s="1" t="str">
        <f>"P045"</f>
        <v>P045</v>
      </c>
      <c r="E2410" s="1" t="s">
        <v>17</v>
      </c>
      <c r="F2410" s="1">
        <v>1</v>
      </c>
      <c r="G2410" s="1">
        <v>15183</v>
      </c>
      <c r="H2410" s="1">
        <v>15183</v>
      </c>
      <c r="I2410" s="1">
        <v>0</v>
      </c>
      <c r="J2410" s="1">
        <v>1</v>
      </c>
      <c r="K2410" s="1">
        <v>0</v>
      </c>
    </row>
    <row r="2411" spans="1:11" x14ac:dyDescent="0.2">
      <c r="A2411" s="1" t="s">
        <v>2246</v>
      </c>
      <c r="B2411" s="1" t="s">
        <v>2258</v>
      </c>
      <c r="C2411" s="1" t="str">
        <f>"66298888833364"</f>
        <v>66298888833364</v>
      </c>
      <c r="D2411" s="1" t="str">
        <f>"P019"</f>
        <v>P019</v>
      </c>
      <c r="E2411" s="1" t="s">
        <v>17</v>
      </c>
      <c r="F2411" s="1">
        <v>1</v>
      </c>
      <c r="G2411" s="1">
        <v>21929</v>
      </c>
      <c r="H2411" s="1">
        <v>21929</v>
      </c>
      <c r="I2411" s="1">
        <v>0</v>
      </c>
      <c r="J2411" s="1">
        <v>1</v>
      </c>
      <c r="K2411" s="1">
        <v>0</v>
      </c>
    </row>
    <row r="2412" spans="1:11" x14ac:dyDescent="0.2">
      <c r="A2412" s="1" t="s">
        <v>2246</v>
      </c>
      <c r="B2412" s="1" t="s">
        <v>2259</v>
      </c>
      <c r="C2412" s="1" t="str">
        <f>"P025"</f>
        <v>P025</v>
      </c>
      <c r="D2412" s="1" t="str">
        <f>"P025"</f>
        <v>P025</v>
      </c>
      <c r="E2412" s="1" t="s">
        <v>17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</row>
    <row r="2413" spans="1:11" x14ac:dyDescent="0.2">
      <c r="A2413" s="1" t="s">
        <v>2246</v>
      </c>
      <c r="B2413" s="1" t="s">
        <v>2260</v>
      </c>
      <c r="C2413" s="1" t="str">
        <f>"66298888872457"</f>
        <v>66298888872457</v>
      </c>
      <c r="D2413" s="1" t="str">
        <f>"P039"</f>
        <v>P039</v>
      </c>
      <c r="E2413" s="1" t="s">
        <v>17</v>
      </c>
      <c r="F2413" s="1">
        <v>3</v>
      </c>
      <c r="G2413" s="1">
        <v>6389</v>
      </c>
      <c r="H2413" s="1">
        <v>19167</v>
      </c>
      <c r="I2413" s="1">
        <v>0</v>
      </c>
      <c r="J2413" s="1">
        <v>3</v>
      </c>
      <c r="K2413" s="1">
        <v>0</v>
      </c>
    </row>
    <row r="2414" spans="1:11" x14ac:dyDescent="0.2">
      <c r="A2414" s="1" t="s">
        <v>2246</v>
      </c>
      <c r="B2414" s="1" t="s">
        <v>2261</v>
      </c>
      <c r="C2414" s="1" t="str">
        <f>"66298888909051"</f>
        <v>66298888909051</v>
      </c>
      <c r="D2414" s="1" t="str">
        <f>"U029"</f>
        <v>U029</v>
      </c>
      <c r="E2414" s="1" t="s">
        <v>17</v>
      </c>
      <c r="F2414" s="1">
        <v>1</v>
      </c>
      <c r="G2414" s="1">
        <v>8260</v>
      </c>
      <c r="H2414" s="1">
        <v>8260</v>
      </c>
      <c r="I2414" s="1">
        <v>0</v>
      </c>
      <c r="J2414" s="1">
        <v>1</v>
      </c>
      <c r="K2414" s="1">
        <v>0</v>
      </c>
    </row>
    <row r="2415" spans="1:11" x14ac:dyDescent="0.2">
      <c r="A2415" s="1" t="s">
        <v>2246</v>
      </c>
      <c r="B2415" s="1" t="s">
        <v>2262</v>
      </c>
      <c r="C2415" s="1" t="str">
        <f>"P022"</f>
        <v>P022</v>
      </c>
      <c r="D2415" s="1" t="str">
        <f>"P022"</f>
        <v>P022</v>
      </c>
      <c r="E2415" s="1" t="s">
        <v>17</v>
      </c>
      <c r="F2415" s="1">
        <v>2</v>
      </c>
      <c r="G2415" s="1">
        <v>9827.9599999999991</v>
      </c>
      <c r="H2415" s="1">
        <v>19656</v>
      </c>
      <c r="I2415" s="1">
        <v>0</v>
      </c>
      <c r="J2415" s="1">
        <v>2</v>
      </c>
      <c r="K2415" s="1">
        <v>0</v>
      </c>
    </row>
    <row r="2416" spans="1:11" x14ac:dyDescent="0.2">
      <c r="A2416" s="1" t="s">
        <v>2246</v>
      </c>
      <c r="B2416" s="1" t="s">
        <v>2263</v>
      </c>
      <c r="C2416" s="1" t="str">
        <f>"7804-ROJO"</f>
        <v>7804-ROJO</v>
      </c>
      <c r="D2416" s="1" t="str">
        <f>"7804-ROJO"</f>
        <v>7804-ROJO</v>
      </c>
      <c r="E2416" s="1" t="s">
        <v>17</v>
      </c>
      <c r="F2416" s="1">
        <v>1</v>
      </c>
      <c r="G2416" s="1">
        <v>19356.3</v>
      </c>
      <c r="H2416" s="1">
        <v>19356</v>
      </c>
      <c r="I2416" s="1">
        <v>0</v>
      </c>
      <c r="J2416" s="1">
        <v>1</v>
      </c>
      <c r="K2416" s="1">
        <v>0</v>
      </c>
    </row>
    <row r="2417" spans="1:11" x14ac:dyDescent="0.2">
      <c r="A2417" s="1" t="s">
        <v>2246</v>
      </c>
      <c r="B2417" s="1" t="s">
        <v>2264</v>
      </c>
      <c r="C2417" s="1" t="str">
        <f>"P007"</f>
        <v>P007</v>
      </c>
      <c r="D2417" s="1" t="str">
        <f>"P007"</f>
        <v>P007</v>
      </c>
      <c r="E2417" s="1" t="s">
        <v>17</v>
      </c>
      <c r="F2417" s="1">
        <v>3</v>
      </c>
      <c r="G2417" s="1">
        <v>9387.01</v>
      </c>
      <c r="H2417" s="1">
        <v>28161</v>
      </c>
      <c r="I2417" s="1">
        <v>0</v>
      </c>
      <c r="J2417" s="1">
        <v>3</v>
      </c>
      <c r="K2417" s="1">
        <v>0</v>
      </c>
    </row>
    <row r="2418" spans="1:11" x14ac:dyDescent="0.2">
      <c r="A2418" s="1" t="s">
        <v>2246</v>
      </c>
      <c r="B2418" s="1" t="s">
        <v>2265</v>
      </c>
      <c r="C2418" s="1" t="str">
        <f>"66298888990840"</f>
        <v>66298888990840</v>
      </c>
      <c r="D2418" s="1" t="str">
        <f>"P041"</f>
        <v>P041</v>
      </c>
      <c r="E2418" s="1" t="s">
        <v>17</v>
      </c>
      <c r="F2418" s="1">
        <v>3</v>
      </c>
      <c r="G2418" s="1">
        <v>66185.83</v>
      </c>
      <c r="H2418" s="1">
        <v>198558</v>
      </c>
      <c r="I2418" s="1">
        <v>0</v>
      </c>
      <c r="J2418" s="1">
        <v>3</v>
      </c>
      <c r="K2418" s="1">
        <v>0</v>
      </c>
    </row>
    <row r="2419" spans="1:11" x14ac:dyDescent="0.2">
      <c r="A2419" s="1" t="s">
        <v>2246</v>
      </c>
      <c r="B2419" s="1" t="s">
        <v>2266</v>
      </c>
      <c r="C2419" s="1" t="str">
        <f>"66298888951389"</f>
        <v>66298888951389</v>
      </c>
      <c r="D2419" s="1" t="str">
        <f>"P042"</f>
        <v>P042</v>
      </c>
      <c r="E2419" s="1" t="s">
        <v>17</v>
      </c>
      <c r="F2419" s="1">
        <v>2</v>
      </c>
      <c r="G2419" s="1">
        <v>46407</v>
      </c>
      <c r="H2419" s="1">
        <v>92814</v>
      </c>
      <c r="I2419" s="1">
        <v>0</v>
      </c>
      <c r="J2419" s="1">
        <v>2</v>
      </c>
      <c r="K2419" s="1">
        <v>0</v>
      </c>
    </row>
    <row r="2420" spans="1:11" x14ac:dyDescent="0.2">
      <c r="A2420" s="1" t="s">
        <v>2246</v>
      </c>
      <c r="B2420" s="1" t="s">
        <v>2267</v>
      </c>
      <c r="C2420" s="1" t="str">
        <f>"66298889028530"</f>
        <v>66298889028530</v>
      </c>
      <c r="D2420" s="1" t="str">
        <f>"P040"</f>
        <v>P040</v>
      </c>
      <c r="E2420" s="1" t="s">
        <v>17</v>
      </c>
      <c r="F2420" s="1">
        <v>3</v>
      </c>
      <c r="G2420" s="1">
        <v>13876</v>
      </c>
      <c r="H2420" s="1">
        <v>41628</v>
      </c>
      <c r="I2420" s="1">
        <v>0</v>
      </c>
      <c r="J2420" s="1">
        <v>3</v>
      </c>
      <c r="K2420" s="1">
        <v>0</v>
      </c>
    </row>
    <row r="2421" spans="1:11" x14ac:dyDescent="0.2">
      <c r="A2421" s="1" t="s">
        <v>2246</v>
      </c>
      <c r="B2421" s="1" t="s">
        <v>2267</v>
      </c>
      <c r="C2421" s="1" t="str">
        <f>"P046"</f>
        <v>P046</v>
      </c>
      <c r="D2421" s="1" t="str">
        <f>"P046"</f>
        <v>P046</v>
      </c>
      <c r="E2421" s="1" t="s">
        <v>17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</row>
    <row r="2422" spans="1:11" x14ac:dyDescent="0.2">
      <c r="A2422" s="1" t="s">
        <v>2246</v>
      </c>
      <c r="B2422" s="1" t="s">
        <v>2268</v>
      </c>
      <c r="C2422" s="1" t="str">
        <f>"P004"</f>
        <v>P004</v>
      </c>
      <c r="D2422" s="1" t="str">
        <f>"P004"</f>
        <v>P004</v>
      </c>
      <c r="E2422" s="1" t="s">
        <v>17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</row>
    <row r="2423" spans="1:11" x14ac:dyDescent="0.2">
      <c r="A2423" s="1" t="s">
        <v>2246</v>
      </c>
      <c r="B2423" s="1" t="s">
        <v>2268</v>
      </c>
      <c r="C2423" s="1" t="str">
        <f>"408"</f>
        <v>408</v>
      </c>
      <c r="D2423" s="1" t="str">
        <f>"408"</f>
        <v>408</v>
      </c>
      <c r="E2423" s="1" t="s">
        <v>17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</row>
    <row r="2424" spans="1:11" x14ac:dyDescent="0.2">
      <c r="A2424" s="1" t="s">
        <v>2246</v>
      </c>
      <c r="B2424" s="1" t="s">
        <v>2269</v>
      </c>
      <c r="C2424" s="1" t="str">
        <f>"66298889069320"</f>
        <v>66298889069320</v>
      </c>
      <c r="D2424" s="1" t="str">
        <f>"P002"</f>
        <v>P002</v>
      </c>
      <c r="E2424" s="1" t="s">
        <v>17</v>
      </c>
      <c r="F2424" s="1">
        <v>1</v>
      </c>
      <c r="G2424" s="1">
        <v>6061</v>
      </c>
      <c r="H2424" s="1">
        <v>6061</v>
      </c>
      <c r="I2424" s="1">
        <v>0</v>
      </c>
      <c r="J2424" s="1">
        <v>1</v>
      </c>
      <c r="K2424" s="1">
        <v>0</v>
      </c>
    </row>
    <row r="2425" spans="1:11" x14ac:dyDescent="0.2">
      <c r="A2425" s="1" t="s">
        <v>2246</v>
      </c>
      <c r="B2425" s="1" t="s">
        <v>2270</v>
      </c>
      <c r="C2425" s="1" t="str">
        <f>"66298889114066"</f>
        <v>66298889114066</v>
      </c>
      <c r="D2425" s="1" t="str">
        <f>"P085"</f>
        <v>P085</v>
      </c>
      <c r="E2425" s="1" t="s">
        <v>17</v>
      </c>
      <c r="F2425" s="1">
        <v>8</v>
      </c>
      <c r="G2425" s="1">
        <v>18702</v>
      </c>
      <c r="H2425" s="1">
        <v>149616</v>
      </c>
      <c r="I2425" s="1">
        <v>0</v>
      </c>
      <c r="J2425" s="1">
        <v>8</v>
      </c>
      <c r="K2425" s="1">
        <v>0</v>
      </c>
    </row>
    <row r="2426" spans="1:11" x14ac:dyDescent="0.2">
      <c r="A2426" s="1" t="s">
        <v>2246</v>
      </c>
      <c r="B2426" s="1" t="s">
        <v>2271</v>
      </c>
      <c r="C2426" s="1" t="str">
        <f>"35100H2C000H000"</f>
        <v>35100H2C000H000</v>
      </c>
      <c r="D2426" s="1" t="str">
        <f>"35100H2C000H000"</f>
        <v>35100H2C000H000</v>
      </c>
      <c r="E2426" s="1" t="s">
        <v>17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</row>
    <row r="2427" spans="1:11" x14ac:dyDescent="0.2">
      <c r="A2427" s="1" t="s">
        <v>2246</v>
      </c>
      <c r="B2427" s="1" t="s">
        <v>2272</v>
      </c>
      <c r="C2427" s="1" t="str">
        <f>"P081-NEGRO"</f>
        <v>P081-NEGRO</v>
      </c>
      <c r="D2427" s="1" t="str">
        <f>"P081-NEGRO"</f>
        <v>P081-NEGRO</v>
      </c>
      <c r="E2427" s="1" t="s">
        <v>17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</row>
    <row r="2428" spans="1:11" x14ac:dyDescent="0.2">
      <c r="A2428" s="1" t="s">
        <v>2246</v>
      </c>
      <c r="B2428" s="1" t="s">
        <v>2273</v>
      </c>
      <c r="C2428" s="1" t="str">
        <f>"66298889154040"</f>
        <v>66298889154040</v>
      </c>
      <c r="D2428" s="1" t="str">
        <f>"E002-2"</f>
        <v>E002-2</v>
      </c>
      <c r="E2428" s="1" t="s">
        <v>17</v>
      </c>
      <c r="F2428" s="1">
        <v>1</v>
      </c>
      <c r="G2428" s="1">
        <v>4750</v>
      </c>
      <c r="H2428" s="1">
        <v>4750</v>
      </c>
      <c r="I2428" s="1">
        <v>0</v>
      </c>
      <c r="J2428" s="1">
        <v>1</v>
      </c>
      <c r="K2428" s="1">
        <v>0</v>
      </c>
    </row>
    <row r="2429" spans="1:11" x14ac:dyDescent="0.2">
      <c r="A2429" s="1" t="s">
        <v>2246</v>
      </c>
      <c r="B2429" s="1" t="s">
        <v>2274</v>
      </c>
      <c r="C2429" s="1" t="str">
        <f>"P092-BLANCO"</f>
        <v>P092-BLANCO</v>
      </c>
      <c r="D2429" s="1" t="str">
        <f>"P092-BLANCO"</f>
        <v>P092-BLANCO</v>
      </c>
      <c r="E2429" s="1" t="s">
        <v>17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</row>
    <row r="2430" spans="1:11" x14ac:dyDescent="0.2">
      <c r="A2430" s="1" t="s">
        <v>2246</v>
      </c>
      <c r="B2430" s="1" t="s">
        <v>2275</v>
      </c>
      <c r="C2430" s="1" t="str">
        <f>"66298889196220"</f>
        <v>66298889196220</v>
      </c>
      <c r="D2430" s="1" t="str">
        <f>"35100H40100H000"</f>
        <v>35100H40100H000</v>
      </c>
      <c r="E2430" s="1" t="s">
        <v>17</v>
      </c>
      <c r="F2430" s="1">
        <v>2</v>
      </c>
      <c r="G2430" s="1">
        <v>30307.01</v>
      </c>
      <c r="H2430" s="1">
        <v>60614</v>
      </c>
      <c r="I2430" s="1">
        <v>0</v>
      </c>
      <c r="J2430" s="1">
        <v>2</v>
      </c>
      <c r="K2430" s="1">
        <v>0</v>
      </c>
    </row>
    <row r="2431" spans="1:11" x14ac:dyDescent="0.2">
      <c r="A2431" s="1" t="s">
        <v>2246</v>
      </c>
      <c r="B2431" s="1" t="s">
        <v>2276</v>
      </c>
      <c r="C2431" s="1" t="str">
        <f>"P003"</f>
        <v>P003</v>
      </c>
      <c r="D2431" s="1" t="str">
        <f>"P003"</f>
        <v>P003</v>
      </c>
      <c r="E2431" s="1" t="s">
        <v>17</v>
      </c>
      <c r="F2431" s="1">
        <v>2</v>
      </c>
      <c r="G2431" s="1">
        <v>15245.94</v>
      </c>
      <c r="H2431" s="1">
        <v>30492</v>
      </c>
      <c r="I2431" s="1">
        <v>0</v>
      </c>
      <c r="J2431" s="1">
        <v>2</v>
      </c>
      <c r="K2431" s="1">
        <v>0</v>
      </c>
    </row>
    <row r="2432" spans="1:11" x14ac:dyDescent="0.2">
      <c r="A2432" s="1" t="s">
        <v>2246</v>
      </c>
      <c r="B2432" s="1" t="s">
        <v>2277</v>
      </c>
      <c r="C2432" s="1" t="str">
        <f>"66298889236102"</f>
        <v>66298889236102</v>
      </c>
      <c r="D2432" s="1" t="str">
        <f>"P074"</f>
        <v>P074</v>
      </c>
      <c r="E2432" s="1" t="s">
        <v>17</v>
      </c>
      <c r="F2432" s="1">
        <v>5</v>
      </c>
      <c r="G2432" s="1">
        <v>14652</v>
      </c>
      <c r="H2432" s="1">
        <v>73260</v>
      </c>
      <c r="I2432" s="1">
        <v>0</v>
      </c>
      <c r="J2432" s="1">
        <v>5</v>
      </c>
      <c r="K2432" s="1">
        <v>0</v>
      </c>
    </row>
    <row r="2433" spans="1:11" x14ac:dyDescent="0.2">
      <c r="A2433" s="1" t="s">
        <v>2246</v>
      </c>
      <c r="B2433" s="1" t="s">
        <v>2278</v>
      </c>
      <c r="C2433" s="1" t="str">
        <f>"P047"</f>
        <v>P047</v>
      </c>
      <c r="D2433" s="1" t="str">
        <f>"P047"</f>
        <v>P047</v>
      </c>
      <c r="E2433" s="1" t="s">
        <v>17</v>
      </c>
      <c r="F2433" s="1">
        <v>1</v>
      </c>
      <c r="G2433" s="1">
        <v>20671.21</v>
      </c>
      <c r="H2433" s="1">
        <v>20671</v>
      </c>
      <c r="I2433" s="1">
        <v>0</v>
      </c>
      <c r="J2433" s="1">
        <v>1</v>
      </c>
      <c r="K2433" s="1">
        <v>0</v>
      </c>
    </row>
    <row r="2434" spans="1:11" x14ac:dyDescent="0.2">
      <c r="A2434" s="1" t="s">
        <v>2246</v>
      </c>
      <c r="B2434" s="1" t="s">
        <v>2279</v>
      </c>
      <c r="C2434" s="1" t="str">
        <f>"33100-051-690"</f>
        <v>33100-051-690</v>
      </c>
      <c r="D2434" s="1" t="str">
        <f>"33100-051-690"</f>
        <v>33100-051-690</v>
      </c>
      <c r="E2434" s="1" t="s">
        <v>17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</row>
    <row r="2435" spans="1:11" x14ac:dyDescent="0.2">
      <c r="A2435" s="1" t="s">
        <v>2246</v>
      </c>
      <c r="B2435" s="1" t="s">
        <v>2280</v>
      </c>
      <c r="C2435" s="1" t="str">
        <f>"66298889280939"</f>
        <v>66298889280939</v>
      </c>
      <c r="D2435" s="1" t="str">
        <f>"P049"</f>
        <v>P049</v>
      </c>
      <c r="E2435" s="1" t="s">
        <v>17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</row>
    <row r="2436" spans="1:11" x14ac:dyDescent="0.2">
      <c r="A2436" s="1" t="s">
        <v>2246</v>
      </c>
      <c r="B2436" s="1" t="s">
        <v>2281</v>
      </c>
      <c r="C2436" s="1" t="str">
        <f>"P001"</f>
        <v>P001</v>
      </c>
      <c r="D2436" s="1" t="str">
        <f>"P001"</f>
        <v>P001</v>
      </c>
      <c r="E2436" s="1" t="s">
        <v>17</v>
      </c>
      <c r="F2436" s="1">
        <v>1</v>
      </c>
      <c r="G2436" s="1">
        <v>10107</v>
      </c>
      <c r="H2436" s="1">
        <v>10107</v>
      </c>
      <c r="I2436" s="1">
        <v>0</v>
      </c>
      <c r="J2436" s="1">
        <v>1</v>
      </c>
      <c r="K2436" s="1">
        <v>0</v>
      </c>
    </row>
    <row r="2437" spans="1:11" x14ac:dyDescent="0.2">
      <c r="A2437" s="1" t="s">
        <v>2246</v>
      </c>
      <c r="B2437" s="1" t="s">
        <v>2282</v>
      </c>
      <c r="C2437" s="1" t="str">
        <f>"FOCO-CR-UNIV"</f>
        <v>FOCO-CR-UNIV</v>
      </c>
      <c r="D2437" s="1" t="str">
        <f>"FOCO-CR-UNIV"</f>
        <v>FOCO-CR-UNIV</v>
      </c>
      <c r="E2437" s="1" t="s">
        <v>17</v>
      </c>
      <c r="F2437" s="1">
        <v>2</v>
      </c>
      <c r="G2437" s="1">
        <v>4950</v>
      </c>
      <c r="H2437" s="1">
        <v>9900</v>
      </c>
      <c r="I2437" s="1">
        <v>0</v>
      </c>
      <c r="J2437" s="1">
        <v>2</v>
      </c>
      <c r="K2437" s="1">
        <v>0</v>
      </c>
    </row>
    <row r="2438" spans="1:11" x14ac:dyDescent="0.2">
      <c r="A2438" s="1" t="s">
        <v>2246</v>
      </c>
      <c r="B2438" s="1" t="s">
        <v>2283</v>
      </c>
      <c r="C2438" s="1" t="str">
        <f>"66298889320865"</f>
        <v>66298889320865</v>
      </c>
      <c r="D2438" s="1" t="str">
        <f>"33100-KSH-920"</f>
        <v>33100-KSH-920</v>
      </c>
      <c r="E2438" s="1" t="s">
        <v>17</v>
      </c>
      <c r="F2438" s="1">
        <v>1</v>
      </c>
      <c r="G2438" s="1">
        <v>32076</v>
      </c>
      <c r="H2438" s="1">
        <v>32076</v>
      </c>
      <c r="I2438" s="1">
        <v>0</v>
      </c>
      <c r="J2438" s="1">
        <v>1</v>
      </c>
      <c r="K2438" s="1">
        <v>0</v>
      </c>
    </row>
    <row r="2439" spans="1:11" x14ac:dyDescent="0.2">
      <c r="A2439" s="1" t="s">
        <v>2246</v>
      </c>
      <c r="B2439" s="1" t="s">
        <v>2283</v>
      </c>
      <c r="C2439" s="1" t="str">
        <f>"410"</f>
        <v>410</v>
      </c>
      <c r="D2439" s="1" t="str">
        <f>"410"</f>
        <v>410</v>
      </c>
      <c r="E2439" s="1" t="s">
        <v>17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</row>
    <row r="2440" spans="1:11" x14ac:dyDescent="0.2">
      <c r="A2440" s="1" t="s">
        <v>2246</v>
      </c>
      <c r="B2440" s="1" t="s">
        <v>2284</v>
      </c>
      <c r="C2440" s="1" t="str">
        <f>"66298889357891"</f>
        <v>66298889357891</v>
      </c>
      <c r="D2440" s="1" t="str">
        <f>"P021"</f>
        <v>P021</v>
      </c>
      <c r="E2440" s="1" t="s">
        <v>17</v>
      </c>
      <c r="F2440" s="1">
        <v>3</v>
      </c>
      <c r="G2440" s="1">
        <v>19373</v>
      </c>
      <c r="H2440" s="1">
        <v>58119</v>
      </c>
      <c r="I2440" s="1">
        <v>0</v>
      </c>
      <c r="J2440" s="1">
        <v>3</v>
      </c>
      <c r="K2440" s="1">
        <v>0</v>
      </c>
    </row>
    <row r="2441" spans="1:11" x14ac:dyDescent="0.2">
      <c r="A2441" s="1" t="s">
        <v>2246</v>
      </c>
      <c r="B2441" s="1" t="s">
        <v>2285</v>
      </c>
      <c r="C2441" s="1" t="str">
        <f>"66298889396066"</f>
        <v>66298889396066</v>
      </c>
      <c r="D2441" s="1" t="str">
        <f>"P020"</f>
        <v>P020</v>
      </c>
      <c r="E2441" s="1" t="s">
        <v>17</v>
      </c>
      <c r="F2441" s="1">
        <v>3</v>
      </c>
      <c r="G2441" s="1">
        <v>7738</v>
      </c>
      <c r="H2441" s="1">
        <v>23214</v>
      </c>
      <c r="I2441" s="1">
        <v>0</v>
      </c>
      <c r="J2441" s="1">
        <v>3</v>
      </c>
      <c r="K2441" s="1">
        <v>0</v>
      </c>
    </row>
    <row r="2442" spans="1:11" x14ac:dyDescent="0.2">
      <c r="A2442" s="1" t="s">
        <v>2246</v>
      </c>
      <c r="B2442" s="1" t="s">
        <v>2286</v>
      </c>
      <c r="C2442" s="1" t="str">
        <f>"12577"</f>
        <v>12577</v>
      </c>
      <c r="D2442" s="1" t="str">
        <f>"12577"</f>
        <v>12577</v>
      </c>
      <c r="E2442" s="1" t="s">
        <v>17</v>
      </c>
      <c r="F2442" s="1">
        <v>1</v>
      </c>
      <c r="G2442" s="1">
        <v>23793.279999999999</v>
      </c>
      <c r="H2442" s="1">
        <v>23793</v>
      </c>
      <c r="I2442" s="1">
        <v>0</v>
      </c>
      <c r="J2442" s="1">
        <v>1</v>
      </c>
      <c r="K2442" s="1">
        <v>0</v>
      </c>
    </row>
    <row r="2443" spans="1:11" x14ac:dyDescent="0.2">
      <c r="A2443" s="1" t="s">
        <v>2246</v>
      </c>
      <c r="B2443" s="1" t="s">
        <v>2287</v>
      </c>
      <c r="C2443" s="1" t="str">
        <f>"66298889445392"</f>
        <v>66298889445392</v>
      </c>
      <c r="D2443" s="1" t="str">
        <f>"P058"</f>
        <v>P058</v>
      </c>
      <c r="E2443" s="1" t="s">
        <v>17</v>
      </c>
      <c r="F2443" s="1">
        <v>3</v>
      </c>
      <c r="G2443" s="1">
        <v>8984</v>
      </c>
      <c r="H2443" s="1">
        <v>26952</v>
      </c>
      <c r="I2443" s="1">
        <v>0</v>
      </c>
      <c r="J2443" s="1">
        <v>3</v>
      </c>
      <c r="K2443" s="1">
        <v>0</v>
      </c>
    </row>
    <row r="2444" spans="1:11" x14ac:dyDescent="0.2">
      <c r="A2444" s="1" t="s">
        <v>2246</v>
      </c>
      <c r="B2444" s="1" t="s">
        <v>2288</v>
      </c>
      <c r="C2444" s="1" t="str">
        <f>"11489-AZUL"</f>
        <v>11489-AZUL</v>
      </c>
      <c r="D2444" s="1" t="str">
        <f>"11489-AZUL"</f>
        <v>11489-AZUL</v>
      </c>
      <c r="E2444" s="1" t="s">
        <v>17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</row>
    <row r="2445" spans="1:11" x14ac:dyDescent="0.2">
      <c r="A2445" s="1" t="s">
        <v>2246</v>
      </c>
      <c r="B2445" s="1" t="s">
        <v>2289</v>
      </c>
      <c r="C2445" s="1" t="str">
        <f>"12085"</f>
        <v>12085</v>
      </c>
      <c r="D2445" s="1" t="str">
        <f>"12085"</f>
        <v>12085</v>
      </c>
      <c r="E2445" s="1" t="s">
        <v>17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</row>
    <row r="2446" spans="1:11" x14ac:dyDescent="0.2">
      <c r="A2446" s="1" t="s">
        <v>2246</v>
      </c>
      <c r="B2446" s="1" t="s">
        <v>2290</v>
      </c>
      <c r="C2446" s="1" t="str">
        <f>"66298889492265"</f>
        <v>66298889492265</v>
      </c>
      <c r="D2446" s="1" t="str">
        <f>"400063"</f>
        <v>400063</v>
      </c>
      <c r="E2446" s="1" t="s">
        <v>17</v>
      </c>
      <c r="F2446" s="1">
        <v>9</v>
      </c>
      <c r="G2446" s="1">
        <v>71793</v>
      </c>
      <c r="H2446" s="1">
        <v>646137</v>
      </c>
      <c r="I2446" s="1">
        <v>0</v>
      </c>
      <c r="J2446" s="1">
        <v>9</v>
      </c>
      <c r="K2446" s="1">
        <v>0</v>
      </c>
    </row>
    <row r="2447" spans="1:11" x14ac:dyDescent="0.2">
      <c r="A2447" s="1" t="s">
        <v>2291</v>
      </c>
      <c r="B2447" s="1" t="s">
        <v>2292</v>
      </c>
      <c r="C2447" s="1" t="str">
        <f>"66298889531005"</f>
        <v>66298889531005</v>
      </c>
      <c r="D2447" s="1" t="str">
        <f>"RF018-DEL/DER"</f>
        <v>RF018-DEL/DER</v>
      </c>
      <c r="E2447" s="1" t="s">
        <v>17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</row>
    <row r="2448" spans="1:11" x14ac:dyDescent="0.2">
      <c r="A2448" s="1" t="s">
        <v>2291</v>
      </c>
      <c r="B2448" s="1" t="s">
        <v>2293</v>
      </c>
      <c r="C2448" s="1" t="str">
        <f>"66298889568682"</f>
        <v>66298889568682</v>
      </c>
      <c r="D2448" s="1" t="str">
        <f>"RF018-DEL/IZQ"</f>
        <v>RF018-DEL/IZQ</v>
      </c>
      <c r="E2448" s="1" t="s">
        <v>17</v>
      </c>
      <c r="F2448" s="1">
        <v>1</v>
      </c>
      <c r="G2448" s="1">
        <v>3783.75</v>
      </c>
      <c r="H2448" s="1">
        <v>3784</v>
      </c>
      <c r="I2448" s="1">
        <v>0</v>
      </c>
      <c r="J2448" s="1">
        <v>1</v>
      </c>
      <c r="K2448" s="1">
        <v>0</v>
      </c>
    </row>
    <row r="2449" spans="1:11" x14ac:dyDescent="0.2">
      <c r="A2449" s="1" t="s">
        <v>2291</v>
      </c>
      <c r="B2449" s="1" t="s">
        <v>2294</v>
      </c>
      <c r="C2449" s="1" t="str">
        <f>"RF016-DER"</f>
        <v>RF016-DER</v>
      </c>
      <c r="D2449" s="1" t="str">
        <f>"RF016-DER"</f>
        <v>RF016-DER</v>
      </c>
      <c r="E2449" s="1" t="s">
        <v>17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</row>
    <row r="2450" spans="1:11" x14ac:dyDescent="0.2">
      <c r="A2450" s="1" t="s">
        <v>2291</v>
      </c>
      <c r="B2450" s="1" t="s">
        <v>2294</v>
      </c>
      <c r="C2450" s="1" t="str">
        <f>"RF016-IZQ"</f>
        <v>RF016-IZQ</v>
      </c>
      <c r="D2450" s="1" t="str">
        <f>"RF016-IZQ"</f>
        <v>RF016-IZQ</v>
      </c>
      <c r="E2450" s="1" t="s">
        <v>17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</row>
    <row r="2451" spans="1:11" ht="30" x14ac:dyDescent="0.2">
      <c r="A2451" s="1" t="s">
        <v>2291</v>
      </c>
      <c r="B2451" s="1" t="s">
        <v>2295</v>
      </c>
      <c r="C2451" s="1" t="str">
        <f>"RF017-DEL/DER-TRA/IZQ"</f>
        <v>RF017-DEL/DER-TRA/IZQ</v>
      </c>
      <c r="D2451" s="1" t="str">
        <f>"RF017-DEL/DER-TRA/IZQ"</f>
        <v>RF017-DEL/DER-TRA/IZQ</v>
      </c>
      <c r="E2451" s="1" t="s">
        <v>17</v>
      </c>
      <c r="F2451" s="1">
        <v>5</v>
      </c>
      <c r="G2451" s="1">
        <v>1738.5</v>
      </c>
      <c r="H2451" s="1">
        <v>8693</v>
      </c>
      <c r="I2451" s="1">
        <v>0</v>
      </c>
      <c r="J2451" s="1">
        <v>5</v>
      </c>
      <c r="K2451" s="1">
        <v>0</v>
      </c>
    </row>
    <row r="2452" spans="1:11" ht="30" x14ac:dyDescent="0.2">
      <c r="A2452" s="1" t="s">
        <v>2291</v>
      </c>
      <c r="B2452" s="1" t="s">
        <v>2296</v>
      </c>
      <c r="C2452" s="1" t="str">
        <f>"RF017-DEL/IZQ-TRA/DER"</f>
        <v>RF017-DEL/IZQ-TRA/DER</v>
      </c>
      <c r="D2452" s="1" t="str">
        <f>"RF017-DEL/IZQ-TRA/DER"</f>
        <v>RF017-DEL/IZQ-TRA/DER</v>
      </c>
      <c r="E2452" s="1" t="s">
        <v>17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</row>
    <row r="2453" spans="1:11" x14ac:dyDescent="0.2">
      <c r="A2453" s="1" t="s">
        <v>2291</v>
      </c>
      <c r="B2453" s="1" t="s">
        <v>2297</v>
      </c>
      <c r="C2453" s="1" t="str">
        <f>"66298889612050"</f>
        <v>66298889612050</v>
      </c>
      <c r="D2453" s="1" t="str">
        <f>"RF025-DER"</f>
        <v>RF025-DER</v>
      </c>
      <c r="E2453" s="1" t="s">
        <v>17</v>
      </c>
      <c r="F2453" s="1">
        <v>2</v>
      </c>
      <c r="G2453" s="1">
        <v>1558</v>
      </c>
      <c r="H2453" s="1">
        <v>3116</v>
      </c>
      <c r="I2453" s="1">
        <v>0</v>
      </c>
      <c r="J2453" s="1">
        <v>2</v>
      </c>
      <c r="K2453" s="1">
        <v>0</v>
      </c>
    </row>
    <row r="2454" spans="1:11" x14ac:dyDescent="0.2">
      <c r="A2454" s="1" t="s">
        <v>2291</v>
      </c>
      <c r="B2454" s="1" t="s">
        <v>2298</v>
      </c>
      <c r="C2454" s="1" t="str">
        <f>"66298889651272"</f>
        <v>66298889651272</v>
      </c>
      <c r="D2454" s="1" t="str">
        <f>"RF025-IZQ"</f>
        <v>RF025-IZQ</v>
      </c>
      <c r="E2454" s="1" t="s">
        <v>17</v>
      </c>
      <c r="F2454" s="1">
        <v>6</v>
      </c>
      <c r="G2454" s="1">
        <v>1558</v>
      </c>
      <c r="H2454" s="1">
        <v>9348</v>
      </c>
      <c r="I2454" s="1">
        <v>0</v>
      </c>
      <c r="J2454" s="1">
        <v>6</v>
      </c>
      <c r="K2454" s="1">
        <v>0</v>
      </c>
    </row>
    <row r="2455" spans="1:11" x14ac:dyDescent="0.2">
      <c r="A2455" s="1" t="s">
        <v>2291</v>
      </c>
      <c r="B2455" s="1" t="s">
        <v>2299</v>
      </c>
      <c r="C2455" s="1" t="str">
        <f>"66298889689484"</f>
        <v>66298889689484</v>
      </c>
      <c r="D2455" s="1" t="str">
        <f>"80768"</f>
        <v>80768</v>
      </c>
      <c r="E2455" s="1" t="s">
        <v>17</v>
      </c>
      <c r="F2455" s="1">
        <v>2</v>
      </c>
      <c r="G2455" s="1">
        <v>1481</v>
      </c>
      <c r="H2455" s="1">
        <v>2962</v>
      </c>
      <c r="I2455" s="1">
        <v>0</v>
      </c>
      <c r="J2455" s="1">
        <v>2</v>
      </c>
      <c r="K2455" s="1">
        <v>0</v>
      </c>
    </row>
    <row r="2456" spans="1:11" ht="30" x14ac:dyDescent="0.2">
      <c r="A2456" s="1" t="s">
        <v>2291</v>
      </c>
      <c r="B2456" s="1" t="s">
        <v>2300</v>
      </c>
      <c r="C2456" s="1" t="str">
        <f>"66298889727316"</f>
        <v>66298889727316</v>
      </c>
      <c r="D2456" s="1" t="str">
        <f>"RF026-DEL/IZQ"</f>
        <v>RF026-DEL/IZQ</v>
      </c>
      <c r="E2456" s="1" t="s">
        <v>17</v>
      </c>
      <c r="F2456" s="1">
        <v>1</v>
      </c>
      <c r="G2456" s="1">
        <v>1330</v>
      </c>
      <c r="H2456" s="1">
        <v>1330</v>
      </c>
      <c r="I2456" s="1">
        <v>0</v>
      </c>
      <c r="J2456" s="1">
        <v>1</v>
      </c>
      <c r="K2456" s="1">
        <v>0</v>
      </c>
    </row>
    <row r="2457" spans="1:11" x14ac:dyDescent="0.2">
      <c r="A2457" s="1" t="s">
        <v>2291</v>
      </c>
      <c r="B2457" s="1" t="s">
        <v>2301</v>
      </c>
      <c r="C2457" s="1" t="str">
        <f>"66298889770911"</f>
        <v>66298889770911</v>
      </c>
      <c r="D2457" s="1" t="str">
        <f>"RF021-DEL/IZQ"</f>
        <v>RF021-DEL/IZQ</v>
      </c>
      <c r="E2457" s="1" t="s">
        <v>17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</row>
    <row r="2458" spans="1:11" x14ac:dyDescent="0.2">
      <c r="A2458" s="1" t="s">
        <v>2291</v>
      </c>
      <c r="B2458" s="1" t="s">
        <v>2302</v>
      </c>
      <c r="C2458" s="1" t="str">
        <f>"66298889811354"</f>
        <v>66298889811354</v>
      </c>
      <c r="D2458" s="1" t="str">
        <f>"RF002"</f>
        <v>RF002</v>
      </c>
      <c r="E2458" s="1" t="s">
        <v>17</v>
      </c>
      <c r="F2458" s="1">
        <v>2</v>
      </c>
      <c r="G2458" s="1">
        <v>1079</v>
      </c>
      <c r="H2458" s="1">
        <v>2158</v>
      </c>
      <c r="I2458" s="1">
        <v>0</v>
      </c>
      <c r="J2458" s="1">
        <v>2</v>
      </c>
      <c r="K2458" s="1">
        <v>0</v>
      </c>
    </row>
    <row r="2459" spans="1:11" x14ac:dyDescent="0.2">
      <c r="A2459" s="1" t="s">
        <v>2291</v>
      </c>
      <c r="B2459" s="1" t="s">
        <v>2303</v>
      </c>
      <c r="C2459" s="1" t="str">
        <f>"66298889850346"</f>
        <v>66298889850346</v>
      </c>
      <c r="D2459" s="1" t="str">
        <f>"82378"</f>
        <v>82378</v>
      </c>
      <c r="E2459" s="1" t="s">
        <v>17</v>
      </c>
      <c r="F2459" s="1">
        <v>1</v>
      </c>
      <c r="G2459" s="1">
        <v>2181</v>
      </c>
      <c r="H2459" s="1">
        <v>2181</v>
      </c>
      <c r="I2459" s="1">
        <v>0</v>
      </c>
      <c r="J2459" s="1">
        <v>1</v>
      </c>
      <c r="K2459" s="1">
        <v>0</v>
      </c>
    </row>
    <row r="2460" spans="1:11" x14ac:dyDescent="0.2">
      <c r="A2460" s="1" t="s">
        <v>2291</v>
      </c>
      <c r="B2460" s="1" t="s">
        <v>2303</v>
      </c>
      <c r="C2460" s="1" t="str">
        <f>"RF013-DEL/DER"</f>
        <v>RF013-DEL/DER</v>
      </c>
      <c r="D2460" s="1" t="str">
        <f>"RF013-DEL/DER"</f>
        <v>RF013-DEL/DER</v>
      </c>
      <c r="E2460" s="1" t="s">
        <v>17</v>
      </c>
      <c r="F2460" s="1">
        <v>2</v>
      </c>
      <c r="G2460" s="1">
        <v>1521</v>
      </c>
      <c r="H2460" s="1">
        <v>3042</v>
      </c>
      <c r="I2460" s="1">
        <v>0</v>
      </c>
      <c r="J2460" s="1">
        <v>2</v>
      </c>
      <c r="K2460" s="1">
        <v>0</v>
      </c>
    </row>
    <row r="2461" spans="1:11" x14ac:dyDescent="0.2">
      <c r="A2461" s="1" t="s">
        <v>2291</v>
      </c>
      <c r="B2461" s="1" t="s">
        <v>2304</v>
      </c>
      <c r="C2461" s="1" t="str">
        <f>"66298889887473"</f>
        <v>66298889887473</v>
      </c>
      <c r="D2461" s="1" t="str">
        <f>"82337"</f>
        <v>82337</v>
      </c>
      <c r="E2461" s="1" t="s">
        <v>17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</row>
    <row r="2462" spans="1:11" x14ac:dyDescent="0.2">
      <c r="A2462" s="1" t="s">
        <v>2291</v>
      </c>
      <c r="B2462" s="1" t="s">
        <v>2304</v>
      </c>
      <c r="C2462" s="1" t="str">
        <f>"RF013-DEL/IZQ"</f>
        <v>RF013-DEL/IZQ</v>
      </c>
      <c r="D2462" s="1" t="str">
        <f>"RF013-DEL/IZQ"</f>
        <v>RF013-DEL/IZQ</v>
      </c>
      <c r="E2462" s="1" t="s">
        <v>17</v>
      </c>
      <c r="F2462" s="1">
        <v>3</v>
      </c>
      <c r="G2462" s="1">
        <v>1521</v>
      </c>
      <c r="H2462" s="1">
        <v>4563</v>
      </c>
      <c r="I2462" s="1">
        <v>0</v>
      </c>
      <c r="J2462" s="1">
        <v>3</v>
      </c>
      <c r="K2462" s="1">
        <v>0</v>
      </c>
    </row>
    <row r="2463" spans="1:11" x14ac:dyDescent="0.2">
      <c r="A2463" s="1" t="s">
        <v>2291</v>
      </c>
      <c r="B2463" s="1" t="s">
        <v>2305</v>
      </c>
      <c r="C2463" s="1" t="str">
        <f>"RF024-DEL/DER"</f>
        <v>RF024-DEL/DER</v>
      </c>
      <c r="D2463" s="1" t="str">
        <f>"RF024-DEL/DER"</f>
        <v>RF024-DEL/DER</v>
      </c>
      <c r="E2463" s="1" t="s">
        <v>17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</row>
    <row r="2464" spans="1:11" x14ac:dyDescent="0.2">
      <c r="A2464" s="1" t="s">
        <v>2291</v>
      </c>
      <c r="B2464" s="1" t="s">
        <v>2305</v>
      </c>
      <c r="C2464" s="1" t="str">
        <f>"RF024-DEL/IZQ"</f>
        <v>RF024-DEL/IZQ</v>
      </c>
      <c r="D2464" s="1" t="str">
        <f>"RF024-DEL/IZQ"</f>
        <v>RF024-DEL/IZQ</v>
      </c>
      <c r="E2464" s="1" t="s">
        <v>17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</row>
    <row r="2465" spans="1:11" x14ac:dyDescent="0.2">
      <c r="A2465" s="1" t="s">
        <v>2291</v>
      </c>
      <c r="B2465" s="1" t="s">
        <v>2306</v>
      </c>
      <c r="C2465" s="1" t="str">
        <f>"66298889935315"</f>
        <v>66298889935315</v>
      </c>
      <c r="D2465" s="1" t="str">
        <f>"80770"</f>
        <v>80770</v>
      </c>
      <c r="E2465" s="1" t="s">
        <v>17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</row>
    <row r="2466" spans="1:11" x14ac:dyDescent="0.2">
      <c r="A2466" s="1" t="s">
        <v>2291</v>
      </c>
      <c r="B2466" s="1" t="s">
        <v>2306</v>
      </c>
      <c r="C2466" s="1" t="str">
        <f>"RF008"</f>
        <v>RF008</v>
      </c>
      <c r="D2466" s="1" t="str">
        <f>"RF008"</f>
        <v>RF008</v>
      </c>
      <c r="E2466" s="1" t="s">
        <v>17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</row>
    <row r="2467" spans="1:11" x14ac:dyDescent="0.2">
      <c r="A2467" s="1" t="s">
        <v>2291</v>
      </c>
      <c r="B2467" s="1" t="s">
        <v>2307</v>
      </c>
      <c r="C2467" s="1" t="str">
        <f>"66298889980599"</f>
        <v>66298889980599</v>
      </c>
      <c r="D2467" s="1" t="str">
        <f>"RF011"</f>
        <v>RF011</v>
      </c>
      <c r="E2467" s="1" t="s">
        <v>17</v>
      </c>
      <c r="F2467" s="1">
        <v>2</v>
      </c>
      <c r="G2467" s="1">
        <v>1256</v>
      </c>
      <c r="H2467" s="1">
        <v>2512</v>
      </c>
      <c r="I2467" s="1">
        <v>0</v>
      </c>
      <c r="J2467" s="1">
        <v>2</v>
      </c>
      <c r="K2467" s="1">
        <v>0</v>
      </c>
    </row>
    <row r="2468" spans="1:11" x14ac:dyDescent="0.2">
      <c r="A2468" s="1" t="s">
        <v>2291</v>
      </c>
      <c r="B2468" s="1" t="s">
        <v>2308</v>
      </c>
      <c r="C2468" s="1" t="str">
        <f>"12466"</f>
        <v>12466</v>
      </c>
      <c r="D2468" s="1" t="str">
        <f>"12466"</f>
        <v>12466</v>
      </c>
      <c r="E2468" s="1" t="s">
        <v>17</v>
      </c>
      <c r="F2468" s="1">
        <v>2</v>
      </c>
      <c r="G2468" s="1">
        <v>3272.27</v>
      </c>
      <c r="H2468" s="1">
        <v>6545</v>
      </c>
      <c r="I2468" s="1">
        <v>0</v>
      </c>
      <c r="J2468" s="1">
        <v>2</v>
      </c>
      <c r="K2468" s="1">
        <v>0</v>
      </c>
    </row>
    <row r="2469" spans="1:11" x14ac:dyDescent="0.2">
      <c r="A2469" s="1" t="s">
        <v>2246</v>
      </c>
      <c r="B2469" s="1" t="s">
        <v>2309</v>
      </c>
      <c r="C2469" s="1" t="str">
        <f>"B030"</f>
        <v>B030</v>
      </c>
      <c r="D2469" s="1" t="str">
        <f>"B030"</f>
        <v>B030</v>
      </c>
      <c r="E2469" s="1" t="s">
        <v>17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</row>
    <row r="2470" spans="1:11" x14ac:dyDescent="0.2">
      <c r="A2470" s="1" t="s">
        <v>2291</v>
      </c>
      <c r="B2470" s="1" t="s">
        <v>2310</v>
      </c>
      <c r="C2470" s="1" t="str">
        <f>"66298890020532"</f>
        <v>66298890020532</v>
      </c>
      <c r="D2470" s="1" t="str">
        <f>"35601H2C000H000"</f>
        <v>35601H2C000H000</v>
      </c>
      <c r="E2470" s="1" t="s">
        <v>17</v>
      </c>
      <c r="F2470" s="1">
        <v>1</v>
      </c>
      <c r="G2470" s="1">
        <v>4240</v>
      </c>
      <c r="H2470" s="1">
        <v>4240</v>
      </c>
      <c r="I2470" s="1">
        <v>0</v>
      </c>
      <c r="J2470" s="1">
        <v>1</v>
      </c>
      <c r="K2470" s="1">
        <v>0</v>
      </c>
    </row>
    <row r="2471" spans="1:11" x14ac:dyDescent="0.2">
      <c r="A2471" s="1" t="s">
        <v>2291</v>
      </c>
      <c r="B2471" s="1" t="s">
        <v>2311</v>
      </c>
      <c r="C2471" s="1" t="str">
        <f>"66298890061789"</f>
        <v>66298890061789</v>
      </c>
      <c r="D2471" s="1" t="str">
        <f>"35603H2C000H000"</f>
        <v>35603H2C000H000</v>
      </c>
      <c r="E2471" s="1" t="s">
        <v>17</v>
      </c>
      <c r="F2471" s="1">
        <v>5</v>
      </c>
      <c r="G2471" s="1">
        <v>5656</v>
      </c>
      <c r="H2471" s="1">
        <v>28280</v>
      </c>
      <c r="I2471" s="1">
        <v>0</v>
      </c>
      <c r="J2471" s="1">
        <v>5</v>
      </c>
      <c r="K2471" s="1">
        <v>0</v>
      </c>
    </row>
    <row r="2472" spans="1:11" x14ac:dyDescent="0.2">
      <c r="A2472" s="1" t="s">
        <v>2291</v>
      </c>
      <c r="B2472" s="1" t="s">
        <v>2312</v>
      </c>
      <c r="C2472" s="1" t="str">
        <f>"66298890106171"</f>
        <v>66298890106171</v>
      </c>
      <c r="D2472" s="1" t="str">
        <f>"35604H2C000H000"</f>
        <v>35604H2C000H000</v>
      </c>
      <c r="E2472" s="1" t="s">
        <v>17</v>
      </c>
      <c r="F2472" s="1">
        <v>3</v>
      </c>
      <c r="G2472" s="1">
        <v>5670</v>
      </c>
      <c r="H2472" s="1">
        <v>17010</v>
      </c>
      <c r="I2472" s="1">
        <v>0</v>
      </c>
      <c r="J2472" s="1">
        <v>3</v>
      </c>
      <c r="K2472" s="1">
        <v>0</v>
      </c>
    </row>
    <row r="2473" spans="1:11" x14ac:dyDescent="0.2">
      <c r="A2473" s="1" t="s">
        <v>2291</v>
      </c>
      <c r="B2473" s="1" t="s">
        <v>2313</v>
      </c>
      <c r="C2473" s="1" t="str">
        <f>"RF060-DEL/DER-TRA/IZQ"</f>
        <v>RF060-DEL/DER-TRA/IZQ</v>
      </c>
      <c r="D2473" s="1" t="str">
        <f>"RF060-DEL/DER-TRA/IZQ"</f>
        <v>RF060-DEL/DER-TRA/IZQ</v>
      </c>
      <c r="E2473" s="1" t="s">
        <v>17</v>
      </c>
      <c r="F2473" s="1">
        <v>1</v>
      </c>
      <c r="G2473" s="1">
        <v>2227.5100000000002</v>
      </c>
      <c r="H2473" s="1">
        <v>2228</v>
      </c>
      <c r="I2473" s="1">
        <v>0</v>
      </c>
      <c r="J2473" s="1">
        <v>1</v>
      </c>
      <c r="K2473" s="1">
        <v>0</v>
      </c>
    </row>
    <row r="2474" spans="1:11" x14ac:dyDescent="0.2">
      <c r="A2474" s="1" t="s">
        <v>2291</v>
      </c>
      <c r="B2474" s="1" t="s">
        <v>2314</v>
      </c>
      <c r="C2474" s="1" t="str">
        <f>"RF060-DEL/IZQ-TRA/DER"</f>
        <v>RF060-DEL/IZQ-TRA/DER</v>
      </c>
      <c r="D2474" s="1" t="str">
        <f>"RF060-DEL/IZQ-TRA/DER"</f>
        <v>RF060-DEL/IZQ-TRA/DER</v>
      </c>
      <c r="E2474" s="1" t="s">
        <v>17</v>
      </c>
      <c r="F2474" s="1">
        <v>1</v>
      </c>
      <c r="G2474" s="1">
        <v>2227.5100000000002</v>
      </c>
      <c r="H2474" s="1">
        <v>2228</v>
      </c>
      <c r="I2474" s="1">
        <v>0</v>
      </c>
      <c r="J2474" s="1">
        <v>1</v>
      </c>
      <c r="K2474" s="1">
        <v>0</v>
      </c>
    </row>
    <row r="2475" spans="1:11" x14ac:dyDescent="0.2">
      <c r="A2475" s="1" t="s">
        <v>2291</v>
      </c>
      <c r="B2475" s="1" t="s">
        <v>2315</v>
      </c>
      <c r="C2475" s="1" t="str">
        <f>"66298890142748"</f>
        <v>66298890142748</v>
      </c>
      <c r="D2475" s="1" t="str">
        <f>"80905"</f>
        <v>80905</v>
      </c>
      <c r="E2475" s="1" t="s">
        <v>17</v>
      </c>
      <c r="F2475" s="1">
        <v>3</v>
      </c>
      <c r="G2475" s="1">
        <v>1651</v>
      </c>
      <c r="H2475" s="1">
        <v>4953</v>
      </c>
      <c r="I2475" s="1">
        <v>0</v>
      </c>
      <c r="J2475" s="1">
        <v>3</v>
      </c>
      <c r="K2475" s="1">
        <v>0</v>
      </c>
    </row>
    <row r="2476" spans="1:11" x14ac:dyDescent="0.2">
      <c r="A2476" s="1" t="s">
        <v>2291</v>
      </c>
      <c r="B2476" s="1" t="s">
        <v>2316</v>
      </c>
      <c r="C2476" s="1" t="str">
        <f>"66298890180774"</f>
        <v>66298890180774</v>
      </c>
      <c r="D2476" s="1" t="str">
        <f>"80906"</f>
        <v>80906</v>
      </c>
      <c r="E2476" s="1" t="s">
        <v>17</v>
      </c>
      <c r="F2476" s="1">
        <v>12</v>
      </c>
      <c r="G2476" s="1">
        <v>1108</v>
      </c>
      <c r="H2476" s="1">
        <v>13296</v>
      </c>
      <c r="I2476" s="1">
        <v>0</v>
      </c>
      <c r="J2476" s="1">
        <v>12</v>
      </c>
      <c r="K2476" s="1">
        <v>0</v>
      </c>
    </row>
    <row r="2477" spans="1:11" ht="30" x14ac:dyDescent="0.2">
      <c r="A2477" s="1" t="s">
        <v>2291</v>
      </c>
      <c r="B2477" s="1" t="s">
        <v>2317</v>
      </c>
      <c r="C2477" s="1" t="str">
        <f>"BR04094STLU"</f>
        <v>BR04094STLU</v>
      </c>
      <c r="D2477" s="1" t="str">
        <f>"BR04094STLU"</f>
        <v>BR04094STLU</v>
      </c>
      <c r="E2477" s="1" t="s">
        <v>17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</row>
    <row r="2478" spans="1:11" ht="30" x14ac:dyDescent="0.2">
      <c r="A2478" s="1" t="s">
        <v>2291</v>
      </c>
      <c r="B2478" s="1" t="s">
        <v>2318</v>
      </c>
      <c r="C2478" s="1" t="str">
        <f>"BR04095STLU"</f>
        <v>BR04095STLU</v>
      </c>
      <c r="D2478" s="1" t="str">
        <f>"BR04095STLU"</f>
        <v>BR04095STLU</v>
      </c>
      <c r="E2478" s="1" t="s">
        <v>17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</row>
    <row r="2479" spans="1:11" ht="30" x14ac:dyDescent="0.2">
      <c r="A2479" s="1" t="s">
        <v>2291</v>
      </c>
      <c r="B2479" s="1" t="s">
        <v>2319</v>
      </c>
      <c r="C2479" s="1" t="str">
        <f>"RF001-DER"</f>
        <v>RF001-DER</v>
      </c>
      <c r="D2479" s="1" t="str">
        <f>"RF001-DER"</f>
        <v>RF001-DER</v>
      </c>
      <c r="E2479" s="1" t="s">
        <v>17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</row>
    <row r="2480" spans="1:11" ht="30" x14ac:dyDescent="0.2">
      <c r="A2480" s="1" t="s">
        <v>2291</v>
      </c>
      <c r="B2480" s="1" t="s">
        <v>2320</v>
      </c>
      <c r="C2480" s="1" t="str">
        <f>"RF001-IZQ"</f>
        <v>RF001-IZQ</v>
      </c>
      <c r="D2480" s="1" t="str">
        <f>"RF001-IZQ"</f>
        <v>RF001-IZQ</v>
      </c>
      <c r="E2480" s="1" t="s">
        <v>17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</row>
    <row r="2481" spans="1:11" x14ac:dyDescent="0.2">
      <c r="A2481" s="1" t="s">
        <v>2291</v>
      </c>
      <c r="B2481" s="1" t="s">
        <v>2321</v>
      </c>
      <c r="C2481" s="1" t="str">
        <f>"66298890301162"</f>
        <v>66298890301162</v>
      </c>
      <c r="D2481" s="1" t="str">
        <f>"83189"</f>
        <v>83189</v>
      </c>
      <c r="E2481" s="1" t="s">
        <v>17</v>
      </c>
      <c r="F2481" s="1">
        <v>1</v>
      </c>
      <c r="G2481" s="1">
        <v>1631</v>
      </c>
      <c r="H2481" s="1">
        <v>1631</v>
      </c>
      <c r="I2481" s="1">
        <v>0</v>
      </c>
      <c r="J2481" s="1">
        <v>1</v>
      </c>
      <c r="K2481" s="1">
        <v>0</v>
      </c>
    </row>
    <row r="2482" spans="1:11" x14ac:dyDescent="0.2">
      <c r="A2482" s="1" t="s">
        <v>2291</v>
      </c>
      <c r="B2482" s="1" t="s">
        <v>2322</v>
      </c>
      <c r="C2482" s="1" t="str">
        <f>"66298890342852"</f>
        <v>66298890342852</v>
      </c>
      <c r="D2482" s="1" t="str">
        <f>"U001B"</f>
        <v>U001B</v>
      </c>
      <c r="E2482" s="1" t="s">
        <v>17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</row>
    <row r="2483" spans="1:11" x14ac:dyDescent="0.2">
      <c r="A2483" s="1" t="s">
        <v>2246</v>
      </c>
      <c r="B2483" s="1" t="s">
        <v>2323</v>
      </c>
      <c r="C2483" s="1" t="str">
        <f>"RF012"</f>
        <v>RF012</v>
      </c>
      <c r="D2483" s="1" t="str">
        <f>"RF012"</f>
        <v>RF012</v>
      </c>
      <c r="E2483" s="1" t="s">
        <v>17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</row>
    <row r="2484" spans="1:11" x14ac:dyDescent="0.2">
      <c r="A2484" s="1" t="s">
        <v>2291</v>
      </c>
      <c r="B2484" s="1" t="s">
        <v>2324</v>
      </c>
      <c r="C2484" s="1" t="str">
        <f>"66298890382003"</f>
        <v>66298890382003</v>
      </c>
      <c r="D2484" s="1" t="str">
        <f>"FS-STORM"</f>
        <v>FS-STORM</v>
      </c>
      <c r="E2484" s="1" t="s">
        <v>17</v>
      </c>
      <c r="F2484" s="1">
        <v>1</v>
      </c>
      <c r="G2484" s="1">
        <v>714</v>
      </c>
      <c r="H2484" s="1">
        <v>714</v>
      </c>
      <c r="I2484" s="1">
        <v>0</v>
      </c>
      <c r="J2484" s="1">
        <v>1</v>
      </c>
      <c r="K2484" s="1">
        <v>0</v>
      </c>
    </row>
    <row r="2485" spans="1:11" x14ac:dyDescent="0.2">
      <c r="A2485" s="1" t="s">
        <v>2291</v>
      </c>
      <c r="B2485" s="1" t="s">
        <v>2325</v>
      </c>
      <c r="C2485" s="1" t="str">
        <f>"66298890421420"</f>
        <v>66298890421420</v>
      </c>
      <c r="D2485" s="1" t="str">
        <f>"E003"</f>
        <v>E003</v>
      </c>
      <c r="E2485" s="1" t="s">
        <v>17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</row>
    <row r="2486" spans="1:11" x14ac:dyDescent="0.2">
      <c r="A2486" s="1" t="s">
        <v>2246</v>
      </c>
      <c r="B2486" s="1" t="s">
        <v>2326</v>
      </c>
      <c r="C2486" s="1" t="str">
        <f>"B023"</f>
        <v>B023</v>
      </c>
      <c r="D2486" s="1" t="str">
        <f>"B023"</f>
        <v>B023</v>
      </c>
      <c r="E2486" s="1" t="s">
        <v>17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</row>
    <row r="2487" spans="1:11" ht="30" x14ac:dyDescent="0.2">
      <c r="A2487" s="1" t="s">
        <v>2291</v>
      </c>
      <c r="B2487" s="1" t="s">
        <v>2327</v>
      </c>
      <c r="C2487" s="1" t="str">
        <f>"RF014-TRA/DER"</f>
        <v>RF014-TRA/DER</v>
      </c>
      <c r="D2487" s="1" t="str">
        <f>"RF014-TRA/DER"</f>
        <v>RF014-TRA/DER</v>
      </c>
      <c r="E2487" s="1" t="s">
        <v>17</v>
      </c>
      <c r="F2487" s="1">
        <v>1</v>
      </c>
      <c r="G2487" s="1">
        <v>1525.5</v>
      </c>
      <c r="H2487" s="1">
        <v>1526</v>
      </c>
      <c r="I2487" s="1">
        <v>0</v>
      </c>
      <c r="J2487" s="1">
        <v>1</v>
      </c>
      <c r="K2487" s="1">
        <v>0</v>
      </c>
    </row>
    <row r="2488" spans="1:11" ht="30" x14ac:dyDescent="0.2">
      <c r="A2488" s="1" t="s">
        <v>2291</v>
      </c>
      <c r="B2488" s="1" t="s">
        <v>2328</v>
      </c>
      <c r="C2488" s="1" t="str">
        <f>"RF014-TRA/IZQ"</f>
        <v>RF014-TRA/IZQ</v>
      </c>
      <c r="D2488" s="1" t="str">
        <f>"RF014-TRA/IZQ"</f>
        <v>RF014-TRA/IZQ</v>
      </c>
      <c r="E2488" s="1" t="s">
        <v>17</v>
      </c>
      <c r="F2488" s="1">
        <v>3</v>
      </c>
      <c r="G2488" s="1">
        <v>1525.5</v>
      </c>
      <c r="H2488" s="1">
        <v>4577</v>
      </c>
      <c r="I2488" s="1">
        <v>0</v>
      </c>
      <c r="J2488" s="1">
        <v>3</v>
      </c>
      <c r="K2488" s="1">
        <v>0</v>
      </c>
    </row>
    <row r="2489" spans="1:11" x14ac:dyDescent="0.2">
      <c r="A2489" s="1" t="s">
        <v>2291</v>
      </c>
      <c r="B2489" s="1" t="s">
        <v>2329</v>
      </c>
      <c r="C2489" s="1" t="str">
        <f>"66298890462087"</f>
        <v>66298890462087</v>
      </c>
      <c r="D2489" s="1" t="str">
        <f>"80361"</f>
        <v>80361</v>
      </c>
      <c r="E2489" s="1" t="s">
        <v>17</v>
      </c>
      <c r="F2489" s="1">
        <v>16</v>
      </c>
      <c r="G2489" s="1">
        <v>658</v>
      </c>
      <c r="H2489" s="1">
        <v>10528</v>
      </c>
      <c r="I2489" s="1">
        <v>0</v>
      </c>
      <c r="J2489" s="1">
        <v>16</v>
      </c>
      <c r="K2489" s="1">
        <v>0</v>
      </c>
    </row>
    <row r="2490" spans="1:11" x14ac:dyDescent="0.2">
      <c r="A2490" s="1" t="s">
        <v>2291</v>
      </c>
      <c r="B2490" s="1" t="s">
        <v>2330</v>
      </c>
      <c r="C2490" s="1" t="str">
        <f>"66298890500420"</f>
        <v>66298890500420</v>
      </c>
      <c r="D2490" s="1" t="str">
        <f>"FS-UNIVERSAL"</f>
        <v>FS-UNIVERSAL</v>
      </c>
      <c r="E2490" s="1" t="s">
        <v>17</v>
      </c>
      <c r="F2490" s="1">
        <v>1</v>
      </c>
      <c r="G2490" s="1">
        <v>800</v>
      </c>
      <c r="H2490" s="1">
        <v>800</v>
      </c>
      <c r="I2490" s="1">
        <v>0</v>
      </c>
      <c r="J2490" s="1">
        <v>1</v>
      </c>
      <c r="K2490" s="1">
        <v>0</v>
      </c>
    </row>
    <row r="2491" spans="1:11" x14ac:dyDescent="0.2">
      <c r="A2491" s="1" t="s">
        <v>2246</v>
      </c>
      <c r="B2491" s="1" t="s">
        <v>2331</v>
      </c>
      <c r="C2491" s="1" t="str">
        <f>"C059"</f>
        <v>C059</v>
      </c>
      <c r="D2491" s="1" t="str">
        <f>"C059"</f>
        <v>C059</v>
      </c>
      <c r="E2491" s="1" t="s">
        <v>17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</row>
    <row r="2492" spans="1:11" x14ac:dyDescent="0.2">
      <c r="A2492" s="1" t="s">
        <v>2246</v>
      </c>
      <c r="B2492" s="1" t="s">
        <v>2332</v>
      </c>
      <c r="C2492" s="1" t="str">
        <f>"B035"</f>
        <v>B035</v>
      </c>
      <c r="D2492" s="1" t="str">
        <f>"B035"</f>
        <v>B035</v>
      </c>
      <c r="E2492" s="1" t="s">
        <v>17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</row>
    <row r="2493" spans="1:11" x14ac:dyDescent="0.2">
      <c r="A2493" s="1" t="s">
        <v>2291</v>
      </c>
      <c r="B2493" s="1" t="s">
        <v>2333</v>
      </c>
      <c r="C2493" s="1" t="str">
        <f>"66298890540760"</f>
        <v>66298890540760</v>
      </c>
      <c r="D2493" s="1" t="str">
        <f>"C058"</f>
        <v>C058</v>
      </c>
      <c r="E2493" s="1" t="s">
        <v>17</v>
      </c>
      <c r="F2493" s="1">
        <v>1</v>
      </c>
      <c r="G2493" s="1">
        <v>1370</v>
      </c>
      <c r="H2493" s="1">
        <v>1370</v>
      </c>
      <c r="I2493" s="1">
        <v>0</v>
      </c>
      <c r="J2493" s="1">
        <v>1</v>
      </c>
      <c r="K2493" s="1">
        <v>0</v>
      </c>
    </row>
    <row r="2494" spans="1:11" x14ac:dyDescent="0.2">
      <c r="A2494" s="1" t="s">
        <v>2291</v>
      </c>
      <c r="B2494" s="1" t="s">
        <v>2334</v>
      </c>
      <c r="C2494" s="1" t="str">
        <f>"FOCO-SE-UNIV"</f>
        <v>FOCO-SE-UNIV</v>
      </c>
      <c r="D2494" s="1" t="str">
        <f>"FOCO-SE-UNIV"</f>
        <v>FOCO-SE-UNIV</v>
      </c>
      <c r="E2494" s="1" t="s">
        <v>17</v>
      </c>
      <c r="F2494" s="1">
        <v>3</v>
      </c>
      <c r="G2494" s="1">
        <v>957.68</v>
      </c>
      <c r="H2494" s="1">
        <v>2873</v>
      </c>
      <c r="I2494" s="1">
        <v>0</v>
      </c>
      <c r="J2494" s="1">
        <v>3</v>
      </c>
      <c r="K2494" s="1">
        <v>0</v>
      </c>
    </row>
    <row r="2495" spans="1:11" x14ac:dyDescent="0.2">
      <c r="A2495" s="1" t="s">
        <v>2246</v>
      </c>
      <c r="B2495" s="1" t="s">
        <v>2334</v>
      </c>
      <c r="C2495" s="1" t="str">
        <f>"60151"</f>
        <v>60151</v>
      </c>
      <c r="D2495" s="1" t="str">
        <f>"60151"</f>
        <v>60151</v>
      </c>
      <c r="E2495" s="1" t="s">
        <v>17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</row>
    <row r="2496" spans="1:11" x14ac:dyDescent="0.2">
      <c r="A2496" s="1" t="s">
        <v>2246</v>
      </c>
      <c r="B2496" s="1" t="s">
        <v>2334</v>
      </c>
      <c r="C2496" s="1" t="str">
        <f>"B0321"</f>
        <v>B0321</v>
      </c>
      <c r="D2496" s="1" t="str">
        <f>"B0321"</f>
        <v>B0321</v>
      </c>
      <c r="E2496" s="1" t="s">
        <v>17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</row>
    <row r="2497" spans="1:11" x14ac:dyDescent="0.2">
      <c r="A2497" s="1" t="s">
        <v>2246</v>
      </c>
      <c r="B2497" s="1" t="s">
        <v>2334</v>
      </c>
      <c r="C2497" s="1" t="str">
        <f>"C003"</f>
        <v>C003</v>
      </c>
      <c r="D2497" s="1" t="str">
        <f>"C003"</f>
        <v>C003</v>
      </c>
      <c r="E2497" s="1" t="s">
        <v>17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</row>
    <row r="2498" spans="1:11" x14ac:dyDescent="0.2">
      <c r="A2498" s="1" t="s">
        <v>2291</v>
      </c>
      <c r="B2498" s="1" t="s">
        <v>2335</v>
      </c>
      <c r="C2498" s="1" t="str">
        <f>"66298890588619"</f>
        <v>66298890588619</v>
      </c>
      <c r="D2498" s="1" t="str">
        <f>"C103"</f>
        <v>C103</v>
      </c>
      <c r="E2498" s="1" t="s">
        <v>17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</row>
    <row r="2499" spans="1:11" x14ac:dyDescent="0.2">
      <c r="A2499" s="1" t="s">
        <v>2291</v>
      </c>
      <c r="B2499" s="1" t="s">
        <v>2336</v>
      </c>
      <c r="C2499" s="1" t="str">
        <f>"66298890633816"</f>
        <v>66298890633816</v>
      </c>
      <c r="D2499" s="1" t="str">
        <f>"C153"</f>
        <v>C153</v>
      </c>
      <c r="E2499" s="1" t="s">
        <v>17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</row>
    <row r="2500" spans="1:11" ht="30" x14ac:dyDescent="0.2">
      <c r="A2500" s="1" t="s">
        <v>2291</v>
      </c>
      <c r="B2500" s="1" t="s">
        <v>2337</v>
      </c>
      <c r="C2500" s="1" t="str">
        <f>"RF015-DER"</f>
        <v>RF015-DER</v>
      </c>
      <c r="D2500" s="1" t="str">
        <f>"RF015-DER"</f>
        <v>RF015-DER</v>
      </c>
      <c r="E2500" s="1" t="s">
        <v>17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</row>
    <row r="2501" spans="1:11" ht="30" x14ac:dyDescent="0.2">
      <c r="A2501" s="1" t="s">
        <v>2291</v>
      </c>
      <c r="B2501" s="1" t="s">
        <v>2338</v>
      </c>
      <c r="C2501" s="1" t="str">
        <f>"RF015-IZQ"</f>
        <v>RF015-IZQ</v>
      </c>
      <c r="D2501" s="1" t="str">
        <f>"RF015-IZQ"</f>
        <v>RF015-IZQ</v>
      </c>
      <c r="E2501" s="1" t="s">
        <v>17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</row>
    <row r="2502" spans="1:11" x14ac:dyDescent="0.2">
      <c r="A2502" s="1" t="s">
        <v>2291</v>
      </c>
      <c r="B2502" s="1" t="s">
        <v>2339</v>
      </c>
      <c r="C2502" s="1" t="str">
        <f>"66298890672498"</f>
        <v>66298890672498</v>
      </c>
      <c r="D2502" s="1" t="str">
        <f>"RF006-IZQ"</f>
        <v>RF006-IZQ</v>
      </c>
      <c r="E2502" s="1" t="s">
        <v>17</v>
      </c>
      <c r="F2502" s="1">
        <v>1</v>
      </c>
      <c r="G2502" s="1">
        <v>1372</v>
      </c>
      <c r="H2502" s="1">
        <v>1372</v>
      </c>
      <c r="I2502" s="1">
        <v>0</v>
      </c>
      <c r="J2502" s="1">
        <v>1</v>
      </c>
      <c r="K2502" s="1">
        <v>0</v>
      </c>
    </row>
    <row r="2503" spans="1:11" x14ac:dyDescent="0.2">
      <c r="A2503" s="1" t="s">
        <v>2246</v>
      </c>
      <c r="B2503" s="1" t="s">
        <v>2340</v>
      </c>
      <c r="C2503" s="1" t="str">
        <f>"66298890714957"</f>
        <v>66298890714957</v>
      </c>
      <c r="D2503" s="1" t="str">
        <f>"110252"</f>
        <v>110252</v>
      </c>
      <c r="E2503" s="1" t="s">
        <v>17</v>
      </c>
      <c r="F2503" s="1">
        <v>3</v>
      </c>
      <c r="G2503" s="1">
        <v>3125</v>
      </c>
      <c r="H2503" s="1">
        <v>9375</v>
      </c>
      <c r="I2503" s="1">
        <v>0</v>
      </c>
      <c r="J2503" s="1">
        <v>3</v>
      </c>
      <c r="K2503" s="1">
        <v>0</v>
      </c>
    </row>
    <row r="2504" spans="1:11" x14ac:dyDescent="0.2">
      <c r="A2504" s="1" t="s">
        <v>2246</v>
      </c>
      <c r="B2504" s="1" t="s">
        <v>2341</v>
      </c>
      <c r="C2504" s="1" t="str">
        <f>"66298890758228"</f>
        <v>66298890758228</v>
      </c>
      <c r="D2504" s="1" t="str">
        <f>"1529"</f>
        <v>1529</v>
      </c>
      <c r="E2504" s="1" t="s">
        <v>17</v>
      </c>
      <c r="F2504" s="1">
        <v>23</v>
      </c>
      <c r="G2504" s="1">
        <v>4496</v>
      </c>
      <c r="H2504" s="1">
        <v>103408</v>
      </c>
      <c r="I2504" s="1">
        <v>0</v>
      </c>
      <c r="J2504" s="1">
        <v>23</v>
      </c>
      <c r="K2504" s="1">
        <v>0</v>
      </c>
    </row>
    <row r="2505" spans="1:11" x14ac:dyDescent="0.2">
      <c r="A2505" s="1" t="s">
        <v>2246</v>
      </c>
      <c r="B2505" s="1" t="s">
        <v>2342</v>
      </c>
      <c r="C2505" s="1" t="str">
        <f>"PB018"</f>
        <v>PB018</v>
      </c>
      <c r="D2505" s="1" t="str">
        <f>"PB018"</f>
        <v>PB018</v>
      </c>
      <c r="E2505" s="1" t="s">
        <v>17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</row>
    <row r="2506" spans="1:11" x14ac:dyDescent="0.2">
      <c r="A2506" s="1" t="s">
        <v>2246</v>
      </c>
      <c r="B2506" s="1" t="s">
        <v>2343</v>
      </c>
      <c r="C2506" s="1" t="str">
        <f>"PB016"</f>
        <v>PB016</v>
      </c>
      <c r="D2506" s="1" t="str">
        <f>"PB016"</f>
        <v>PB016</v>
      </c>
      <c r="E2506" s="1" t="s">
        <v>17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</row>
    <row r="2507" spans="1:11" x14ac:dyDescent="0.2">
      <c r="A2507" s="1" t="s">
        <v>2246</v>
      </c>
      <c r="B2507" s="1" t="s">
        <v>2344</v>
      </c>
      <c r="C2507" s="1" t="str">
        <f>"66298890793010"</f>
        <v>66298890793010</v>
      </c>
      <c r="D2507" s="1" t="str">
        <f>"1039-TWISTER"</f>
        <v>1039-TWISTER</v>
      </c>
      <c r="E2507" s="1" t="s">
        <v>17</v>
      </c>
      <c r="F2507" s="1">
        <v>2</v>
      </c>
      <c r="G2507" s="1">
        <v>5230</v>
      </c>
      <c r="H2507" s="1">
        <v>10460</v>
      </c>
      <c r="I2507" s="1">
        <v>0</v>
      </c>
      <c r="J2507" s="1">
        <v>2</v>
      </c>
      <c r="K2507" s="1">
        <v>0</v>
      </c>
    </row>
    <row r="2508" spans="1:11" x14ac:dyDescent="0.2">
      <c r="A2508" s="1" t="s">
        <v>2246</v>
      </c>
      <c r="B2508" s="1" t="s">
        <v>2344</v>
      </c>
      <c r="C2508" s="1" t="str">
        <f>"66298890829939"</f>
        <v>66298890829939</v>
      </c>
      <c r="D2508" s="1" t="str">
        <f>"PB011"</f>
        <v>PB011</v>
      </c>
      <c r="E2508" s="1" t="s">
        <v>17</v>
      </c>
      <c r="F2508" s="1">
        <v>4</v>
      </c>
      <c r="G2508" s="1">
        <v>3990</v>
      </c>
      <c r="H2508" s="1">
        <v>15960</v>
      </c>
      <c r="I2508" s="1">
        <v>0</v>
      </c>
      <c r="J2508" s="1">
        <v>4</v>
      </c>
      <c r="K2508" s="1">
        <v>0</v>
      </c>
    </row>
    <row r="2509" spans="1:11" x14ac:dyDescent="0.2">
      <c r="A2509" s="1" t="s">
        <v>2246</v>
      </c>
      <c r="B2509" s="1" t="s">
        <v>2345</v>
      </c>
      <c r="C2509" s="1" t="str">
        <f>"FOCO-TRA-CG"</f>
        <v>FOCO-TRA-CG</v>
      </c>
      <c r="D2509" s="1" t="str">
        <f>"FOCO-TRA-CG"</f>
        <v>FOCO-TRA-CG</v>
      </c>
      <c r="E2509" s="1" t="s">
        <v>17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</row>
    <row r="2510" spans="1:11" x14ac:dyDescent="0.2">
      <c r="A2510" s="1" t="s">
        <v>2246</v>
      </c>
      <c r="B2510" s="1" t="s">
        <v>2346</v>
      </c>
      <c r="C2510" s="1" t="str">
        <f>"66298890870101"</f>
        <v>66298890870101</v>
      </c>
      <c r="D2510" s="1" t="str">
        <f>"RD019"</f>
        <v>RD019</v>
      </c>
      <c r="E2510" s="1" t="s">
        <v>17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</row>
    <row r="2511" spans="1:11" x14ac:dyDescent="0.2">
      <c r="A2511" s="1" t="s">
        <v>2246</v>
      </c>
      <c r="B2511" s="1" t="s">
        <v>2346</v>
      </c>
      <c r="C2511" s="1" t="str">
        <f>"RD018"</f>
        <v>RD018</v>
      </c>
      <c r="D2511" s="1" t="str">
        <f>"RD018"</f>
        <v>RD018</v>
      </c>
      <c r="E2511" s="1" t="s">
        <v>17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</row>
    <row r="2512" spans="1:11" x14ac:dyDescent="0.2">
      <c r="A2512" s="1" t="s">
        <v>2246</v>
      </c>
      <c r="B2512" s="1" t="s">
        <v>2347</v>
      </c>
      <c r="C2512" s="1" t="str">
        <f>"PB014"</f>
        <v>PB014</v>
      </c>
      <c r="D2512" s="1" t="str">
        <f>"PB014"</f>
        <v>PB014</v>
      </c>
      <c r="E2512" s="1" t="s">
        <v>17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</row>
    <row r="2513" spans="1:11" x14ac:dyDescent="0.2">
      <c r="A2513" s="1" t="s">
        <v>2246</v>
      </c>
      <c r="B2513" s="1" t="s">
        <v>2348</v>
      </c>
      <c r="C2513" s="1" t="str">
        <f>"66298890907486"</f>
        <v>66298890907486</v>
      </c>
      <c r="D2513" s="1" t="str">
        <f>"PB002"</f>
        <v>PB002</v>
      </c>
      <c r="E2513" s="1" t="s">
        <v>17</v>
      </c>
      <c r="F2513" s="1">
        <v>1</v>
      </c>
      <c r="G2513" s="1">
        <v>2682</v>
      </c>
      <c r="H2513" s="1">
        <v>2682</v>
      </c>
      <c r="I2513" s="1">
        <v>0</v>
      </c>
      <c r="J2513" s="1">
        <v>1</v>
      </c>
      <c r="K2513" s="1">
        <v>0</v>
      </c>
    </row>
    <row r="2514" spans="1:11" x14ac:dyDescent="0.2">
      <c r="A2514" s="1" t="s">
        <v>2246</v>
      </c>
      <c r="B2514" s="1" t="s">
        <v>2349</v>
      </c>
      <c r="C2514" s="1" t="str">
        <f>"66298890947517"</f>
        <v>66298890947517</v>
      </c>
      <c r="D2514" s="1" t="str">
        <f>"80778"</f>
        <v>80778</v>
      </c>
      <c r="E2514" s="1" t="s">
        <v>17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</row>
    <row r="2515" spans="1:11" x14ac:dyDescent="0.2">
      <c r="A2515" s="1" t="s">
        <v>2246</v>
      </c>
      <c r="B2515" s="1" t="s">
        <v>2350</v>
      </c>
      <c r="C2515" s="1" t="str">
        <f>"PB005"</f>
        <v>PB005</v>
      </c>
      <c r="D2515" s="1" t="str">
        <f>"PB005"</f>
        <v>PB005</v>
      </c>
      <c r="E2515" s="1" t="s">
        <v>17</v>
      </c>
      <c r="F2515" s="1">
        <v>1</v>
      </c>
      <c r="G2515" s="1">
        <v>6102.01</v>
      </c>
      <c r="H2515" s="1">
        <v>6102</v>
      </c>
      <c r="I2515" s="1">
        <v>0</v>
      </c>
      <c r="J2515" s="1">
        <v>1</v>
      </c>
      <c r="K2515" s="1">
        <v>0</v>
      </c>
    </row>
    <row r="2516" spans="1:11" x14ac:dyDescent="0.2">
      <c r="A2516" s="1" t="s">
        <v>2246</v>
      </c>
      <c r="B2516" s="1" t="s">
        <v>2351</v>
      </c>
      <c r="C2516" s="1" t="str">
        <f>"66298890988279"</f>
        <v>66298890988279</v>
      </c>
      <c r="D2516" s="1" t="str">
        <f>"PB033"</f>
        <v>PB033</v>
      </c>
      <c r="E2516" s="1" t="s">
        <v>17</v>
      </c>
      <c r="F2516" s="1">
        <v>4</v>
      </c>
      <c r="G2516" s="1">
        <v>8991</v>
      </c>
      <c r="H2516" s="1">
        <v>35964</v>
      </c>
      <c r="I2516" s="1">
        <v>0</v>
      </c>
      <c r="J2516" s="1">
        <v>4</v>
      </c>
      <c r="K2516" s="1">
        <v>0</v>
      </c>
    </row>
    <row r="2517" spans="1:11" x14ac:dyDescent="0.2">
      <c r="A2517" s="1" t="s">
        <v>2246</v>
      </c>
      <c r="B2517" s="1" t="s">
        <v>2352</v>
      </c>
      <c r="C2517" s="1" t="str">
        <f>"PB040"</f>
        <v>PB040</v>
      </c>
      <c r="D2517" s="1" t="str">
        <f>"PB040"</f>
        <v>PB040</v>
      </c>
      <c r="E2517" s="1" t="s">
        <v>17</v>
      </c>
      <c r="F2517" s="1">
        <v>4</v>
      </c>
      <c r="G2517" s="1">
        <v>5354.98</v>
      </c>
      <c r="H2517" s="1">
        <v>21420</v>
      </c>
      <c r="I2517" s="1">
        <v>0</v>
      </c>
      <c r="J2517" s="1">
        <v>4</v>
      </c>
      <c r="K2517" s="1">
        <v>0</v>
      </c>
    </row>
    <row r="2518" spans="1:11" x14ac:dyDescent="0.2">
      <c r="A2518" s="1" t="s">
        <v>2246</v>
      </c>
      <c r="B2518" s="1" t="s">
        <v>2353</v>
      </c>
      <c r="C2518" s="1" t="str">
        <f>"66298891028219"</f>
        <v>66298891028219</v>
      </c>
      <c r="D2518" s="1" t="str">
        <f>"RD015"</f>
        <v>RD015</v>
      </c>
      <c r="E2518" s="1" t="s">
        <v>17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</row>
    <row r="2519" spans="1:11" x14ac:dyDescent="0.2">
      <c r="A2519" s="1" t="s">
        <v>2246</v>
      </c>
      <c r="B2519" s="1" t="s">
        <v>2354</v>
      </c>
      <c r="C2519" s="1" t="str">
        <f>"66298891069012"</f>
        <v>66298891069012</v>
      </c>
      <c r="D2519" s="1" t="str">
        <f>"B009"</f>
        <v>B009</v>
      </c>
      <c r="E2519" s="1" t="s">
        <v>17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</row>
    <row r="2520" spans="1:11" x14ac:dyDescent="0.2">
      <c r="A2520" s="1" t="s">
        <v>2246</v>
      </c>
      <c r="B2520" s="1" t="s">
        <v>2355</v>
      </c>
      <c r="C2520" s="1" t="str">
        <f>"PB049"</f>
        <v>PB049</v>
      </c>
      <c r="D2520" s="1" t="str">
        <f>"PB049"</f>
        <v>PB049</v>
      </c>
      <c r="E2520" s="1" t="s">
        <v>17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</row>
    <row r="2521" spans="1:11" x14ac:dyDescent="0.2">
      <c r="A2521" s="1" t="s">
        <v>2246</v>
      </c>
      <c r="B2521" s="1" t="s">
        <v>2356</v>
      </c>
      <c r="C2521" s="1" t="str">
        <f>"66298891112827"</f>
        <v>66298891112827</v>
      </c>
      <c r="D2521" s="1" t="str">
        <f>"20009"</f>
        <v>20009</v>
      </c>
      <c r="E2521" s="1" t="s">
        <v>17</v>
      </c>
      <c r="F2521" s="1">
        <v>2</v>
      </c>
      <c r="G2521" s="1">
        <v>11280</v>
      </c>
      <c r="H2521" s="1">
        <v>22560</v>
      </c>
      <c r="I2521" s="1">
        <v>0</v>
      </c>
      <c r="J2521" s="1">
        <v>2</v>
      </c>
      <c r="K2521" s="1">
        <v>0</v>
      </c>
    </row>
    <row r="2522" spans="1:11" x14ac:dyDescent="0.2">
      <c r="A2522" s="1" t="s">
        <v>2246</v>
      </c>
      <c r="B2522" s="1" t="s">
        <v>2357</v>
      </c>
      <c r="C2522" s="1" t="str">
        <f>"RD024"</f>
        <v>RD024</v>
      </c>
      <c r="D2522" s="1" t="str">
        <f>"RD024"</f>
        <v>RD024</v>
      </c>
      <c r="E2522" s="1" t="s">
        <v>17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</row>
    <row r="2523" spans="1:11" x14ac:dyDescent="0.2">
      <c r="A2523" s="1" t="s">
        <v>2246</v>
      </c>
      <c r="B2523" s="1" t="s">
        <v>2358</v>
      </c>
      <c r="C2523" s="1" t="str">
        <f>"PB008"</f>
        <v>PB008</v>
      </c>
      <c r="D2523" s="1" t="str">
        <f>"PB008"</f>
        <v>PB008</v>
      </c>
      <c r="E2523" s="1" t="s">
        <v>17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</row>
    <row r="2524" spans="1:11" x14ac:dyDescent="0.2">
      <c r="A2524" s="1" t="s">
        <v>2246</v>
      </c>
      <c r="B2524" s="1" t="s">
        <v>2359</v>
      </c>
      <c r="C2524" s="1" t="str">
        <f>"66298891149797"</f>
        <v>66298891149797</v>
      </c>
      <c r="D2524" s="1" t="str">
        <f>"PB017"</f>
        <v>PB017</v>
      </c>
      <c r="E2524" s="1" t="s">
        <v>17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</row>
    <row r="2525" spans="1:11" x14ac:dyDescent="0.2">
      <c r="A2525" s="1" t="s">
        <v>2246</v>
      </c>
      <c r="B2525" s="1" t="s">
        <v>2360</v>
      </c>
      <c r="C2525" s="1" t="str">
        <f>"66298891189846"</f>
        <v>66298891189846</v>
      </c>
      <c r="D2525" s="1" t="str">
        <f>"B014"</f>
        <v>B014</v>
      </c>
      <c r="E2525" s="1" t="s">
        <v>17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</row>
    <row r="2526" spans="1:11" x14ac:dyDescent="0.2">
      <c r="A2526" s="1" t="s">
        <v>2246</v>
      </c>
      <c r="B2526" s="1" t="s">
        <v>2361</v>
      </c>
      <c r="C2526" s="1" t="str">
        <f>"66298891263582"</f>
        <v>66298891263582</v>
      </c>
      <c r="D2526" s="1" t="str">
        <f>"RD030"</f>
        <v>RD030</v>
      </c>
      <c r="E2526" s="1" t="s">
        <v>17</v>
      </c>
      <c r="F2526" s="1">
        <v>4</v>
      </c>
      <c r="G2526" s="1">
        <v>18526</v>
      </c>
      <c r="H2526" s="1">
        <v>74104</v>
      </c>
      <c r="I2526" s="1">
        <v>0</v>
      </c>
      <c r="J2526" s="1">
        <v>4</v>
      </c>
      <c r="K2526" s="1">
        <v>0</v>
      </c>
    </row>
    <row r="2527" spans="1:11" x14ac:dyDescent="0.2">
      <c r="A2527" s="1" t="s">
        <v>2246</v>
      </c>
      <c r="B2527" s="1" t="s">
        <v>2362</v>
      </c>
      <c r="C2527" s="1" t="str">
        <f>"66298891303123"</f>
        <v>66298891303123</v>
      </c>
      <c r="D2527" s="1" t="str">
        <f>"RD031"</f>
        <v>RD031</v>
      </c>
      <c r="E2527" s="1" t="s">
        <v>17</v>
      </c>
      <c r="F2527" s="1">
        <v>2</v>
      </c>
      <c r="G2527" s="1">
        <v>18526</v>
      </c>
      <c r="H2527" s="1">
        <v>37052</v>
      </c>
      <c r="I2527" s="1">
        <v>0</v>
      </c>
      <c r="J2527" s="1">
        <v>2</v>
      </c>
      <c r="K2527" s="1">
        <v>0</v>
      </c>
    </row>
    <row r="2528" spans="1:11" x14ac:dyDescent="0.2">
      <c r="A2528" s="1" t="s">
        <v>2246</v>
      </c>
      <c r="B2528" s="1" t="s">
        <v>2363</v>
      </c>
      <c r="C2528" s="1" t="str">
        <f>"66298891227504"</f>
        <v>66298891227504</v>
      </c>
      <c r="D2528" s="1" t="str">
        <f>"RD022"</f>
        <v>RD022</v>
      </c>
      <c r="E2528" s="1" t="s">
        <v>17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</row>
    <row r="2529" spans="1:11" x14ac:dyDescent="0.2">
      <c r="A2529" s="1" t="s">
        <v>2246</v>
      </c>
      <c r="B2529" s="1" t="s">
        <v>2364</v>
      </c>
      <c r="C2529" s="1" t="str">
        <f>"PB013"</f>
        <v>PB013</v>
      </c>
      <c r="D2529" s="1" t="str">
        <f>"PB013"</f>
        <v>PB013</v>
      </c>
      <c r="E2529" s="1" t="s">
        <v>17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</row>
    <row r="2530" spans="1:11" x14ac:dyDescent="0.2">
      <c r="A2530" s="1" t="s">
        <v>2246</v>
      </c>
      <c r="B2530" s="1" t="s">
        <v>2365</v>
      </c>
      <c r="C2530" s="1" t="str">
        <f>"66298891343433"</f>
        <v>66298891343433</v>
      </c>
      <c r="D2530" s="1" t="str">
        <f>"33701-KCZ-004"</f>
        <v>33701-KCZ-004</v>
      </c>
      <c r="E2530" s="1" t="s">
        <v>17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</row>
    <row r="2531" spans="1:11" x14ac:dyDescent="0.2">
      <c r="A2531" s="1" t="s">
        <v>2246</v>
      </c>
      <c r="B2531" s="1" t="s">
        <v>2366</v>
      </c>
      <c r="C2531" s="1" t="str">
        <f>"PB021"</f>
        <v>PB021</v>
      </c>
      <c r="D2531" s="1" t="str">
        <f>"PB021"</f>
        <v>PB021</v>
      </c>
      <c r="E2531" s="1" t="s">
        <v>17</v>
      </c>
      <c r="F2531" s="1">
        <v>1</v>
      </c>
      <c r="G2531" s="1">
        <v>5057.88</v>
      </c>
      <c r="H2531" s="1">
        <v>5058</v>
      </c>
      <c r="I2531" s="1">
        <v>0</v>
      </c>
      <c r="J2531" s="1">
        <v>1</v>
      </c>
      <c r="K2531" s="1">
        <v>0</v>
      </c>
    </row>
    <row r="2532" spans="1:11" x14ac:dyDescent="0.2">
      <c r="A2532" s="1" t="s">
        <v>2246</v>
      </c>
      <c r="B2532" s="1" t="s">
        <v>2367</v>
      </c>
      <c r="C2532" s="1" t="str">
        <f>"PB029"</f>
        <v>PB029</v>
      </c>
      <c r="D2532" s="1" t="str">
        <f>"PB029"</f>
        <v>PB029</v>
      </c>
      <c r="E2532" s="1" t="s">
        <v>17</v>
      </c>
      <c r="F2532" s="1">
        <v>2</v>
      </c>
      <c r="G2532" s="1">
        <v>2456.9899999999998</v>
      </c>
      <c r="H2532" s="1">
        <v>4914</v>
      </c>
      <c r="I2532" s="1">
        <v>0</v>
      </c>
      <c r="J2532" s="1">
        <v>2</v>
      </c>
      <c r="K2532" s="1">
        <v>0</v>
      </c>
    </row>
    <row r="2533" spans="1:11" x14ac:dyDescent="0.2">
      <c r="A2533" s="1" t="s">
        <v>2291</v>
      </c>
      <c r="B2533" s="1" t="s">
        <v>2368</v>
      </c>
      <c r="C2533" s="1" t="str">
        <f>"66298891386992"</f>
        <v>66298891386992</v>
      </c>
      <c r="D2533" s="1" t="str">
        <f>"3228"</f>
        <v>3228</v>
      </c>
      <c r="E2533" s="1" t="s">
        <v>17</v>
      </c>
      <c r="F2533" s="1">
        <v>10</v>
      </c>
      <c r="G2533" s="1">
        <v>2479</v>
      </c>
      <c r="H2533" s="1">
        <v>24790</v>
      </c>
      <c r="I2533" s="1">
        <v>0</v>
      </c>
      <c r="J2533" s="1">
        <v>10</v>
      </c>
      <c r="K2533" s="1">
        <v>0</v>
      </c>
    </row>
    <row r="2534" spans="1:11" x14ac:dyDescent="0.2">
      <c r="A2534" s="1" t="s">
        <v>2291</v>
      </c>
      <c r="B2534" s="1" t="s">
        <v>2369</v>
      </c>
      <c r="C2534" s="1" t="str">
        <f>"66298891425878"</f>
        <v>66298891425878</v>
      </c>
      <c r="D2534" s="1" t="str">
        <f>"0038A"</f>
        <v>0038A</v>
      </c>
      <c r="E2534" s="1" t="s">
        <v>17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</row>
    <row r="2535" spans="1:11" x14ac:dyDescent="0.2">
      <c r="A2535" s="1" t="s">
        <v>2246</v>
      </c>
      <c r="B2535" s="1" t="s">
        <v>2370</v>
      </c>
      <c r="C2535" s="1" t="str">
        <f>"RF029"</f>
        <v>RF029</v>
      </c>
      <c r="D2535" s="1" t="str">
        <f>"RF029"</f>
        <v>RF029</v>
      </c>
      <c r="E2535" s="1" t="s">
        <v>17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</row>
    <row r="2536" spans="1:11" x14ac:dyDescent="0.2">
      <c r="A2536" s="1" t="s">
        <v>2246</v>
      </c>
      <c r="B2536" s="1" t="s">
        <v>2371</v>
      </c>
      <c r="C2536" s="1" t="str">
        <f>"RF016"</f>
        <v>RF016</v>
      </c>
      <c r="D2536" s="1" t="str">
        <f>"RF016"</f>
        <v>RF016</v>
      </c>
      <c r="E2536" s="1" t="s">
        <v>17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</row>
    <row r="2537" spans="1:11" x14ac:dyDescent="0.2">
      <c r="A2537" s="1" t="s">
        <v>2246</v>
      </c>
      <c r="B2537" s="1" t="s">
        <v>2372</v>
      </c>
      <c r="C2537" s="1" t="str">
        <f>"RF025"</f>
        <v>RF025</v>
      </c>
      <c r="D2537" s="1" t="str">
        <f>"RF025"</f>
        <v>RF025</v>
      </c>
      <c r="E2537" s="1" t="s">
        <v>17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</row>
    <row r="2538" spans="1:11" ht="30" x14ac:dyDescent="0.2">
      <c r="A2538" s="1" t="s">
        <v>2291</v>
      </c>
      <c r="B2538" s="1" t="s">
        <v>2373</v>
      </c>
      <c r="C2538" s="1" t="str">
        <f>"49CC05"</f>
        <v>49CC05</v>
      </c>
      <c r="D2538" s="1" t="str">
        <f>"49CC05"</f>
        <v>49CC05</v>
      </c>
      <c r="E2538" s="1" t="s">
        <v>17</v>
      </c>
      <c r="F2538" s="1">
        <v>4</v>
      </c>
      <c r="G2538" s="1">
        <v>4725</v>
      </c>
      <c r="H2538" s="1">
        <v>18900</v>
      </c>
      <c r="I2538" s="1">
        <v>0</v>
      </c>
      <c r="J2538" s="1">
        <v>4</v>
      </c>
      <c r="K2538" s="1">
        <v>0</v>
      </c>
    </row>
    <row r="2539" spans="1:11" x14ac:dyDescent="0.2">
      <c r="A2539" s="1" t="s">
        <v>2246</v>
      </c>
      <c r="B2539" s="1" t="s">
        <v>2374</v>
      </c>
      <c r="C2539" s="1" t="str">
        <f>"12072-PAR"</f>
        <v>12072-PAR</v>
      </c>
      <c r="D2539" s="1" t="str">
        <f>"12072-PAR"</f>
        <v>12072-PAR</v>
      </c>
      <c r="E2539" s="1" t="s">
        <v>17</v>
      </c>
      <c r="F2539" s="1">
        <v>1</v>
      </c>
      <c r="G2539" s="1">
        <v>4326.05</v>
      </c>
      <c r="H2539" s="1">
        <v>4326</v>
      </c>
      <c r="I2539" s="1">
        <v>0</v>
      </c>
      <c r="J2539" s="1">
        <v>1</v>
      </c>
      <c r="K2539" s="1">
        <v>0</v>
      </c>
    </row>
    <row r="2540" spans="1:11" x14ac:dyDescent="0.2">
      <c r="A2540" s="1" t="s">
        <v>2246</v>
      </c>
      <c r="B2540" s="1" t="s">
        <v>2375</v>
      </c>
      <c r="C2540" s="1" t="str">
        <f>"RF013"</f>
        <v>RF013</v>
      </c>
      <c r="D2540" s="1" t="str">
        <f>"RF013"</f>
        <v>RF013</v>
      </c>
      <c r="E2540" s="1" t="s">
        <v>17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</row>
    <row r="2541" spans="1:11" x14ac:dyDescent="0.2">
      <c r="A2541" s="1" t="s">
        <v>2246</v>
      </c>
      <c r="B2541" s="1" t="s">
        <v>2376</v>
      </c>
      <c r="C2541" s="1" t="str">
        <f>"RF024"</f>
        <v>RF024</v>
      </c>
      <c r="D2541" s="1" t="str">
        <f>"RF024"</f>
        <v>RF024</v>
      </c>
      <c r="E2541" s="1" t="s">
        <v>17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</row>
    <row r="2542" spans="1:11" x14ac:dyDescent="0.2">
      <c r="A2542" s="1" t="s">
        <v>2246</v>
      </c>
      <c r="B2542" s="1" t="s">
        <v>2377</v>
      </c>
      <c r="C2542" s="1" t="str">
        <f>"RF021"</f>
        <v>RF021</v>
      </c>
      <c r="D2542" s="1" t="str">
        <f>"RF021"</f>
        <v>RF021</v>
      </c>
      <c r="E2542" s="1" t="s">
        <v>17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</row>
    <row r="2543" spans="1:11" x14ac:dyDescent="0.2">
      <c r="A2543" s="1" t="s">
        <v>2291</v>
      </c>
      <c r="B2543" s="1" t="s">
        <v>2378</v>
      </c>
      <c r="C2543" s="1" t="str">
        <f>"66298891470234"</f>
        <v>66298891470234</v>
      </c>
      <c r="D2543" s="1" t="str">
        <f>"RF036"</f>
        <v>RF036</v>
      </c>
      <c r="E2543" s="1" t="s">
        <v>17</v>
      </c>
      <c r="F2543" s="1">
        <v>1</v>
      </c>
      <c r="G2543" s="1">
        <v>4491</v>
      </c>
      <c r="H2543" s="1">
        <v>4491</v>
      </c>
      <c r="I2543" s="1">
        <v>0</v>
      </c>
      <c r="J2543" s="1">
        <v>1</v>
      </c>
      <c r="K2543" s="1">
        <v>0</v>
      </c>
    </row>
    <row r="2544" spans="1:11" x14ac:dyDescent="0.2">
      <c r="A2544" s="1" t="s">
        <v>2291</v>
      </c>
      <c r="B2544" s="1" t="s">
        <v>2379</v>
      </c>
      <c r="C2544" s="1" t="str">
        <f>"66298891511281"</f>
        <v>66298891511281</v>
      </c>
      <c r="D2544" s="1" t="str">
        <f>"0152"</f>
        <v>0152</v>
      </c>
      <c r="E2544" s="1" t="s">
        <v>17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</row>
    <row r="2545" spans="1:11" x14ac:dyDescent="0.2">
      <c r="A2545" s="1" t="s">
        <v>2291</v>
      </c>
      <c r="B2545" s="1" t="s">
        <v>2379</v>
      </c>
      <c r="C2545" s="1" t="str">
        <f>"66298891551355"</f>
        <v>66298891551355</v>
      </c>
      <c r="D2545" s="1" t="str">
        <f>"83037"</f>
        <v>83037</v>
      </c>
      <c r="E2545" s="1" t="s">
        <v>17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</row>
    <row r="2546" spans="1:11" x14ac:dyDescent="0.2">
      <c r="A2546" s="1" t="s">
        <v>2291</v>
      </c>
      <c r="B2546" s="1" t="s">
        <v>2380</v>
      </c>
      <c r="C2546" s="1" t="str">
        <f>"66298891592320"</f>
        <v>66298891592320</v>
      </c>
      <c r="D2546" s="1" t="str">
        <f>"1433"</f>
        <v>1433</v>
      </c>
      <c r="E2546" s="1" t="s">
        <v>17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</row>
    <row r="2547" spans="1:11" x14ac:dyDescent="0.2">
      <c r="A2547" s="1" t="s">
        <v>2291</v>
      </c>
      <c r="B2547" s="1" t="s">
        <v>2381</v>
      </c>
      <c r="C2547" s="1" t="str">
        <f>"66298891666844"</f>
        <v>66298891666844</v>
      </c>
      <c r="D2547" s="1" t="str">
        <f>"0145"</f>
        <v>0145</v>
      </c>
      <c r="E2547" s="1" t="s">
        <v>17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</row>
    <row r="2548" spans="1:11" x14ac:dyDescent="0.2">
      <c r="A2548" s="1" t="s">
        <v>2291</v>
      </c>
      <c r="B2548" s="1" t="s">
        <v>2381</v>
      </c>
      <c r="C2548" s="1" t="str">
        <f>"66298891672884"</f>
        <v>66298891672884</v>
      </c>
      <c r="D2548" s="1" t="str">
        <f>"0028"</f>
        <v>0028</v>
      </c>
      <c r="E2548" s="1" t="s">
        <v>17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</row>
    <row r="2549" spans="1:11" x14ac:dyDescent="0.2">
      <c r="A2549" s="1" t="s">
        <v>2291</v>
      </c>
      <c r="B2549" s="1" t="s">
        <v>2381</v>
      </c>
      <c r="C2549" s="1" t="str">
        <f>"66298891679398"</f>
        <v>66298891679398</v>
      </c>
      <c r="D2549" s="1" t="str">
        <f>"0114"</f>
        <v>0114</v>
      </c>
      <c r="E2549" s="1" t="s">
        <v>17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</row>
    <row r="2550" spans="1:11" x14ac:dyDescent="0.2">
      <c r="A2550" s="1" t="s">
        <v>2291</v>
      </c>
      <c r="B2550" s="1" t="s">
        <v>2381</v>
      </c>
      <c r="C2550" s="1" t="str">
        <f>"66298891688174"</f>
        <v>66298891688174</v>
      </c>
      <c r="D2550" s="1" t="str">
        <f>"84953"</f>
        <v>84953</v>
      </c>
      <c r="E2550" s="1" t="s">
        <v>17</v>
      </c>
      <c r="F2550" s="1">
        <v>2</v>
      </c>
      <c r="G2550" s="1">
        <v>3446</v>
      </c>
      <c r="H2550" s="1">
        <v>6892</v>
      </c>
      <c r="I2550" s="1">
        <v>0</v>
      </c>
      <c r="J2550" s="1">
        <v>2</v>
      </c>
      <c r="K2550" s="1">
        <v>0</v>
      </c>
    </row>
    <row r="2551" spans="1:11" x14ac:dyDescent="0.2">
      <c r="A2551" s="1" t="s">
        <v>2291</v>
      </c>
      <c r="B2551" s="1" t="s">
        <v>2381</v>
      </c>
      <c r="C2551" s="1" t="str">
        <f>"66298891693700"</f>
        <v>66298891693700</v>
      </c>
      <c r="D2551" s="1" t="str">
        <f>"84961"</f>
        <v>84961</v>
      </c>
      <c r="E2551" s="1" t="s">
        <v>17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</row>
    <row r="2552" spans="1:11" x14ac:dyDescent="0.2">
      <c r="A2552" s="1" t="s">
        <v>2291</v>
      </c>
      <c r="B2552" s="1" t="s">
        <v>2381</v>
      </c>
      <c r="C2552" s="1" t="str">
        <f>"66298891698839"</f>
        <v>66298891698839</v>
      </c>
      <c r="D2552" s="1" t="str">
        <f>"84958"</f>
        <v>84958</v>
      </c>
      <c r="E2552" s="1" t="s">
        <v>17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</row>
    <row r="2553" spans="1:11" x14ac:dyDescent="0.2">
      <c r="A2553" s="1" t="s">
        <v>2291</v>
      </c>
      <c r="B2553" s="1" t="s">
        <v>2381</v>
      </c>
      <c r="C2553" s="1" t="str">
        <f>"66298891704600"</f>
        <v>66298891704600</v>
      </c>
      <c r="D2553" s="1" t="str">
        <f>"84962"</f>
        <v>84962</v>
      </c>
      <c r="E2553" s="1" t="s">
        <v>17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</row>
    <row r="2554" spans="1:11" x14ac:dyDescent="0.2">
      <c r="A2554" s="1" t="s">
        <v>2291</v>
      </c>
      <c r="B2554" s="1" t="s">
        <v>2381</v>
      </c>
      <c r="C2554" s="1" t="str">
        <f>"66298891709689"</f>
        <v>66298891709689</v>
      </c>
      <c r="D2554" s="1" t="str">
        <f>"84959"</f>
        <v>84959</v>
      </c>
      <c r="E2554" s="1" t="s">
        <v>17</v>
      </c>
      <c r="F2554" s="1">
        <v>2</v>
      </c>
      <c r="G2554" s="1">
        <v>3905</v>
      </c>
      <c r="H2554" s="1">
        <v>7810</v>
      </c>
      <c r="I2554" s="1">
        <v>0</v>
      </c>
      <c r="J2554" s="1">
        <v>2</v>
      </c>
      <c r="K2554" s="1">
        <v>0</v>
      </c>
    </row>
    <row r="2555" spans="1:11" x14ac:dyDescent="0.2">
      <c r="A2555" s="1" t="s">
        <v>2291</v>
      </c>
      <c r="B2555" s="1" t="s">
        <v>2381</v>
      </c>
      <c r="C2555" s="1" t="str">
        <f>"66298891714033"</f>
        <v>66298891714033</v>
      </c>
      <c r="D2555" s="1" t="str">
        <f>"RE009"</f>
        <v>RE009</v>
      </c>
      <c r="E2555" s="1" t="s">
        <v>17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</row>
    <row r="2556" spans="1:11" x14ac:dyDescent="0.2">
      <c r="A2556" s="1" t="s">
        <v>2291</v>
      </c>
      <c r="B2556" s="1" t="s">
        <v>2381</v>
      </c>
      <c r="C2556" s="1" t="str">
        <f>"66298891720280"</f>
        <v>66298891720280</v>
      </c>
      <c r="D2556" s="1" t="str">
        <f>"RE010"</f>
        <v>RE010</v>
      </c>
      <c r="E2556" s="1" t="s">
        <v>17</v>
      </c>
      <c r="F2556" s="1">
        <v>1</v>
      </c>
      <c r="G2556" s="1">
        <v>2771</v>
      </c>
      <c r="H2556" s="1">
        <v>2771</v>
      </c>
      <c r="I2556" s="1">
        <v>0</v>
      </c>
      <c r="J2556" s="1">
        <v>1</v>
      </c>
      <c r="K2556" s="1">
        <v>0</v>
      </c>
    </row>
    <row r="2557" spans="1:11" x14ac:dyDescent="0.2">
      <c r="A2557" s="1" t="s">
        <v>2291</v>
      </c>
      <c r="B2557" s="1" t="s">
        <v>2381</v>
      </c>
      <c r="C2557" s="1" t="str">
        <f>"66298891725473"</f>
        <v>66298891725473</v>
      </c>
      <c r="D2557" s="1" t="str">
        <f>"RE014"</f>
        <v>RE014</v>
      </c>
      <c r="E2557" s="1" t="s">
        <v>17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</row>
    <row r="2558" spans="1:11" x14ac:dyDescent="0.2">
      <c r="A2558" s="1" t="s">
        <v>2291</v>
      </c>
      <c r="B2558" s="1" t="s">
        <v>2381</v>
      </c>
      <c r="C2558" s="1" t="str">
        <f>"66298891908237"</f>
        <v>66298891908237</v>
      </c>
      <c r="D2558" s="1" t="str">
        <f>"556"</f>
        <v>556</v>
      </c>
      <c r="E2558" s="1" t="s">
        <v>17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</row>
    <row r="2559" spans="1:11" x14ac:dyDescent="0.2">
      <c r="A2559" s="1" t="s">
        <v>2246</v>
      </c>
      <c r="B2559" s="1" t="s">
        <v>2381</v>
      </c>
      <c r="C2559" s="1" t="str">
        <f>"55003"</f>
        <v>55003</v>
      </c>
      <c r="D2559" s="1" t="str">
        <f>"55003"</f>
        <v>55003</v>
      </c>
      <c r="E2559" s="1" t="s">
        <v>17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</row>
    <row r="2560" spans="1:11" x14ac:dyDescent="0.2">
      <c r="A2560" s="1" t="s">
        <v>2246</v>
      </c>
      <c r="B2560" s="1" t="s">
        <v>2381</v>
      </c>
      <c r="C2560" s="1" t="str">
        <f>"134353"</f>
        <v>134353</v>
      </c>
      <c r="D2560" s="1" t="str">
        <f>"134353"</f>
        <v>134353</v>
      </c>
      <c r="E2560" s="1" t="s">
        <v>17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</row>
    <row r="2561" spans="1:11" x14ac:dyDescent="0.2">
      <c r="A2561" s="1" t="s">
        <v>2246</v>
      </c>
      <c r="B2561" s="1" t="s">
        <v>2381</v>
      </c>
      <c r="C2561" s="1" t="str">
        <f>"136795"</f>
        <v>136795</v>
      </c>
      <c r="D2561" s="1" t="str">
        <f>"136795"</f>
        <v>136795</v>
      </c>
      <c r="E2561" s="1" t="s">
        <v>17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</row>
    <row r="2562" spans="1:11" x14ac:dyDescent="0.2">
      <c r="A2562" s="1" t="s">
        <v>2246</v>
      </c>
      <c r="B2562" s="1" t="s">
        <v>2381</v>
      </c>
      <c r="C2562" s="1" t="str">
        <f>"RE013"</f>
        <v>RE013</v>
      </c>
      <c r="D2562" s="1" t="str">
        <f>"RE013"</f>
        <v>RE013</v>
      </c>
      <c r="E2562" s="1" t="s">
        <v>17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</row>
    <row r="2563" spans="1:11" x14ac:dyDescent="0.2">
      <c r="A2563" s="1" t="s">
        <v>2246</v>
      </c>
      <c r="B2563" s="1" t="s">
        <v>2381</v>
      </c>
      <c r="C2563" s="1" t="str">
        <f>"RE074"</f>
        <v>RE074</v>
      </c>
      <c r="D2563" s="1" t="str">
        <f>"RE074"</f>
        <v>RE074</v>
      </c>
      <c r="E2563" s="1" t="s">
        <v>17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</row>
    <row r="2564" spans="1:11" x14ac:dyDescent="0.2">
      <c r="A2564" s="1" t="s">
        <v>2246</v>
      </c>
      <c r="B2564" s="1" t="s">
        <v>2381</v>
      </c>
      <c r="C2564" s="1" t="str">
        <f>"136817"</f>
        <v>136817</v>
      </c>
      <c r="D2564" s="1" t="str">
        <f>"136817"</f>
        <v>136817</v>
      </c>
      <c r="E2564" s="1" t="s">
        <v>17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</row>
    <row r="2565" spans="1:11" x14ac:dyDescent="0.2">
      <c r="A2565" s="1" t="s">
        <v>2246</v>
      </c>
      <c r="B2565" s="1" t="s">
        <v>2381</v>
      </c>
      <c r="C2565" s="1" t="str">
        <f>"2116"</f>
        <v>2116</v>
      </c>
      <c r="D2565" s="1" t="str">
        <f>"2116"</f>
        <v>2116</v>
      </c>
      <c r="E2565" s="1" t="s">
        <v>17</v>
      </c>
      <c r="F2565" s="1">
        <v>6</v>
      </c>
      <c r="G2565" s="1">
        <v>2731</v>
      </c>
      <c r="H2565" s="1">
        <v>16386</v>
      </c>
      <c r="I2565" s="1">
        <v>0</v>
      </c>
      <c r="J2565" s="1">
        <v>6</v>
      </c>
      <c r="K2565" s="1">
        <v>0</v>
      </c>
    </row>
    <row r="2566" spans="1:11" x14ac:dyDescent="0.2">
      <c r="A2566" s="1" t="s">
        <v>2246</v>
      </c>
      <c r="B2566" s="1" t="s">
        <v>2381</v>
      </c>
      <c r="C2566" s="1" t="str">
        <f>"55002"</f>
        <v>55002</v>
      </c>
      <c r="D2566" s="1" t="str">
        <f>"55002"</f>
        <v>55002</v>
      </c>
      <c r="E2566" s="1" t="s">
        <v>17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</row>
    <row r="2567" spans="1:11" x14ac:dyDescent="0.2">
      <c r="A2567" s="1" t="s">
        <v>2246</v>
      </c>
      <c r="B2567" s="1" t="s">
        <v>2381</v>
      </c>
      <c r="C2567" s="1" t="str">
        <f>"55004"</f>
        <v>55004</v>
      </c>
      <c r="D2567" s="1" t="str">
        <f>"55004"</f>
        <v>55004</v>
      </c>
      <c r="E2567" s="1" t="s">
        <v>17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</row>
    <row r="2568" spans="1:11" x14ac:dyDescent="0.2">
      <c r="A2568" s="1" t="s">
        <v>2246</v>
      </c>
      <c r="B2568" s="1" t="s">
        <v>2381</v>
      </c>
      <c r="C2568" s="1" t="str">
        <f>"55005"</f>
        <v>55005</v>
      </c>
      <c r="D2568" s="1" t="str">
        <f>"55005"</f>
        <v>55005</v>
      </c>
      <c r="E2568" s="1" t="s">
        <v>17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</row>
    <row r="2569" spans="1:11" x14ac:dyDescent="0.2">
      <c r="A2569" s="1" t="s">
        <v>2246</v>
      </c>
      <c r="B2569" s="1" t="s">
        <v>2381</v>
      </c>
      <c r="C2569" s="1" t="str">
        <f>"121604"</f>
        <v>121604</v>
      </c>
      <c r="D2569" s="1" t="str">
        <f>"121604"</f>
        <v>121604</v>
      </c>
      <c r="E2569" s="1" t="s">
        <v>17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</row>
    <row r="2570" spans="1:11" x14ac:dyDescent="0.2">
      <c r="A2570" s="1" t="s">
        <v>2246</v>
      </c>
      <c r="B2570" s="1" t="s">
        <v>2381</v>
      </c>
      <c r="C2570" s="1" t="str">
        <f>"13551"</f>
        <v>13551</v>
      </c>
      <c r="D2570" s="1" t="str">
        <f>"13551"</f>
        <v>13551</v>
      </c>
      <c r="E2570" s="1" t="s">
        <v>17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</row>
    <row r="2571" spans="1:11" x14ac:dyDescent="0.2">
      <c r="A2571" s="1" t="s">
        <v>2246</v>
      </c>
      <c r="B2571" s="1" t="s">
        <v>2381</v>
      </c>
      <c r="C2571" s="1" t="str">
        <f>"13552"</f>
        <v>13552</v>
      </c>
      <c r="D2571" s="1" t="str">
        <f>"13552"</f>
        <v>13552</v>
      </c>
      <c r="E2571" s="1" t="s">
        <v>17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</row>
    <row r="2572" spans="1:11" x14ac:dyDescent="0.2">
      <c r="A2572" s="1" t="s">
        <v>2246</v>
      </c>
      <c r="B2572" s="1" t="s">
        <v>2381</v>
      </c>
      <c r="C2572" s="1" t="str">
        <f>"RE030"</f>
        <v>RE030</v>
      </c>
      <c r="D2572" s="1" t="str">
        <f>"RE030"</f>
        <v>RE030</v>
      </c>
      <c r="E2572" s="1" t="s">
        <v>17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</row>
    <row r="2573" spans="1:11" x14ac:dyDescent="0.2">
      <c r="A2573" s="1" t="s">
        <v>2246</v>
      </c>
      <c r="B2573" s="1" t="s">
        <v>2381</v>
      </c>
      <c r="C2573" s="1" t="str">
        <f>"RE037"</f>
        <v>RE037</v>
      </c>
      <c r="D2573" s="1" t="str">
        <f>"RE037"</f>
        <v>RE037</v>
      </c>
      <c r="E2573" s="1" t="s">
        <v>17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</row>
    <row r="2574" spans="1:11" x14ac:dyDescent="0.2">
      <c r="A2574" s="1" t="s">
        <v>2246</v>
      </c>
      <c r="B2574" s="1" t="s">
        <v>2381</v>
      </c>
      <c r="C2574" s="1" t="str">
        <f>"RE039"</f>
        <v>RE039</v>
      </c>
      <c r="D2574" s="1" t="str">
        <f>"RE039"</f>
        <v>RE039</v>
      </c>
      <c r="E2574" s="1" t="s">
        <v>17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</row>
    <row r="2575" spans="1:11" x14ac:dyDescent="0.2">
      <c r="A2575" s="1" t="s">
        <v>2246</v>
      </c>
      <c r="B2575" s="1" t="s">
        <v>2381</v>
      </c>
      <c r="C2575" s="1" t="str">
        <f>"RE040"</f>
        <v>RE040</v>
      </c>
      <c r="D2575" s="1" t="str">
        <f>"RE040"</f>
        <v>RE040</v>
      </c>
      <c r="E2575" s="1" t="s">
        <v>17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</row>
    <row r="2576" spans="1:11" x14ac:dyDescent="0.2">
      <c r="A2576" s="1" t="s">
        <v>2246</v>
      </c>
      <c r="B2576" s="1" t="s">
        <v>2381</v>
      </c>
      <c r="C2576" s="1" t="str">
        <f>"RE043"</f>
        <v>RE043</v>
      </c>
      <c r="D2576" s="1" t="str">
        <f>"RE043"</f>
        <v>RE043</v>
      </c>
      <c r="E2576" s="1" t="s">
        <v>17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</row>
    <row r="2577" spans="1:11" x14ac:dyDescent="0.2">
      <c r="A2577" s="1" t="s">
        <v>2246</v>
      </c>
      <c r="B2577" s="1" t="s">
        <v>2381</v>
      </c>
      <c r="C2577" s="1" t="str">
        <f>"3156"</f>
        <v>3156</v>
      </c>
      <c r="D2577" s="1" t="str">
        <f>"3156"</f>
        <v>3156</v>
      </c>
      <c r="E2577" s="1" t="s">
        <v>17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</row>
    <row r="2578" spans="1:11" x14ac:dyDescent="0.2">
      <c r="A2578" s="1" t="s">
        <v>2246</v>
      </c>
      <c r="B2578" s="1" t="s">
        <v>2381</v>
      </c>
      <c r="C2578" s="1" t="str">
        <f>"55001"</f>
        <v>55001</v>
      </c>
      <c r="D2578" s="1" t="str">
        <f>"55001"</f>
        <v>55001</v>
      </c>
      <c r="E2578" s="1" t="s">
        <v>17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</row>
    <row r="2579" spans="1:11" x14ac:dyDescent="0.2">
      <c r="A2579" s="1" t="s">
        <v>2246</v>
      </c>
      <c r="B2579" s="1" t="s">
        <v>2381</v>
      </c>
      <c r="C2579" s="1" t="str">
        <f>"120724"</f>
        <v>120724</v>
      </c>
      <c r="D2579" s="1" t="str">
        <f>"120724"</f>
        <v>120724</v>
      </c>
      <c r="E2579" s="1" t="s">
        <v>17</v>
      </c>
      <c r="F2579" s="1">
        <v>6</v>
      </c>
      <c r="G2579" s="1">
        <v>2815</v>
      </c>
      <c r="H2579" s="1">
        <v>16890</v>
      </c>
      <c r="I2579" s="1">
        <v>0</v>
      </c>
      <c r="J2579" s="1">
        <v>6</v>
      </c>
      <c r="K2579" s="1">
        <v>0</v>
      </c>
    </row>
    <row r="2580" spans="1:11" x14ac:dyDescent="0.2">
      <c r="A2580" s="1" t="s">
        <v>2246</v>
      </c>
      <c r="B2580" s="1" t="s">
        <v>2381</v>
      </c>
      <c r="C2580" s="1" t="str">
        <f>"120713"</f>
        <v>120713</v>
      </c>
      <c r="D2580" s="1" t="str">
        <f>"120713"</f>
        <v>120713</v>
      </c>
      <c r="E2580" s="1" t="s">
        <v>17</v>
      </c>
      <c r="F2580" s="1">
        <v>6</v>
      </c>
      <c r="G2580" s="1">
        <v>1891</v>
      </c>
      <c r="H2580" s="1">
        <v>11346</v>
      </c>
      <c r="I2580" s="1">
        <v>0</v>
      </c>
      <c r="J2580" s="1">
        <v>6</v>
      </c>
      <c r="K2580" s="1">
        <v>0</v>
      </c>
    </row>
    <row r="2581" spans="1:11" x14ac:dyDescent="0.2">
      <c r="A2581" s="1" t="s">
        <v>2246</v>
      </c>
      <c r="B2581" s="1" t="s">
        <v>2381</v>
      </c>
      <c r="C2581" s="1" t="str">
        <f>"136784"</f>
        <v>136784</v>
      </c>
      <c r="D2581" s="1" t="str">
        <f>"136784"</f>
        <v>136784</v>
      </c>
      <c r="E2581" s="1" t="s">
        <v>17</v>
      </c>
      <c r="F2581" s="1">
        <v>4</v>
      </c>
      <c r="G2581" s="1">
        <v>2941</v>
      </c>
      <c r="H2581" s="1">
        <v>11764</v>
      </c>
      <c r="I2581" s="1">
        <v>0</v>
      </c>
      <c r="J2581" s="1">
        <v>4</v>
      </c>
      <c r="K2581" s="1">
        <v>0</v>
      </c>
    </row>
    <row r="2582" spans="1:11" x14ac:dyDescent="0.2">
      <c r="A2582" s="1" t="s">
        <v>2291</v>
      </c>
      <c r="B2582" s="1" t="s">
        <v>2382</v>
      </c>
      <c r="C2582" s="1" t="str">
        <f>"66298891949160"</f>
        <v>66298891949160</v>
      </c>
      <c r="D2582" s="1" t="str">
        <f>"81236"</f>
        <v>81236</v>
      </c>
      <c r="E2582" s="1" t="s">
        <v>17</v>
      </c>
      <c r="F2582" s="1">
        <v>7</v>
      </c>
      <c r="G2582" s="1">
        <v>4158</v>
      </c>
      <c r="H2582" s="1">
        <v>29106</v>
      </c>
      <c r="I2582" s="1">
        <v>0</v>
      </c>
      <c r="J2582" s="1">
        <v>7</v>
      </c>
      <c r="K2582" s="1">
        <v>0</v>
      </c>
    </row>
    <row r="2583" spans="1:11" ht="30" x14ac:dyDescent="0.2">
      <c r="A2583" s="1" t="s">
        <v>2246</v>
      </c>
      <c r="B2583" s="1" t="s">
        <v>2383</v>
      </c>
      <c r="C2583" s="1" t="str">
        <f>"RF035"</f>
        <v>RF035</v>
      </c>
      <c r="D2583" s="1" t="str">
        <f>"RF035"</f>
        <v>RF035</v>
      </c>
      <c r="E2583" s="1" t="s">
        <v>17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</row>
    <row r="2584" spans="1:11" ht="30" x14ac:dyDescent="0.2">
      <c r="A2584" s="1" t="s">
        <v>2246</v>
      </c>
      <c r="B2584" s="1" t="s">
        <v>2384</v>
      </c>
      <c r="C2584" s="1" t="str">
        <f>"RF001"</f>
        <v>RF001</v>
      </c>
      <c r="D2584" s="1" t="str">
        <f>"RF001"</f>
        <v>RF001</v>
      </c>
      <c r="E2584" s="1" t="s">
        <v>17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</row>
    <row r="2585" spans="1:11" x14ac:dyDescent="0.2">
      <c r="A2585" s="1" t="s">
        <v>2291</v>
      </c>
      <c r="B2585" s="1" t="s">
        <v>2385</v>
      </c>
      <c r="C2585" s="1" t="str">
        <f>"RF052"</f>
        <v>RF052</v>
      </c>
      <c r="D2585" s="1" t="str">
        <f>"RF052"</f>
        <v>RF052</v>
      </c>
      <c r="E2585" s="1" t="s">
        <v>17</v>
      </c>
      <c r="F2585" s="1">
        <v>17</v>
      </c>
      <c r="G2585" s="1">
        <v>3375</v>
      </c>
      <c r="H2585" s="1">
        <v>57375</v>
      </c>
      <c r="I2585" s="1">
        <v>0</v>
      </c>
      <c r="J2585" s="1">
        <v>17</v>
      </c>
      <c r="K2585" s="1">
        <v>0</v>
      </c>
    </row>
    <row r="2586" spans="1:11" x14ac:dyDescent="0.2">
      <c r="A2586" s="1" t="s">
        <v>2291</v>
      </c>
      <c r="B2586" s="1" t="s">
        <v>2386</v>
      </c>
      <c r="C2586" s="1" t="str">
        <f>"66298891987915"</f>
        <v>66298891987915</v>
      </c>
      <c r="D2586" s="1" t="str">
        <f>"RF028"</f>
        <v>RF028</v>
      </c>
      <c r="E2586" s="1" t="s">
        <v>17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</row>
    <row r="2587" spans="1:11" ht="30" x14ac:dyDescent="0.2">
      <c r="A2587" s="1" t="s">
        <v>2291</v>
      </c>
      <c r="B2587" s="1" t="s">
        <v>2387</v>
      </c>
      <c r="C2587" s="1" t="str">
        <f>"49CC06"</f>
        <v>49CC06</v>
      </c>
      <c r="D2587" s="1" t="str">
        <f>"49CC06"</f>
        <v>49CC06</v>
      </c>
      <c r="E2587" s="1" t="s">
        <v>17</v>
      </c>
      <c r="F2587" s="1">
        <v>5</v>
      </c>
      <c r="G2587" s="1">
        <v>2268</v>
      </c>
      <c r="H2587" s="1">
        <v>11340</v>
      </c>
      <c r="I2587" s="1">
        <v>0</v>
      </c>
      <c r="J2587" s="1">
        <v>5</v>
      </c>
      <c r="K2587" s="1">
        <v>0</v>
      </c>
    </row>
    <row r="2588" spans="1:11" x14ac:dyDescent="0.2">
      <c r="A2588" s="1" t="s">
        <v>2246</v>
      </c>
      <c r="B2588" s="1" t="s">
        <v>2388</v>
      </c>
      <c r="C2588" s="1" t="str">
        <f>"RF014"</f>
        <v>RF014</v>
      </c>
      <c r="D2588" s="1" t="str">
        <f>"RF014"</f>
        <v>RF014</v>
      </c>
      <c r="E2588" s="1" t="s">
        <v>17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</row>
    <row r="2589" spans="1:11" x14ac:dyDescent="0.2">
      <c r="A2589" s="1" t="s">
        <v>2246</v>
      </c>
      <c r="B2589" s="1" t="s">
        <v>2389</v>
      </c>
      <c r="C2589" s="1" t="str">
        <f>"RF027"</f>
        <v>RF027</v>
      </c>
      <c r="D2589" s="1" t="str">
        <f>"RF027"</f>
        <v>RF027</v>
      </c>
      <c r="E2589" s="1" t="s">
        <v>17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</row>
    <row r="2590" spans="1:11" x14ac:dyDescent="0.2">
      <c r="A2590" s="1" t="s">
        <v>2246</v>
      </c>
      <c r="B2590" s="1" t="s">
        <v>2390</v>
      </c>
      <c r="C2590" s="1" t="str">
        <f>"RF033"</f>
        <v>RF033</v>
      </c>
      <c r="D2590" s="1" t="str">
        <f>"RF033"</f>
        <v>RF033</v>
      </c>
      <c r="E2590" s="1" t="s">
        <v>17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</row>
    <row r="2591" spans="1:11" x14ac:dyDescent="0.2">
      <c r="A2591" s="1" t="s">
        <v>2246</v>
      </c>
      <c r="B2591" s="1" t="s">
        <v>2391</v>
      </c>
      <c r="C2591" s="1" t="str">
        <f>"RF026"</f>
        <v>RF026</v>
      </c>
      <c r="D2591" s="1" t="str">
        <f>"RF026"</f>
        <v>RF026</v>
      </c>
      <c r="E2591" s="1" t="s">
        <v>17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</row>
    <row r="2592" spans="1:11" x14ac:dyDescent="0.2">
      <c r="A2592" s="1" t="s">
        <v>2291</v>
      </c>
      <c r="B2592" s="1" t="s">
        <v>2392</v>
      </c>
      <c r="C2592" s="1" t="str">
        <f>"66298892074026"</f>
        <v>66298892074026</v>
      </c>
      <c r="D2592" s="1" t="str">
        <f>"RE002-CR"</f>
        <v>RE002-CR</v>
      </c>
      <c r="E2592" s="1" t="s">
        <v>17</v>
      </c>
      <c r="F2592" s="1">
        <v>31</v>
      </c>
      <c r="G2592" s="1">
        <v>2925</v>
      </c>
      <c r="H2592" s="1">
        <v>90675</v>
      </c>
      <c r="I2592" s="1">
        <v>0</v>
      </c>
      <c r="J2592" s="1">
        <v>31</v>
      </c>
      <c r="K2592" s="1">
        <v>0</v>
      </c>
    </row>
    <row r="2593" spans="1:11" x14ac:dyDescent="0.2">
      <c r="A2593" s="1" t="s">
        <v>2291</v>
      </c>
      <c r="B2593" s="1" t="s">
        <v>2393</v>
      </c>
      <c r="C2593" s="1" t="str">
        <f>"66298892121918"</f>
        <v>66298892121918</v>
      </c>
      <c r="D2593" s="1" t="str">
        <f>"RE002-N"</f>
        <v>RE002-N</v>
      </c>
      <c r="E2593" s="1" t="s">
        <v>17</v>
      </c>
      <c r="F2593" s="1">
        <v>22</v>
      </c>
      <c r="G2593" s="1">
        <v>2925</v>
      </c>
      <c r="H2593" s="1">
        <v>64350</v>
      </c>
      <c r="I2593" s="1">
        <v>0</v>
      </c>
      <c r="J2593" s="1">
        <v>22</v>
      </c>
      <c r="K2593" s="1">
        <v>0</v>
      </c>
    </row>
    <row r="2594" spans="1:11" x14ac:dyDescent="0.2">
      <c r="A2594" s="1" t="s">
        <v>2291</v>
      </c>
      <c r="B2594" s="1" t="s">
        <v>2393</v>
      </c>
      <c r="C2594" s="1" t="str">
        <f>"66298892128494"</f>
        <v>66298892128494</v>
      </c>
      <c r="D2594" s="1" t="str">
        <f>"RE004"</f>
        <v>RE004</v>
      </c>
      <c r="E2594" s="1" t="s">
        <v>17</v>
      </c>
      <c r="F2594" s="1">
        <v>14</v>
      </c>
      <c r="G2594" s="1">
        <v>3582</v>
      </c>
      <c r="H2594" s="1">
        <v>50148</v>
      </c>
      <c r="I2594" s="1">
        <v>0</v>
      </c>
      <c r="J2594" s="1">
        <v>14</v>
      </c>
      <c r="K2594" s="1">
        <v>0</v>
      </c>
    </row>
    <row r="2595" spans="1:11" x14ac:dyDescent="0.2">
      <c r="A2595" s="1" t="s">
        <v>2291</v>
      </c>
      <c r="B2595" s="1" t="s">
        <v>2394</v>
      </c>
      <c r="C2595" s="1" t="str">
        <f>"66298892029481"</f>
        <v>66298892029481</v>
      </c>
      <c r="D2595" s="1" t="str">
        <f>"RE017"</f>
        <v>RE017</v>
      </c>
      <c r="E2595" s="1" t="s">
        <v>17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 x14ac:dyDescent="0.2">
      <c r="A2596" s="1" t="s">
        <v>2246</v>
      </c>
      <c r="B2596" s="1" t="s">
        <v>2394</v>
      </c>
      <c r="C2596" s="1" t="str">
        <f>"RE002"</f>
        <v>RE002</v>
      </c>
      <c r="D2596" s="1" t="str">
        <f>"RE002"</f>
        <v>RE002</v>
      </c>
      <c r="E2596" s="1" t="s">
        <v>17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 x14ac:dyDescent="0.2">
      <c r="A2597" s="1" t="s">
        <v>2246</v>
      </c>
      <c r="B2597" s="1" t="s">
        <v>2394</v>
      </c>
      <c r="C2597" s="1" t="str">
        <f>"RE003"</f>
        <v>RE003</v>
      </c>
      <c r="D2597" s="1" t="str">
        <f>"RE003"</f>
        <v>RE003</v>
      </c>
      <c r="E2597" s="1" t="s">
        <v>17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</row>
    <row r="2598" spans="1:11" x14ac:dyDescent="0.2">
      <c r="A2598" s="1" t="s">
        <v>2291</v>
      </c>
      <c r="B2598" s="1" t="s">
        <v>2395</v>
      </c>
      <c r="C2598" s="1" t="str">
        <f>"RF023"</f>
        <v>RF023</v>
      </c>
      <c r="D2598" s="1" t="str">
        <f>"RF023"</f>
        <v>RF023</v>
      </c>
      <c r="E2598" s="1" t="s">
        <v>17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</row>
    <row r="2599" spans="1:11" x14ac:dyDescent="0.2">
      <c r="A2599" s="1" t="s">
        <v>98</v>
      </c>
      <c r="B2599" s="1" t="s">
        <v>2396</v>
      </c>
      <c r="C2599" s="1" t="str">
        <f>"66298892231325"</f>
        <v>66298892231325</v>
      </c>
      <c r="D2599" s="1" t="str">
        <f>"44151H2C000H000"</f>
        <v>44151H2C000H000</v>
      </c>
      <c r="E2599" s="1" t="s">
        <v>17</v>
      </c>
      <c r="F2599" s="1">
        <v>1</v>
      </c>
      <c r="G2599" s="1">
        <v>880</v>
      </c>
      <c r="H2599" s="1">
        <v>880</v>
      </c>
      <c r="I2599" s="1">
        <v>0</v>
      </c>
      <c r="J2599" s="1">
        <v>1</v>
      </c>
      <c r="K2599" s="1">
        <v>0</v>
      </c>
    </row>
    <row r="2600" spans="1:11" x14ac:dyDescent="0.2">
      <c r="A2600" s="1" t="s">
        <v>1359</v>
      </c>
      <c r="B2600" s="1" t="s">
        <v>2397</v>
      </c>
      <c r="C2600" s="1" t="str">
        <f>"31350"</f>
        <v>31350</v>
      </c>
      <c r="D2600" s="1" t="str">
        <f>"31350"</f>
        <v>31350</v>
      </c>
      <c r="E2600" s="1" t="s">
        <v>17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</row>
    <row r="2601" spans="1:11" x14ac:dyDescent="0.2">
      <c r="A2601" s="1" t="s">
        <v>18</v>
      </c>
      <c r="B2601" s="1" t="s">
        <v>2398</v>
      </c>
      <c r="C2601" s="1" t="str">
        <f>"124508"</f>
        <v>124508</v>
      </c>
      <c r="D2601" s="1" t="str">
        <f>"124508"</f>
        <v>124508</v>
      </c>
      <c r="E2601" s="1" t="s">
        <v>17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</row>
    <row r="2602" spans="1:11" x14ac:dyDescent="0.2">
      <c r="A2602" s="1" t="s">
        <v>1359</v>
      </c>
      <c r="B2602" s="1" t="s">
        <v>2399</v>
      </c>
      <c r="C2602" s="1" t="str">
        <f>"66298892280056"</f>
        <v>66298892280056</v>
      </c>
      <c r="D2602" s="1" t="str">
        <f>"HH056"</f>
        <v>HH056</v>
      </c>
      <c r="E2602" s="1" t="s">
        <v>17</v>
      </c>
      <c r="F2602" s="1">
        <v>10</v>
      </c>
      <c r="G2602" s="1">
        <v>3231</v>
      </c>
      <c r="H2602" s="1">
        <v>32310</v>
      </c>
      <c r="I2602" s="1">
        <v>0</v>
      </c>
      <c r="J2602" s="1">
        <v>10</v>
      </c>
      <c r="K2602" s="1">
        <v>0</v>
      </c>
    </row>
    <row r="2603" spans="1:11" x14ac:dyDescent="0.2">
      <c r="A2603" s="1" t="s">
        <v>1359</v>
      </c>
      <c r="B2603" s="1" t="s">
        <v>2400</v>
      </c>
      <c r="C2603" s="1" t="str">
        <f>"66298892325510"</f>
        <v>66298892325510</v>
      </c>
      <c r="D2603" s="1" t="str">
        <f>"HH055"</f>
        <v>HH055</v>
      </c>
      <c r="E2603" s="1" t="s">
        <v>17</v>
      </c>
      <c r="F2603" s="1">
        <v>10</v>
      </c>
      <c r="G2603" s="1">
        <v>4482</v>
      </c>
      <c r="H2603" s="1">
        <v>44820</v>
      </c>
      <c r="I2603" s="1">
        <v>0</v>
      </c>
      <c r="J2603" s="1">
        <v>10</v>
      </c>
      <c r="K2603" s="1">
        <v>0</v>
      </c>
    </row>
    <row r="2604" spans="1:11" x14ac:dyDescent="0.2">
      <c r="A2604" s="1" t="s">
        <v>1359</v>
      </c>
      <c r="B2604" s="1" t="s">
        <v>2401</v>
      </c>
      <c r="C2604" s="1" t="str">
        <f>"66298892372500"</f>
        <v>66298892372500</v>
      </c>
      <c r="D2604" s="1" t="str">
        <f>"FU-10A"</f>
        <v>FU-10A</v>
      </c>
      <c r="E2604" s="1" t="s">
        <v>17</v>
      </c>
      <c r="F2604" s="1">
        <v>31</v>
      </c>
      <c r="G2604" s="1">
        <v>24</v>
      </c>
      <c r="H2604" s="1">
        <v>744</v>
      </c>
      <c r="I2604" s="1">
        <v>0</v>
      </c>
      <c r="J2604" s="1">
        <v>31</v>
      </c>
      <c r="K2604" s="1">
        <v>0</v>
      </c>
    </row>
    <row r="2605" spans="1:11" x14ac:dyDescent="0.2">
      <c r="A2605" s="1" t="s">
        <v>1359</v>
      </c>
      <c r="B2605" s="1" t="s">
        <v>2402</v>
      </c>
      <c r="C2605" s="1" t="str">
        <f>"66298892417290"</f>
        <v>66298892417290</v>
      </c>
      <c r="D2605" s="1" t="str">
        <f>"FU-20A"</f>
        <v>FU-20A</v>
      </c>
      <c r="E2605" s="1" t="s">
        <v>17</v>
      </c>
      <c r="F2605" s="1">
        <v>6</v>
      </c>
      <c r="G2605" s="1">
        <v>24</v>
      </c>
      <c r="H2605" s="1">
        <v>144</v>
      </c>
      <c r="I2605" s="1">
        <v>0</v>
      </c>
      <c r="J2605" s="1">
        <v>6</v>
      </c>
      <c r="K2605" s="1">
        <v>0</v>
      </c>
    </row>
    <row r="2606" spans="1:11" x14ac:dyDescent="0.2">
      <c r="A2606" s="1" t="s">
        <v>2403</v>
      </c>
      <c r="B2606" s="1" t="s">
        <v>2404</v>
      </c>
      <c r="C2606" s="1" t="str">
        <f>"66298892510718"</f>
        <v>66298892510718</v>
      </c>
      <c r="D2606" s="1" t="str">
        <f>"1586"</f>
        <v>1586</v>
      </c>
      <c r="E2606" s="1" t="s">
        <v>17</v>
      </c>
      <c r="F2606" s="1">
        <v>2</v>
      </c>
      <c r="G2606" s="1">
        <v>1571</v>
      </c>
      <c r="H2606" s="1">
        <v>3142</v>
      </c>
      <c r="I2606" s="1">
        <v>0</v>
      </c>
      <c r="J2606" s="1">
        <v>2</v>
      </c>
      <c r="K2606" s="1">
        <v>0</v>
      </c>
    </row>
    <row r="2607" spans="1:11" x14ac:dyDescent="0.2">
      <c r="A2607" s="1" t="s">
        <v>2403</v>
      </c>
      <c r="B2607" s="1" t="s">
        <v>2405</v>
      </c>
      <c r="C2607" s="1" t="str">
        <f>"66298892551569"</f>
        <v>66298892551569</v>
      </c>
      <c r="D2607" s="1" t="str">
        <f>"GO-PART-MORADO"</f>
        <v>GO-PART-MORADO</v>
      </c>
      <c r="E2607" s="1" t="s">
        <v>17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</row>
    <row r="2608" spans="1:11" x14ac:dyDescent="0.2">
      <c r="A2608" s="1" t="s">
        <v>2403</v>
      </c>
      <c r="B2608" s="1" t="s">
        <v>2406</v>
      </c>
      <c r="C2608" s="1" t="str">
        <f>"61201"</f>
        <v>61201</v>
      </c>
      <c r="D2608" s="1" t="str">
        <f>"61201"</f>
        <v>61201</v>
      </c>
      <c r="E2608" s="1" t="s">
        <v>17</v>
      </c>
      <c r="F2608" s="1">
        <v>1</v>
      </c>
      <c r="G2608" s="1">
        <v>518.74</v>
      </c>
      <c r="H2608" s="1">
        <v>519</v>
      </c>
      <c r="I2608" s="1">
        <v>0</v>
      </c>
      <c r="J2608" s="1">
        <v>1</v>
      </c>
      <c r="K2608" s="1">
        <v>0</v>
      </c>
    </row>
    <row r="2609" spans="1:11" x14ac:dyDescent="0.2">
      <c r="A2609" s="1" t="s">
        <v>18</v>
      </c>
      <c r="B2609" s="1" t="s">
        <v>2406</v>
      </c>
      <c r="C2609" s="1" t="str">
        <f>"B060"</f>
        <v>B060</v>
      </c>
      <c r="D2609" s="1" t="str">
        <f>"B060"</f>
        <v>B060</v>
      </c>
      <c r="E2609" s="1" t="s">
        <v>17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</row>
    <row r="2610" spans="1:11" x14ac:dyDescent="0.2">
      <c r="A2610" s="1" t="s">
        <v>18</v>
      </c>
      <c r="B2610" s="1" t="s">
        <v>2407</v>
      </c>
      <c r="C2610" s="1" t="str">
        <f>"R037"</f>
        <v>R037</v>
      </c>
      <c r="D2610" s="1" t="str">
        <f>"R037"</f>
        <v>R037</v>
      </c>
      <c r="E2610" s="1" t="s">
        <v>17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</row>
    <row r="2611" spans="1:11" x14ac:dyDescent="0.2">
      <c r="A2611" s="1" t="s">
        <v>2403</v>
      </c>
      <c r="B2611" s="1" t="s">
        <v>2408</v>
      </c>
      <c r="C2611" s="1" t="str">
        <f>"66298892593171"</f>
        <v>66298892593171</v>
      </c>
      <c r="D2611" s="1" t="str">
        <f>"84484"</f>
        <v>84484</v>
      </c>
      <c r="E2611" s="1" t="s">
        <v>17</v>
      </c>
      <c r="F2611" s="1">
        <v>2</v>
      </c>
      <c r="G2611" s="1">
        <v>40</v>
      </c>
      <c r="H2611" s="1">
        <v>80</v>
      </c>
      <c r="I2611" s="1">
        <v>0</v>
      </c>
      <c r="J2611" s="1">
        <v>2</v>
      </c>
      <c r="K2611" s="1">
        <v>0</v>
      </c>
    </row>
    <row r="2612" spans="1:11" x14ac:dyDescent="0.2">
      <c r="A2612" s="1" t="s">
        <v>2403</v>
      </c>
      <c r="B2612" s="1" t="s">
        <v>2409</v>
      </c>
      <c r="C2612" s="1" t="str">
        <f>"66298892636836"</f>
        <v>66298892636836</v>
      </c>
      <c r="D2612" s="1" t="str">
        <f>"SB001"</f>
        <v>SB001</v>
      </c>
      <c r="E2612" s="1" t="s">
        <v>17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</row>
    <row r="2613" spans="1:11" x14ac:dyDescent="0.2">
      <c r="A2613" s="1" t="s">
        <v>2403</v>
      </c>
      <c r="B2613" s="1" t="s">
        <v>2410</v>
      </c>
      <c r="C2613" s="1" t="str">
        <f>"66298892679653"</f>
        <v>66298892679653</v>
      </c>
      <c r="D2613" s="1" t="str">
        <f>"SB002"</f>
        <v>SB002</v>
      </c>
      <c r="E2613" s="1" t="s">
        <v>17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</row>
    <row r="2614" spans="1:11" ht="30" x14ac:dyDescent="0.2">
      <c r="A2614" s="1" t="s">
        <v>2403</v>
      </c>
      <c r="B2614" s="1" t="s">
        <v>2411</v>
      </c>
      <c r="C2614" s="1" t="str">
        <f>"66298892716977"</f>
        <v>66298892716977</v>
      </c>
      <c r="D2614" s="1" t="str">
        <f>"09943"</f>
        <v>09943</v>
      </c>
      <c r="E2614" s="1" t="s">
        <v>17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</row>
    <row r="2615" spans="1:11" x14ac:dyDescent="0.2">
      <c r="A2615" s="1" t="s">
        <v>2403</v>
      </c>
      <c r="B2615" s="1" t="s">
        <v>2412</v>
      </c>
      <c r="C2615" s="1" t="str">
        <f>"66298892762986"</f>
        <v>66298892762986</v>
      </c>
      <c r="D2615" s="1" t="str">
        <f>"SB004-ROJO"</f>
        <v>SB004-ROJO</v>
      </c>
      <c r="E2615" s="1" t="s">
        <v>17</v>
      </c>
      <c r="F2615" s="1">
        <v>6</v>
      </c>
      <c r="G2615" s="1">
        <v>2930</v>
      </c>
      <c r="H2615" s="1">
        <v>17580</v>
      </c>
      <c r="I2615" s="1">
        <v>0</v>
      </c>
      <c r="J2615" s="1">
        <v>6</v>
      </c>
      <c r="K2615" s="1">
        <v>0</v>
      </c>
    </row>
    <row r="2616" spans="1:11" x14ac:dyDescent="0.2">
      <c r="A2616" s="1" t="s">
        <v>2403</v>
      </c>
      <c r="B2616" s="1" t="s">
        <v>2412</v>
      </c>
      <c r="C2616" s="1" t="str">
        <f>"66298892772091"</f>
        <v>66298892772091</v>
      </c>
      <c r="D2616" s="1" t="str">
        <f>"SB004-AZUL"</f>
        <v>SB004-AZUL</v>
      </c>
      <c r="E2616" s="1" t="s">
        <v>17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</row>
    <row r="2617" spans="1:11" x14ac:dyDescent="0.2">
      <c r="A2617" s="1" t="s">
        <v>2403</v>
      </c>
      <c r="B2617" s="1" t="s">
        <v>2413</v>
      </c>
      <c r="C2617" s="1" t="str">
        <f>"66298892833289"</f>
        <v>66298892833289</v>
      </c>
      <c r="D2617" s="1" t="str">
        <f>"SB003-NARANJO"</f>
        <v>SB003-NARANJO</v>
      </c>
      <c r="E2617" s="1" t="s">
        <v>17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</row>
    <row r="2618" spans="1:11" x14ac:dyDescent="0.2">
      <c r="A2618" s="1" t="s">
        <v>2403</v>
      </c>
      <c r="B2618" s="1" t="s">
        <v>2413</v>
      </c>
      <c r="C2618" s="1" t="str">
        <f>"66298892873266"</f>
        <v>66298892873266</v>
      </c>
      <c r="D2618" s="1" t="str">
        <f>"SB003-ROJO"</f>
        <v>SB003-ROJO</v>
      </c>
      <c r="E2618" s="1" t="s">
        <v>17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</row>
    <row r="2619" spans="1:11" x14ac:dyDescent="0.2">
      <c r="A2619" s="1" t="s">
        <v>2403</v>
      </c>
      <c r="B2619" s="1" t="s">
        <v>2413</v>
      </c>
      <c r="C2619" s="1" t="str">
        <f>"66298892879252"</f>
        <v>66298892879252</v>
      </c>
      <c r="D2619" s="1" t="str">
        <f>"SB003-AZUL"</f>
        <v>SB003-AZUL</v>
      </c>
      <c r="E2619" s="1" t="s">
        <v>17</v>
      </c>
      <c r="F2619" s="1">
        <v>1</v>
      </c>
      <c r="G2619" s="1">
        <v>4139</v>
      </c>
      <c r="H2619" s="1">
        <v>4139</v>
      </c>
      <c r="I2619" s="1">
        <v>0</v>
      </c>
      <c r="J2619" s="1">
        <v>1</v>
      </c>
      <c r="K2619" s="1">
        <v>0</v>
      </c>
    </row>
    <row r="2620" spans="1:11" x14ac:dyDescent="0.2">
      <c r="A2620" s="1" t="s">
        <v>15</v>
      </c>
      <c r="B2620" s="1" t="s">
        <v>2414</v>
      </c>
      <c r="C2620" s="1" t="str">
        <f>"701798"</f>
        <v>701798</v>
      </c>
      <c r="D2620" s="1" t="str">
        <f>"701798"</f>
        <v>701798</v>
      </c>
      <c r="E2620" s="1" t="s">
        <v>17</v>
      </c>
      <c r="F2620" s="1">
        <v>194</v>
      </c>
      <c r="G2620" s="1">
        <v>615</v>
      </c>
      <c r="H2620" s="1">
        <v>119310</v>
      </c>
      <c r="I2620" s="1">
        <v>0</v>
      </c>
      <c r="J2620" s="1">
        <v>194</v>
      </c>
      <c r="K2620" s="1">
        <v>0</v>
      </c>
    </row>
    <row r="2621" spans="1:11" x14ac:dyDescent="0.2">
      <c r="A2621" s="1" t="s">
        <v>15</v>
      </c>
      <c r="B2621" s="1" t="s">
        <v>2415</v>
      </c>
      <c r="C2621" s="1" t="str">
        <f>"GRASA-ROJA"</f>
        <v>GRASA-ROJA</v>
      </c>
      <c r="D2621" s="1" t="str">
        <f>"GRASA-ROJA"</f>
        <v>GRASA-ROJA</v>
      </c>
      <c r="E2621" s="1" t="s">
        <v>17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</row>
    <row r="2622" spans="1:11" x14ac:dyDescent="0.2">
      <c r="A2622" s="1" t="s">
        <v>18</v>
      </c>
      <c r="B2622" s="1" t="s">
        <v>2416</v>
      </c>
      <c r="C2622" s="1" t="str">
        <f>"WB069-AZUL"</f>
        <v>WB069-AZUL</v>
      </c>
      <c r="D2622" s="1" t="str">
        <f>"WB069-AZUL"</f>
        <v>WB069-AZUL</v>
      </c>
      <c r="E2622" s="1" t="s">
        <v>17</v>
      </c>
      <c r="F2622" s="1">
        <v>16</v>
      </c>
      <c r="G2622" s="1">
        <v>2465</v>
      </c>
      <c r="H2622" s="1">
        <v>39440</v>
      </c>
      <c r="I2622" s="1">
        <v>0</v>
      </c>
      <c r="J2622" s="1">
        <v>16</v>
      </c>
      <c r="K2622" s="1">
        <v>0</v>
      </c>
    </row>
    <row r="2623" spans="1:11" x14ac:dyDescent="0.2">
      <c r="A2623" s="1" t="s">
        <v>18</v>
      </c>
      <c r="B2623" s="1" t="s">
        <v>2417</v>
      </c>
      <c r="C2623" s="1" t="str">
        <f>"66298893019761"</f>
        <v>66298893019761</v>
      </c>
      <c r="D2623" s="1" t="str">
        <f>"WB069-ROJO"</f>
        <v>WB069-ROJO</v>
      </c>
      <c r="E2623" s="1" t="s">
        <v>17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</row>
    <row r="2624" spans="1:11" x14ac:dyDescent="0.2">
      <c r="A2624" s="1" t="s">
        <v>18</v>
      </c>
      <c r="B2624" s="1" t="s">
        <v>2418</v>
      </c>
      <c r="C2624" s="1" t="str">
        <f>"WB027-NEG/ROJ-XL"</f>
        <v>WB027-NEG/ROJ-XL</v>
      </c>
      <c r="D2624" s="1" t="str">
        <f>"WB027-NEG/ROJ-XL"</f>
        <v>WB027-NEG/ROJ-XL</v>
      </c>
      <c r="E2624" s="1" t="s">
        <v>17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</row>
    <row r="2625" spans="1:11" x14ac:dyDescent="0.2">
      <c r="A2625" s="1" t="s">
        <v>2419</v>
      </c>
      <c r="B2625" s="1" t="s">
        <v>2420</v>
      </c>
      <c r="C2625" s="1" t="str">
        <f>"130789-AZUL-XL"</f>
        <v>130789-AZUL-XL</v>
      </c>
      <c r="D2625" s="1" t="str">
        <f>"130789-AZUL-XL"</f>
        <v>130789-AZUL-XL</v>
      </c>
      <c r="E2625" s="1" t="s">
        <v>17</v>
      </c>
      <c r="F2625" s="1">
        <v>3</v>
      </c>
      <c r="G2625" s="1">
        <v>5000</v>
      </c>
      <c r="H2625" s="1">
        <v>15000</v>
      </c>
      <c r="I2625" s="1">
        <v>0</v>
      </c>
      <c r="J2625" s="1">
        <v>3</v>
      </c>
      <c r="K2625" s="1">
        <v>0</v>
      </c>
    </row>
    <row r="2626" spans="1:11" x14ac:dyDescent="0.2">
      <c r="A2626" s="1" t="s">
        <v>2419</v>
      </c>
      <c r="B2626" s="1" t="s">
        <v>2421</v>
      </c>
      <c r="C2626" s="1" t="str">
        <f>"130789-AZUL-XXL"</f>
        <v>130789-AZUL-XXL</v>
      </c>
      <c r="D2626" s="1" t="str">
        <f>"130789-AZUL-XXL"</f>
        <v>130789-AZUL-XXL</v>
      </c>
      <c r="E2626" s="1" t="s">
        <v>17</v>
      </c>
      <c r="F2626" s="1">
        <v>1</v>
      </c>
      <c r="G2626" s="1">
        <v>5000</v>
      </c>
      <c r="H2626" s="1">
        <v>5000</v>
      </c>
      <c r="I2626" s="1">
        <v>0</v>
      </c>
      <c r="J2626" s="1">
        <v>1</v>
      </c>
      <c r="K2626" s="1">
        <v>0</v>
      </c>
    </row>
    <row r="2627" spans="1:11" x14ac:dyDescent="0.2">
      <c r="A2627" s="1" t="s">
        <v>2419</v>
      </c>
      <c r="B2627" s="1" t="s">
        <v>2422</v>
      </c>
      <c r="C2627" s="1" t="str">
        <f>"130789-GRIS-XXL"</f>
        <v>130789-GRIS-XXL</v>
      </c>
      <c r="D2627" s="1" t="str">
        <f>"130789-GRIS-XXL"</f>
        <v>130789-GRIS-XXL</v>
      </c>
      <c r="E2627" s="1" t="s">
        <v>17</v>
      </c>
      <c r="F2627" s="1">
        <v>1</v>
      </c>
      <c r="G2627" s="1">
        <v>5000</v>
      </c>
      <c r="H2627" s="1">
        <v>5000</v>
      </c>
      <c r="I2627" s="1">
        <v>0</v>
      </c>
      <c r="J2627" s="1">
        <v>1</v>
      </c>
      <c r="K2627" s="1">
        <v>0</v>
      </c>
    </row>
    <row r="2628" spans="1:11" x14ac:dyDescent="0.2">
      <c r="A2628" s="1" t="s">
        <v>2419</v>
      </c>
      <c r="B2628" s="1" t="s">
        <v>2423</v>
      </c>
      <c r="C2628" s="1" t="str">
        <f>"130789-ROJO-XL"</f>
        <v>130789-ROJO-XL</v>
      </c>
      <c r="D2628" s="1" t="str">
        <f>"130789-ROJO-XL"</f>
        <v>130789-ROJO-XL</v>
      </c>
      <c r="E2628" s="1" t="s">
        <v>17</v>
      </c>
      <c r="F2628" s="1">
        <v>1</v>
      </c>
      <c r="G2628" s="1">
        <v>5000</v>
      </c>
      <c r="H2628" s="1">
        <v>5000</v>
      </c>
      <c r="I2628" s="1">
        <v>0</v>
      </c>
      <c r="J2628" s="1">
        <v>1</v>
      </c>
      <c r="K2628" s="1">
        <v>0</v>
      </c>
    </row>
    <row r="2629" spans="1:11" x14ac:dyDescent="0.2">
      <c r="A2629" s="1" t="s">
        <v>18</v>
      </c>
      <c r="B2629" s="1" t="s">
        <v>2424</v>
      </c>
      <c r="C2629" s="1" t="str">
        <f>"WB004-NEG/FLU-L"</f>
        <v>WB004-NEG/FLU-L</v>
      </c>
      <c r="D2629" s="1" t="str">
        <f>"WB004-NEG/FLU-L"</f>
        <v>WB004-NEG/FLU-L</v>
      </c>
      <c r="E2629" s="1" t="s">
        <v>17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</row>
    <row r="2630" spans="1:11" x14ac:dyDescent="0.2">
      <c r="A2630" s="1" t="s">
        <v>18</v>
      </c>
      <c r="B2630" s="1" t="s">
        <v>2425</v>
      </c>
      <c r="C2630" s="1" t="str">
        <f>"WB076-FLUOR-M"</f>
        <v>WB076-FLUOR-M</v>
      </c>
      <c r="D2630" s="1" t="str">
        <f>"WB076-FLUOR-M"</f>
        <v>WB076-FLUOR-M</v>
      </c>
      <c r="E2630" s="1" t="s">
        <v>17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</row>
    <row r="2631" spans="1:11" x14ac:dyDescent="0.2">
      <c r="A2631" s="1" t="s">
        <v>18</v>
      </c>
      <c r="B2631" s="1" t="s">
        <v>2426</v>
      </c>
      <c r="C2631" s="1" t="str">
        <f>"66298893170310"</f>
        <v>66298893170310</v>
      </c>
      <c r="D2631" s="1" t="str">
        <f>"WB076-FLUOR-XL"</f>
        <v>WB076-FLUOR-XL</v>
      </c>
      <c r="E2631" s="1" t="s">
        <v>17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</row>
    <row r="2632" spans="1:11" x14ac:dyDescent="0.2">
      <c r="A2632" s="1" t="s">
        <v>18</v>
      </c>
      <c r="B2632" s="1" t="s">
        <v>2427</v>
      </c>
      <c r="C2632" s="1" t="str">
        <f>"WB076-NARANJO-L"</f>
        <v>WB076-NARANJO-L</v>
      </c>
      <c r="D2632" s="1" t="str">
        <f>"WB076-NARANJO-L"</f>
        <v>WB076-NARANJO-L</v>
      </c>
      <c r="E2632" s="1" t="s">
        <v>17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</row>
    <row r="2633" spans="1:11" x14ac:dyDescent="0.2">
      <c r="A2633" s="1" t="s">
        <v>18</v>
      </c>
      <c r="B2633" s="1" t="s">
        <v>2428</v>
      </c>
      <c r="C2633" s="1" t="str">
        <f>"WB076-NARANJO-M"</f>
        <v>WB076-NARANJO-M</v>
      </c>
      <c r="D2633" s="1" t="str">
        <f>"WB076-NARANJO-M"</f>
        <v>WB076-NARANJO-M</v>
      </c>
      <c r="E2633" s="1" t="s">
        <v>17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</row>
    <row r="2634" spans="1:11" x14ac:dyDescent="0.2">
      <c r="A2634" s="1" t="s">
        <v>18</v>
      </c>
      <c r="B2634" s="1" t="s">
        <v>2429</v>
      </c>
      <c r="C2634" s="1" t="str">
        <f>"WB076-NARANJO-XL"</f>
        <v>WB076-NARANJO-XL</v>
      </c>
      <c r="D2634" s="1" t="str">
        <f>"WB076-NARANJO-XL"</f>
        <v>WB076-NARANJO-XL</v>
      </c>
      <c r="E2634" s="1" t="s">
        <v>17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</row>
    <row r="2635" spans="1:11" x14ac:dyDescent="0.2">
      <c r="A2635" s="1" t="s">
        <v>18</v>
      </c>
      <c r="B2635" s="1" t="s">
        <v>2430</v>
      </c>
      <c r="C2635" s="1" t="str">
        <f>"66298893069647"</f>
        <v>66298893069647</v>
      </c>
      <c r="D2635" s="1" t="str">
        <f>"WB076-FLUOR-L"</f>
        <v>WB076-FLUOR-L</v>
      </c>
      <c r="E2635" s="1" t="s">
        <v>17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</row>
    <row r="2636" spans="1:11" ht="30" x14ac:dyDescent="0.2">
      <c r="A2636" s="1" t="s">
        <v>18</v>
      </c>
      <c r="B2636" s="1" t="s">
        <v>2431</v>
      </c>
      <c r="C2636" s="1" t="str">
        <f>"66298893477632"</f>
        <v>66298893477632</v>
      </c>
      <c r="D2636" s="1" t="str">
        <f>"WB070-NARANJO"</f>
        <v>WB070-NARANJO</v>
      </c>
      <c r="E2636" s="1" t="s">
        <v>17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</row>
    <row r="2637" spans="1:11" ht="30" x14ac:dyDescent="0.2">
      <c r="A2637" s="1" t="s">
        <v>18</v>
      </c>
      <c r="B2637" s="1" t="s">
        <v>2432</v>
      </c>
      <c r="C2637" s="1" t="str">
        <f>"66298893526824"</f>
        <v>66298893526824</v>
      </c>
      <c r="D2637" s="1" t="str">
        <f>"WB077-M"</f>
        <v>WB077-M</v>
      </c>
      <c r="E2637" s="1" t="s">
        <v>17</v>
      </c>
      <c r="F2637" s="1">
        <v>12</v>
      </c>
      <c r="G2637" s="1">
        <v>6808</v>
      </c>
      <c r="H2637" s="1">
        <v>81696</v>
      </c>
      <c r="I2637" s="1">
        <v>0</v>
      </c>
      <c r="J2637" s="1">
        <v>12</v>
      </c>
      <c r="K2637" s="1">
        <v>0</v>
      </c>
    </row>
    <row r="2638" spans="1:11" x14ac:dyDescent="0.2">
      <c r="A2638" s="1" t="s">
        <v>18</v>
      </c>
      <c r="B2638" s="1" t="s">
        <v>2433</v>
      </c>
      <c r="C2638" s="1" t="str">
        <f>"66298893350598"</f>
        <v>66298893350598</v>
      </c>
      <c r="D2638" s="1" t="str">
        <f>"WB073"</f>
        <v>WB073</v>
      </c>
      <c r="E2638" s="1" t="s">
        <v>17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</row>
    <row r="2639" spans="1:11" x14ac:dyDescent="0.2">
      <c r="A2639" s="1" t="s">
        <v>2419</v>
      </c>
      <c r="B2639" s="1" t="s">
        <v>2434</v>
      </c>
      <c r="C2639" s="1" t="str">
        <f>"116082-AZUL"</f>
        <v>116082-AZUL</v>
      </c>
      <c r="D2639" s="1" t="str">
        <f>"116082-AZUL"</f>
        <v>116082-AZUL</v>
      </c>
      <c r="E2639" s="1" t="s">
        <v>17</v>
      </c>
      <c r="F2639" s="1">
        <v>4</v>
      </c>
      <c r="G2639" s="1">
        <v>2395</v>
      </c>
      <c r="H2639" s="1">
        <v>9580</v>
      </c>
      <c r="I2639" s="1">
        <v>0</v>
      </c>
      <c r="J2639" s="1">
        <v>4</v>
      </c>
      <c r="K2639" s="1">
        <v>0</v>
      </c>
    </row>
    <row r="2640" spans="1:11" x14ac:dyDescent="0.2">
      <c r="A2640" s="1" t="s">
        <v>18</v>
      </c>
      <c r="B2640" s="1" t="s">
        <v>2435</v>
      </c>
      <c r="C2640" s="1" t="str">
        <f>"1104-AMARILLO-L"</f>
        <v>1104-AMARILLO-L</v>
      </c>
      <c r="D2640" s="1" t="str">
        <f>"1104-AMARILLO-L"</f>
        <v>1104-AMARILLO-L</v>
      </c>
      <c r="E2640" s="1" t="s">
        <v>17</v>
      </c>
      <c r="F2640" s="1">
        <v>1</v>
      </c>
      <c r="G2640" s="1">
        <v>3865.55</v>
      </c>
      <c r="H2640" s="1">
        <v>3866</v>
      </c>
      <c r="I2640" s="1">
        <v>0</v>
      </c>
      <c r="J2640" s="1">
        <v>1</v>
      </c>
      <c r="K2640" s="1">
        <v>0</v>
      </c>
    </row>
    <row r="2641" spans="1:11" x14ac:dyDescent="0.2">
      <c r="A2641" s="1" t="s">
        <v>18</v>
      </c>
      <c r="B2641" s="1" t="s">
        <v>2436</v>
      </c>
      <c r="C2641" s="1" t="str">
        <f>"1104-AZUL-L"</f>
        <v>1104-AZUL-L</v>
      </c>
      <c r="D2641" s="1" t="str">
        <f>"1104-AZUL-L"</f>
        <v>1104-AZUL-L</v>
      </c>
      <c r="E2641" s="1" t="s">
        <v>17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</row>
    <row r="2642" spans="1:11" x14ac:dyDescent="0.2">
      <c r="A2642" s="1" t="s">
        <v>18</v>
      </c>
      <c r="B2642" s="1" t="s">
        <v>2437</v>
      </c>
      <c r="C2642" s="1" t="str">
        <f>"815-GRIS-L"</f>
        <v>815-GRIS-L</v>
      </c>
      <c r="D2642" s="1" t="str">
        <f>"815-GRIS-L"</f>
        <v>815-GRIS-L</v>
      </c>
      <c r="E2642" s="1" t="s">
        <v>17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</row>
    <row r="2643" spans="1:11" x14ac:dyDescent="0.2">
      <c r="A2643" s="1" t="s">
        <v>18</v>
      </c>
      <c r="B2643" s="1" t="s">
        <v>2438</v>
      </c>
      <c r="C2643" s="1" t="str">
        <f>"1411-NEGRO-L"</f>
        <v>1411-NEGRO-L</v>
      </c>
      <c r="D2643" s="1" t="str">
        <f>"1411-NEGRO-L"</f>
        <v>1411-NEGRO-L</v>
      </c>
      <c r="E2643" s="1" t="s">
        <v>17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</row>
    <row r="2644" spans="1:11" x14ac:dyDescent="0.2">
      <c r="A2644" s="1" t="s">
        <v>2419</v>
      </c>
      <c r="B2644" s="1" t="s">
        <v>2439</v>
      </c>
      <c r="C2644" s="1" t="str">
        <f>"116082-NEGRO"</f>
        <v>116082-NEGRO</v>
      </c>
      <c r="D2644" s="1" t="str">
        <f>"116082-NEGRO"</f>
        <v>116082-NEGRO</v>
      </c>
      <c r="E2644" s="1" t="s">
        <v>17</v>
      </c>
      <c r="F2644" s="1">
        <v>3</v>
      </c>
      <c r="G2644" s="1">
        <v>2395</v>
      </c>
      <c r="H2644" s="1">
        <v>7185</v>
      </c>
      <c r="I2644" s="1">
        <v>0</v>
      </c>
      <c r="J2644" s="1">
        <v>3</v>
      </c>
      <c r="K2644" s="1">
        <v>0</v>
      </c>
    </row>
    <row r="2645" spans="1:11" x14ac:dyDescent="0.2">
      <c r="A2645" s="1" t="s">
        <v>18</v>
      </c>
      <c r="B2645" s="1" t="s">
        <v>2440</v>
      </c>
      <c r="C2645" s="1" t="str">
        <f>"1104-ROJO-L"</f>
        <v>1104-ROJO-L</v>
      </c>
      <c r="D2645" s="1" t="str">
        <f>"1104-ROJO-L"</f>
        <v>1104-ROJO-L</v>
      </c>
      <c r="E2645" s="1" t="s">
        <v>17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</row>
    <row r="2646" spans="1:11" x14ac:dyDescent="0.2">
      <c r="A2646" s="1" t="s">
        <v>2419</v>
      </c>
      <c r="B2646" s="1" t="s">
        <v>2441</v>
      </c>
      <c r="C2646" s="1" t="str">
        <f>"116082-ROJO"</f>
        <v>116082-ROJO</v>
      </c>
      <c r="D2646" s="1" t="str">
        <f>"116082-ROJO"</f>
        <v>116082-ROJO</v>
      </c>
      <c r="E2646" s="1" t="s">
        <v>17</v>
      </c>
      <c r="F2646" s="1">
        <v>4</v>
      </c>
      <c r="G2646" s="1">
        <v>2395</v>
      </c>
      <c r="H2646" s="1">
        <v>9580</v>
      </c>
      <c r="I2646" s="1">
        <v>0</v>
      </c>
      <c r="J2646" s="1">
        <v>4</v>
      </c>
      <c r="K2646" s="1">
        <v>0</v>
      </c>
    </row>
    <row r="2647" spans="1:11" x14ac:dyDescent="0.2">
      <c r="A2647" s="1" t="s">
        <v>18</v>
      </c>
      <c r="B2647" s="1" t="s">
        <v>2442</v>
      </c>
      <c r="C2647" s="1" t="str">
        <f>"1104-AMARILLO-XL"</f>
        <v>1104-AMARILLO-XL</v>
      </c>
      <c r="D2647" s="1" t="str">
        <f>"1104-AMARILLO-XL"</f>
        <v>1104-AMARILLO-XL</v>
      </c>
      <c r="E2647" s="1" t="s">
        <v>17</v>
      </c>
      <c r="F2647" s="1">
        <v>1</v>
      </c>
      <c r="G2647" s="1">
        <v>3865.55</v>
      </c>
      <c r="H2647" s="1">
        <v>3866</v>
      </c>
      <c r="I2647" s="1">
        <v>0</v>
      </c>
      <c r="J2647" s="1">
        <v>1</v>
      </c>
      <c r="K2647" s="1">
        <v>0</v>
      </c>
    </row>
    <row r="2648" spans="1:11" x14ac:dyDescent="0.2">
      <c r="A2648" s="1" t="s">
        <v>18</v>
      </c>
      <c r="B2648" s="1" t="s">
        <v>2443</v>
      </c>
      <c r="C2648" s="1" t="str">
        <f>"816-AZUL-XL"</f>
        <v>816-AZUL-XL</v>
      </c>
      <c r="D2648" s="1" t="str">
        <f>"816-AZUL-XL"</f>
        <v>816-AZUL-XL</v>
      </c>
      <c r="E2648" s="1" t="s">
        <v>17</v>
      </c>
      <c r="F2648" s="1">
        <v>5</v>
      </c>
      <c r="G2648" s="1">
        <v>3025.21</v>
      </c>
      <c r="H2648" s="1">
        <v>15126</v>
      </c>
      <c r="I2648" s="1">
        <v>0</v>
      </c>
      <c r="J2648" s="1">
        <v>5</v>
      </c>
      <c r="K2648" s="1">
        <v>0</v>
      </c>
    </row>
    <row r="2649" spans="1:11" x14ac:dyDescent="0.2">
      <c r="A2649" s="1" t="s">
        <v>18</v>
      </c>
      <c r="B2649" s="1" t="s">
        <v>2443</v>
      </c>
      <c r="C2649" s="1" t="str">
        <f>"957-AZUL-XL"</f>
        <v>957-AZUL-XL</v>
      </c>
      <c r="D2649" s="1" t="str">
        <f>"957-AZUL-XL"</f>
        <v>957-AZUL-XL</v>
      </c>
      <c r="E2649" s="1" t="s">
        <v>17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</row>
    <row r="2650" spans="1:11" x14ac:dyDescent="0.2">
      <c r="A2650" s="1" t="s">
        <v>18</v>
      </c>
      <c r="B2650" s="1" t="s">
        <v>2443</v>
      </c>
      <c r="C2650" s="1" t="str">
        <f>"1104-AZUL-XL"</f>
        <v>1104-AZUL-XL</v>
      </c>
      <c r="D2650" s="1" t="str">
        <f>"1104-AZUL-XL"</f>
        <v>1104-AZUL-XL</v>
      </c>
      <c r="E2650" s="1" t="s">
        <v>17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</row>
    <row r="2651" spans="1:11" x14ac:dyDescent="0.2">
      <c r="A2651" s="1" t="s">
        <v>18</v>
      </c>
      <c r="B2651" s="1" t="s">
        <v>2443</v>
      </c>
      <c r="C2651" s="1" t="str">
        <f>"1411-AZUL-XL"</f>
        <v>1411-AZUL-XL</v>
      </c>
      <c r="D2651" s="1" t="str">
        <f>"1411-AZUL-XL"</f>
        <v>1411-AZUL-XL</v>
      </c>
      <c r="E2651" s="1" t="s">
        <v>17</v>
      </c>
      <c r="F2651" s="1">
        <v>1</v>
      </c>
      <c r="G2651" s="1">
        <v>5546.22</v>
      </c>
      <c r="H2651" s="1">
        <v>5546</v>
      </c>
      <c r="I2651" s="1">
        <v>0</v>
      </c>
      <c r="J2651" s="1">
        <v>1</v>
      </c>
      <c r="K2651" s="1">
        <v>0</v>
      </c>
    </row>
    <row r="2652" spans="1:11" x14ac:dyDescent="0.2">
      <c r="A2652" s="1" t="s">
        <v>18</v>
      </c>
      <c r="B2652" s="1" t="s">
        <v>2444</v>
      </c>
      <c r="C2652" s="1" t="str">
        <f>"815-GRIS-XL"</f>
        <v>815-GRIS-XL</v>
      </c>
      <c r="D2652" s="1" t="str">
        <f>"815-GRIS-XL"</f>
        <v>815-GRIS-XL</v>
      </c>
      <c r="E2652" s="1" t="s">
        <v>17</v>
      </c>
      <c r="F2652" s="1">
        <v>1</v>
      </c>
      <c r="G2652" s="1">
        <v>3025.21</v>
      </c>
      <c r="H2652" s="1">
        <v>3025</v>
      </c>
      <c r="I2652" s="1">
        <v>0</v>
      </c>
      <c r="J2652" s="1">
        <v>1</v>
      </c>
      <c r="K2652" s="1">
        <v>0</v>
      </c>
    </row>
    <row r="2653" spans="1:11" x14ac:dyDescent="0.2">
      <c r="A2653" s="1" t="s">
        <v>18</v>
      </c>
      <c r="B2653" s="1" t="s">
        <v>2445</v>
      </c>
      <c r="C2653" s="1" t="str">
        <f>"816-NEGRO-XL"</f>
        <v>816-NEGRO-XL</v>
      </c>
      <c r="D2653" s="1" t="str">
        <f>"816-NEGRO-XL"</f>
        <v>816-NEGRO-XL</v>
      </c>
      <c r="E2653" s="1" t="s">
        <v>17</v>
      </c>
      <c r="F2653" s="1">
        <v>7</v>
      </c>
      <c r="G2653" s="1">
        <v>3025.21</v>
      </c>
      <c r="H2653" s="1">
        <v>21176</v>
      </c>
      <c r="I2653" s="1">
        <v>0</v>
      </c>
      <c r="J2653" s="1">
        <v>7</v>
      </c>
      <c r="K2653" s="1">
        <v>0</v>
      </c>
    </row>
    <row r="2654" spans="1:11" x14ac:dyDescent="0.2">
      <c r="A2654" s="1" t="s">
        <v>18</v>
      </c>
      <c r="B2654" s="1" t="s">
        <v>2445</v>
      </c>
      <c r="C2654" s="1" t="str">
        <f>"957-NEGRO-XL"</f>
        <v>957-NEGRO-XL</v>
      </c>
      <c r="D2654" s="1" t="str">
        <f>"957-NEGRO-XL"</f>
        <v>957-NEGRO-XL</v>
      </c>
      <c r="E2654" s="1" t="s">
        <v>17</v>
      </c>
      <c r="F2654" s="1">
        <v>3</v>
      </c>
      <c r="G2654" s="1">
        <v>5378.15</v>
      </c>
      <c r="H2654" s="1">
        <v>16134</v>
      </c>
      <c r="I2654" s="1">
        <v>0</v>
      </c>
      <c r="J2654" s="1">
        <v>3</v>
      </c>
      <c r="K2654" s="1">
        <v>0</v>
      </c>
    </row>
    <row r="2655" spans="1:11" x14ac:dyDescent="0.2">
      <c r="A2655" s="1" t="s">
        <v>18</v>
      </c>
      <c r="B2655" s="1" t="s">
        <v>2445</v>
      </c>
      <c r="C2655" s="1" t="str">
        <f>"1411-NEGRO-XL"</f>
        <v>1411-NEGRO-XL</v>
      </c>
      <c r="D2655" s="1" t="str">
        <f>"1411-NEGRO-XL"</f>
        <v>1411-NEGRO-XL</v>
      </c>
      <c r="E2655" s="1" t="s">
        <v>17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</row>
    <row r="2656" spans="1:11" x14ac:dyDescent="0.2">
      <c r="A2656" s="1" t="s">
        <v>18</v>
      </c>
      <c r="B2656" s="1" t="s">
        <v>2446</v>
      </c>
      <c r="C2656" s="1" t="str">
        <f>"816-ROJO-XL"</f>
        <v>816-ROJO-XL</v>
      </c>
      <c r="D2656" s="1" t="str">
        <f>"816-ROJO-XL"</f>
        <v>816-ROJO-XL</v>
      </c>
      <c r="E2656" s="1" t="s">
        <v>17</v>
      </c>
      <c r="F2656" s="1">
        <v>5</v>
      </c>
      <c r="G2656" s="1">
        <v>3025.21</v>
      </c>
      <c r="H2656" s="1">
        <v>15126</v>
      </c>
      <c r="I2656" s="1">
        <v>0</v>
      </c>
      <c r="J2656" s="1">
        <v>5</v>
      </c>
      <c r="K2656" s="1">
        <v>0</v>
      </c>
    </row>
    <row r="2657" spans="1:11" x14ac:dyDescent="0.2">
      <c r="A2657" s="1" t="s">
        <v>18</v>
      </c>
      <c r="B2657" s="1" t="s">
        <v>2446</v>
      </c>
      <c r="C2657" s="1" t="str">
        <f>"957-ROJO-XL"</f>
        <v>957-ROJO-XL</v>
      </c>
      <c r="D2657" s="1" t="str">
        <f>"957-ROJO-XL"</f>
        <v>957-ROJO-XL</v>
      </c>
      <c r="E2657" s="1" t="s">
        <v>17</v>
      </c>
      <c r="F2657" s="1">
        <v>4</v>
      </c>
      <c r="G2657" s="1">
        <v>5378.15</v>
      </c>
      <c r="H2657" s="1">
        <v>21513</v>
      </c>
      <c r="I2657" s="1">
        <v>0</v>
      </c>
      <c r="J2657" s="1">
        <v>4</v>
      </c>
      <c r="K2657" s="1">
        <v>0</v>
      </c>
    </row>
    <row r="2658" spans="1:11" x14ac:dyDescent="0.2">
      <c r="A2658" s="1" t="s">
        <v>18</v>
      </c>
      <c r="B2658" s="1" t="s">
        <v>2446</v>
      </c>
      <c r="C2658" s="1" t="str">
        <f>"1411-ROJO-XL"</f>
        <v>1411-ROJO-XL</v>
      </c>
      <c r="D2658" s="1" t="str">
        <f>"1411-ROJO-XL"</f>
        <v>1411-ROJO-XL</v>
      </c>
      <c r="E2658" s="1" t="s">
        <v>17</v>
      </c>
      <c r="F2658" s="1">
        <v>2</v>
      </c>
      <c r="G2658" s="1">
        <v>5546.22</v>
      </c>
      <c r="H2658" s="1">
        <v>11092</v>
      </c>
      <c r="I2658" s="1">
        <v>0</v>
      </c>
      <c r="J2658" s="1">
        <v>2</v>
      </c>
      <c r="K2658" s="1">
        <v>0</v>
      </c>
    </row>
    <row r="2659" spans="1:11" x14ac:dyDescent="0.2">
      <c r="A2659" s="1" t="s">
        <v>18</v>
      </c>
      <c r="B2659" s="1" t="s">
        <v>2446</v>
      </c>
      <c r="C2659" s="1" t="str">
        <f>"1104-ROJO-XL"</f>
        <v>1104-ROJO-XL</v>
      </c>
      <c r="D2659" s="1" t="str">
        <f>"1104-ROJO-XL"</f>
        <v>1104-ROJO-XL</v>
      </c>
      <c r="E2659" s="1" t="s">
        <v>17</v>
      </c>
      <c r="F2659" s="1">
        <v>1</v>
      </c>
      <c r="G2659" s="1">
        <v>3865.55</v>
      </c>
      <c r="H2659" s="1">
        <v>3866</v>
      </c>
      <c r="I2659" s="1">
        <v>0</v>
      </c>
      <c r="J2659" s="1">
        <v>1</v>
      </c>
      <c r="K2659" s="1">
        <v>0</v>
      </c>
    </row>
    <row r="2660" spans="1:11" x14ac:dyDescent="0.2">
      <c r="A2660" s="1" t="s">
        <v>18</v>
      </c>
      <c r="B2660" s="1" t="s">
        <v>2447</v>
      </c>
      <c r="C2660" s="1" t="str">
        <f>"1411-VERDE-XL"</f>
        <v>1411-VERDE-XL</v>
      </c>
      <c r="D2660" s="1" t="str">
        <f>"1411-VERDE-XL"</f>
        <v>1411-VERDE-XL</v>
      </c>
      <c r="E2660" s="1" t="s">
        <v>17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</row>
    <row r="2661" spans="1:11" x14ac:dyDescent="0.2">
      <c r="A2661" s="1" t="s">
        <v>18</v>
      </c>
      <c r="B2661" s="1" t="s">
        <v>2448</v>
      </c>
      <c r="C2661" s="1" t="str">
        <f>"957-AZUL-XXL"</f>
        <v>957-AZUL-XXL</v>
      </c>
      <c r="D2661" s="1" t="str">
        <f>"957-AZUL-XXL"</f>
        <v>957-AZUL-XXL</v>
      </c>
      <c r="E2661" s="1" t="s">
        <v>17</v>
      </c>
      <c r="F2661" s="1">
        <v>5</v>
      </c>
      <c r="G2661" s="1">
        <v>5378.15</v>
      </c>
      <c r="H2661" s="1">
        <v>26891</v>
      </c>
      <c r="I2661" s="1">
        <v>0</v>
      </c>
      <c r="J2661" s="1">
        <v>5</v>
      </c>
      <c r="K2661" s="1">
        <v>0</v>
      </c>
    </row>
    <row r="2662" spans="1:11" x14ac:dyDescent="0.2">
      <c r="A2662" s="1" t="s">
        <v>18</v>
      </c>
      <c r="B2662" s="1" t="s">
        <v>2448</v>
      </c>
      <c r="C2662" s="1" t="str">
        <f>"1411-AZUL-XXL"</f>
        <v>1411-AZUL-XXL</v>
      </c>
      <c r="D2662" s="1" t="str">
        <f>"1411-AZUL-XXL"</f>
        <v>1411-AZUL-XXL</v>
      </c>
      <c r="E2662" s="1" t="s">
        <v>17</v>
      </c>
      <c r="F2662" s="1">
        <v>1</v>
      </c>
      <c r="G2662" s="1">
        <v>5546.22</v>
      </c>
      <c r="H2662" s="1">
        <v>5546</v>
      </c>
      <c r="I2662" s="1">
        <v>0</v>
      </c>
      <c r="J2662" s="1">
        <v>1</v>
      </c>
      <c r="K2662" s="1">
        <v>0</v>
      </c>
    </row>
    <row r="2663" spans="1:11" x14ac:dyDescent="0.2">
      <c r="A2663" s="1" t="s">
        <v>18</v>
      </c>
      <c r="B2663" s="1" t="s">
        <v>2449</v>
      </c>
      <c r="C2663" s="1" t="str">
        <f>"1411-ROJO-XXL"</f>
        <v>1411-ROJO-XXL</v>
      </c>
      <c r="D2663" s="1" t="str">
        <f>"1411-ROJO-XXL"</f>
        <v>1411-ROJO-XXL</v>
      </c>
      <c r="E2663" s="1" t="s">
        <v>17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</row>
    <row r="2664" spans="1:11" x14ac:dyDescent="0.2">
      <c r="A2664" s="1" t="s">
        <v>18</v>
      </c>
      <c r="B2664" s="1" t="s">
        <v>2450</v>
      </c>
      <c r="C2664" s="1" t="str">
        <f>"1411-VERDE-XXL"</f>
        <v>1411-VERDE-XXL</v>
      </c>
      <c r="D2664" s="1" t="str">
        <f>"1411-VERDE-XXL"</f>
        <v>1411-VERDE-XXL</v>
      </c>
      <c r="E2664" s="1" t="s">
        <v>17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</row>
    <row r="2665" spans="1:11" x14ac:dyDescent="0.2">
      <c r="A2665" s="1" t="s">
        <v>18</v>
      </c>
      <c r="B2665" s="1" t="s">
        <v>2451</v>
      </c>
      <c r="C2665" s="1" t="str">
        <f>"66298893573295"</f>
        <v>66298893573295</v>
      </c>
      <c r="D2665" s="1" t="str">
        <f>"WB071-AZUL"</f>
        <v>WB071-AZUL</v>
      </c>
      <c r="E2665" s="1" t="s">
        <v>17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</row>
    <row r="2666" spans="1:11" x14ac:dyDescent="0.2">
      <c r="A2666" s="1" t="s">
        <v>18</v>
      </c>
      <c r="B2666" s="1" t="s">
        <v>2452</v>
      </c>
      <c r="C2666" s="1" t="str">
        <f>"66298893611903"</f>
        <v>66298893611903</v>
      </c>
      <c r="D2666" s="1" t="str">
        <f>"WB071-ROJO"</f>
        <v>WB071-ROJO</v>
      </c>
      <c r="E2666" s="1" t="s">
        <v>17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</row>
    <row r="2667" spans="1:11" x14ac:dyDescent="0.2">
      <c r="A2667" s="1" t="s">
        <v>2419</v>
      </c>
      <c r="B2667" s="1" t="s">
        <v>2453</v>
      </c>
      <c r="C2667" s="1" t="str">
        <f>"66298893651141"</f>
        <v>66298893651141</v>
      </c>
      <c r="D2667" s="1" t="str">
        <f>"WB072-NARANJO"</f>
        <v>WB072-NARANJO</v>
      </c>
      <c r="E2667" s="1" t="s">
        <v>17</v>
      </c>
      <c r="F2667" s="1">
        <v>3</v>
      </c>
      <c r="G2667" s="1">
        <v>2855</v>
      </c>
      <c r="H2667" s="1">
        <v>8565</v>
      </c>
      <c r="I2667" s="1">
        <v>0</v>
      </c>
      <c r="J2667" s="1">
        <v>3</v>
      </c>
      <c r="K2667" s="1">
        <v>0</v>
      </c>
    </row>
    <row r="2668" spans="1:11" x14ac:dyDescent="0.2">
      <c r="A2668" s="1" t="s">
        <v>18</v>
      </c>
      <c r="B2668" s="1" t="s">
        <v>2454</v>
      </c>
      <c r="C2668" s="1" t="str">
        <f>"66298893695889"</f>
        <v>66298893695889</v>
      </c>
      <c r="D2668" s="1" t="str">
        <f>"WB072-VERDE"</f>
        <v>WB072-VERDE</v>
      </c>
      <c r="E2668" s="1" t="s">
        <v>17</v>
      </c>
      <c r="F2668" s="1">
        <v>15</v>
      </c>
      <c r="G2668" s="1">
        <v>2855</v>
      </c>
      <c r="H2668" s="1">
        <v>42825</v>
      </c>
      <c r="I2668" s="1">
        <v>0</v>
      </c>
      <c r="J2668" s="1">
        <v>15</v>
      </c>
      <c r="K2668" s="1">
        <v>0</v>
      </c>
    </row>
    <row r="2669" spans="1:11" x14ac:dyDescent="0.2">
      <c r="A2669" s="1" t="s">
        <v>18</v>
      </c>
      <c r="B2669" s="1" t="s">
        <v>2455</v>
      </c>
      <c r="C2669" s="1" t="str">
        <f>"WB042-AZUL-L"</f>
        <v>WB042-AZUL-L</v>
      </c>
      <c r="D2669" s="1" t="str">
        <f>"WB042-AZUL-L"</f>
        <v>WB042-AZUL-L</v>
      </c>
      <c r="E2669" s="1" t="s">
        <v>17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</row>
    <row r="2670" spans="1:11" x14ac:dyDescent="0.2">
      <c r="A2670" s="1" t="s">
        <v>18</v>
      </c>
      <c r="B2670" s="1" t="s">
        <v>2456</v>
      </c>
      <c r="C2670" s="1" t="str">
        <f>"WB042-AZUL-XL"</f>
        <v>WB042-AZUL-XL</v>
      </c>
      <c r="D2670" s="1" t="str">
        <f>"WB042-AZUL-XL"</f>
        <v>WB042-AZUL-XL</v>
      </c>
      <c r="E2670" s="1" t="s">
        <v>17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</row>
    <row r="2671" spans="1:11" x14ac:dyDescent="0.2">
      <c r="A2671" s="1" t="s">
        <v>18</v>
      </c>
      <c r="B2671" s="1" t="s">
        <v>2457</v>
      </c>
      <c r="C2671" s="1" t="str">
        <f>"WB042-ROJO-L"</f>
        <v>WB042-ROJO-L</v>
      </c>
      <c r="D2671" s="1" t="str">
        <f>"WB042-ROJO-L"</f>
        <v>WB042-ROJO-L</v>
      </c>
      <c r="E2671" s="1" t="s">
        <v>17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</row>
    <row r="2672" spans="1:11" x14ac:dyDescent="0.2">
      <c r="A2672" s="1" t="s">
        <v>18</v>
      </c>
      <c r="B2672" s="1" t="s">
        <v>2458</v>
      </c>
      <c r="C2672" s="1" t="str">
        <f>"WB042-VERDE-L"</f>
        <v>WB042-VERDE-L</v>
      </c>
      <c r="D2672" s="1" t="str">
        <f>"WB042-VERDE-L"</f>
        <v>WB042-VERDE-L</v>
      </c>
      <c r="E2672" s="1" t="s">
        <v>17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</row>
    <row r="2673" spans="1:11" x14ac:dyDescent="0.2">
      <c r="A2673" s="1" t="s">
        <v>18</v>
      </c>
      <c r="B2673" s="1" t="s">
        <v>2459</v>
      </c>
      <c r="C2673" s="1" t="str">
        <f>"WB042-VERDE-XL"</f>
        <v>WB042-VERDE-XL</v>
      </c>
      <c r="D2673" s="1" t="str">
        <f>"WB042-VERDE-XL"</f>
        <v>WB042-VERDE-XL</v>
      </c>
      <c r="E2673" s="1" t="s">
        <v>17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</row>
    <row r="2674" spans="1:11" ht="30" x14ac:dyDescent="0.2">
      <c r="A2674" s="1" t="s">
        <v>18</v>
      </c>
      <c r="B2674" s="1" t="s">
        <v>2460</v>
      </c>
      <c r="C2674" s="1" t="str">
        <f>"66298893747357"</f>
        <v>66298893747357</v>
      </c>
      <c r="D2674" s="1" t="str">
        <f>"2564-NEG/NAR-XL"</f>
        <v>2564-NEG/NAR-XL</v>
      </c>
      <c r="E2674" s="1" t="s">
        <v>17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</row>
    <row r="2675" spans="1:11" x14ac:dyDescent="0.2">
      <c r="A2675" s="1" t="s">
        <v>18</v>
      </c>
      <c r="B2675" s="1" t="s">
        <v>2461</v>
      </c>
      <c r="C2675" s="1" t="str">
        <f>"66298893792130"</f>
        <v>66298893792130</v>
      </c>
      <c r="D2675" s="1" t="str">
        <f>"2564-NEG/NAR-XXL"</f>
        <v>2564-NEG/NAR-XXL</v>
      </c>
      <c r="E2675" s="1" t="s">
        <v>17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</row>
    <row r="2676" spans="1:11" x14ac:dyDescent="0.2">
      <c r="A2676" s="1" t="s">
        <v>18</v>
      </c>
      <c r="B2676" s="1" t="s">
        <v>2462</v>
      </c>
      <c r="C2676" s="1" t="str">
        <f>"66298893843852"</f>
        <v>66298893843852</v>
      </c>
      <c r="D2676" s="1" t="str">
        <f>"WB068-AZUL"</f>
        <v>WB068-AZUL</v>
      </c>
      <c r="E2676" s="1" t="s">
        <v>17</v>
      </c>
      <c r="F2676" s="1">
        <v>1</v>
      </c>
      <c r="G2676" s="1">
        <v>2465</v>
      </c>
      <c r="H2676" s="1">
        <v>2465</v>
      </c>
      <c r="I2676" s="1">
        <v>0</v>
      </c>
      <c r="J2676" s="1">
        <v>1</v>
      </c>
      <c r="K2676" s="1">
        <v>0</v>
      </c>
    </row>
    <row r="2677" spans="1:11" x14ac:dyDescent="0.2">
      <c r="A2677" s="1" t="s">
        <v>18</v>
      </c>
      <c r="B2677" s="1" t="s">
        <v>2463</v>
      </c>
      <c r="C2677" s="1" t="str">
        <f>"66298893892845"</f>
        <v>66298893892845</v>
      </c>
      <c r="D2677" s="1" t="str">
        <f>"WB068-ROJO"</f>
        <v>WB068-ROJO</v>
      </c>
      <c r="E2677" s="1" t="s">
        <v>17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</row>
    <row r="2678" spans="1:11" x14ac:dyDescent="0.2">
      <c r="A2678" s="1" t="s">
        <v>18</v>
      </c>
      <c r="B2678" s="1" t="s">
        <v>2464</v>
      </c>
      <c r="C2678" s="1" t="str">
        <f>"66298893933672"</f>
        <v>66298893933672</v>
      </c>
      <c r="D2678" s="1" t="str">
        <f>"WB066-AZUL"</f>
        <v>WB066-AZUL</v>
      </c>
      <c r="E2678" s="1" t="s">
        <v>17</v>
      </c>
      <c r="F2678" s="1">
        <v>2</v>
      </c>
      <c r="G2678" s="1">
        <v>2465</v>
      </c>
      <c r="H2678" s="1">
        <v>4930</v>
      </c>
      <c r="I2678" s="1">
        <v>0</v>
      </c>
      <c r="J2678" s="1">
        <v>2</v>
      </c>
      <c r="K2678" s="1">
        <v>0</v>
      </c>
    </row>
    <row r="2679" spans="1:11" x14ac:dyDescent="0.2">
      <c r="A2679" s="1" t="s">
        <v>18</v>
      </c>
      <c r="B2679" s="1" t="s">
        <v>2465</v>
      </c>
      <c r="C2679" s="1" t="str">
        <f>"66298893978742"</f>
        <v>66298893978742</v>
      </c>
      <c r="D2679" s="1" t="str">
        <f>"WB066-ROJO"</f>
        <v>WB066-ROJO</v>
      </c>
      <c r="E2679" s="1" t="s">
        <v>17</v>
      </c>
      <c r="F2679" s="1">
        <v>1</v>
      </c>
      <c r="G2679" s="1">
        <v>2465</v>
      </c>
      <c r="H2679" s="1">
        <v>2465</v>
      </c>
      <c r="I2679" s="1">
        <v>0</v>
      </c>
      <c r="J2679" s="1">
        <v>1</v>
      </c>
      <c r="K2679" s="1">
        <v>0</v>
      </c>
    </row>
    <row r="2680" spans="1:11" x14ac:dyDescent="0.2">
      <c r="A2680" s="1" t="s">
        <v>18</v>
      </c>
      <c r="B2680" s="1" t="s">
        <v>2466</v>
      </c>
      <c r="C2680" s="1" t="str">
        <f>"66298894025179"</f>
        <v>66298894025179</v>
      </c>
      <c r="D2680" s="1" t="str">
        <f>"WB066-VERDE"</f>
        <v>WB066-VERDE</v>
      </c>
      <c r="E2680" s="1" t="s">
        <v>17</v>
      </c>
      <c r="F2680" s="1">
        <v>10</v>
      </c>
      <c r="G2680" s="1">
        <v>2465</v>
      </c>
      <c r="H2680" s="1">
        <v>24650</v>
      </c>
      <c r="I2680" s="1">
        <v>0</v>
      </c>
      <c r="J2680" s="1">
        <v>10</v>
      </c>
      <c r="K2680" s="1">
        <v>0</v>
      </c>
    </row>
    <row r="2681" spans="1:11" x14ac:dyDescent="0.2">
      <c r="A2681" s="1" t="s">
        <v>18</v>
      </c>
      <c r="B2681" s="1" t="s">
        <v>2467</v>
      </c>
      <c r="C2681" s="1" t="str">
        <f>"130811"</f>
        <v>130811</v>
      </c>
      <c r="D2681" s="1" t="str">
        <f>"130811"</f>
        <v>130811</v>
      </c>
      <c r="E2681" s="1" t="s">
        <v>17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 x14ac:dyDescent="0.2">
      <c r="A2682" s="1" t="s">
        <v>18</v>
      </c>
      <c r="B2682" s="1" t="s">
        <v>2468</v>
      </c>
      <c r="C2682" s="1" t="str">
        <f>"66298894069066"</f>
        <v>66298894069066</v>
      </c>
      <c r="D2682" s="1" t="str">
        <f>"WB004-ROJO-XL"</f>
        <v>WB004-ROJO-XL</v>
      </c>
      <c r="E2682" s="1" t="s">
        <v>17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</row>
    <row r="2683" spans="1:11" x14ac:dyDescent="0.2">
      <c r="A2683" s="1" t="s">
        <v>18</v>
      </c>
      <c r="B2683" s="1" t="s">
        <v>2469</v>
      </c>
      <c r="C2683" s="1" t="str">
        <f>"66298894111958"</f>
        <v>66298894111958</v>
      </c>
      <c r="D2683" s="1" t="str">
        <f>"WB067-MORADO"</f>
        <v>WB067-MORADO</v>
      </c>
      <c r="E2683" s="1" t="s">
        <v>17</v>
      </c>
      <c r="F2683" s="1">
        <v>8</v>
      </c>
      <c r="G2683" s="1">
        <v>2465</v>
      </c>
      <c r="H2683" s="1">
        <v>19720</v>
      </c>
      <c r="I2683" s="1">
        <v>0</v>
      </c>
      <c r="J2683" s="1">
        <v>8</v>
      </c>
      <c r="K2683" s="1">
        <v>0</v>
      </c>
    </row>
    <row r="2684" spans="1:11" x14ac:dyDescent="0.2">
      <c r="A2684" s="1" t="s">
        <v>18</v>
      </c>
      <c r="B2684" s="1" t="s">
        <v>2470</v>
      </c>
      <c r="C2684" s="1" t="str">
        <f>"66298894155119"</f>
        <v>66298894155119</v>
      </c>
      <c r="D2684" s="1" t="str">
        <f>"WB067-VERDE"</f>
        <v>WB067-VERDE</v>
      </c>
      <c r="E2684" s="1" t="s">
        <v>17</v>
      </c>
      <c r="F2684" s="1">
        <v>5</v>
      </c>
      <c r="G2684" s="1">
        <v>2465</v>
      </c>
      <c r="H2684" s="1">
        <v>12325</v>
      </c>
      <c r="I2684" s="1">
        <v>0</v>
      </c>
      <c r="J2684" s="1">
        <v>5</v>
      </c>
      <c r="K2684" s="1">
        <v>0</v>
      </c>
    </row>
    <row r="2685" spans="1:11" x14ac:dyDescent="0.2">
      <c r="A2685" s="1" t="s">
        <v>18</v>
      </c>
      <c r="B2685" s="1" t="s">
        <v>2471</v>
      </c>
      <c r="C2685" s="1" t="str">
        <f>"66298894198124"</f>
        <v>66298894198124</v>
      </c>
      <c r="D2685" s="1" t="str">
        <f>"WB070-VERDE"</f>
        <v>WB070-VERDE</v>
      </c>
      <c r="E2685" s="1" t="s">
        <v>17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</row>
    <row r="2686" spans="1:11" x14ac:dyDescent="0.2">
      <c r="A2686" s="1" t="s">
        <v>18</v>
      </c>
      <c r="B2686" s="1" t="s">
        <v>2472</v>
      </c>
      <c r="C2686" s="1" t="str">
        <f>"66298894243605"</f>
        <v>66298894243605</v>
      </c>
      <c r="D2686" s="1" t="str">
        <f>"WB064-AZUL"</f>
        <v>WB064-AZUL</v>
      </c>
      <c r="E2686" s="1" t="s">
        <v>17</v>
      </c>
      <c r="F2686" s="1">
        <v>5</v>
      </c>
      <c r="G2686" s="1">
        <v>2465</v>
      </c>
      <c r="H2686" s="1">
        <v>12325</v>
      </c>
      <c r="I2686" s="1">
        <v>0</v>
      </c>
      <c r="J2686" s="1">
        <v>5</v>
      </c>
      <c r="K2686" s="1">
        <v>0</v>
      </c>
    </row>
    <row r="2687" spans="1:11" x14ac:dyDescent="0.2">
      <c r="A2687" s="1" t="s">
        <v>18</v>
      </c>
      <c r="B2687" s="1" t="s">
        <v>2473</v>
      </c>
      <c r="C2687" s="1" t="str">
        <f>"66298894281633"</f>
        <v>66298894281633</v>
      </c>
      <c r="D2687" s="1" t="str">
        <f>"WB064-GRIS"</f>
        <v>WB064-GRIS</v>
      </c>
      <c r="E2687" s="1" t="s">
        <v>17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</row>
    <row r="2688" spans="1:11" x14ac:dyDescent="0.2">
      <c r="A2688" s="1" t="s">
        <v>18</v>
      </c>
      <c r="B2688" s="1" t="s">
        <v>2474</v>
      </c>
      <c r="C2688" s="1" t="str">
        <f>"66298894323027"</f>
        <v>66298894323027</v>
      </c>
      <c r="D2688" s="1" t="str">
        <f>"WB064-ROJO"</f>
        <v>WB064-ROJO</v>
      </c>
      <c r="E2688" s="1" t="s">
        <v>17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</row>
    <row r="2689" spans="1:11" x14ac:dyDescent="0.2">
      <c r="A2689" s="1" t="s">
        <v>18</v>
      </c>
      <c r="B2689" s="1" t="s">
        <v>2475</v>
      </c>
      <c r="C2689" s="1" t="str">
        <f>"66298894366589"</f>
        <v>66298894366589</v>
      </c>
      <c r="D2689" s="1" t="str">
        <f>"LE040A"</f>
        <v>LE040A</v>
      </c>
      <c r="E2689" s="1" t="s">
        <v>17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</row>
    <row r="2690" spans="1:11" x14ac:dyDescent="0.2">
      <c r="A2690" s="1" t="s">
        <v>18</v>
      </c>
      <c r="B2690" s="1" t="s">
        <v>2476</v>
      </c>
      <c r="C2690" s="1" t="str">
        <f>"66298892467824"</f>
        <v>66298892467824</v>
      </c>
      <c r="D2690" s="1" t="str">
        <f>"LE040N"</f>
        <v>LE040N</v>
      </c>
      <c r="E2690" s="1" t="s">
        <v>17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</row>
    <row r="2691" spans="1:11" x14ac:dyDescent="0.2">
      <c r="A2691" s="1" t="s">
        <v>18</v>
      </c>
      <c r="B2691" s="1" t="s">
        <v>2477</v>
      </c>
      <c r="C2691" s="1" t="str">
        <f>"66298894409495"</f>
        <v>66298894409495</v>
      </c>
      <c r="D2691" s="1" t="str">
        <f>"LE040R"</f>
        <v>LE040R</v>
      </c>
      <c r="E2691" s="1" t="s">
        <v>17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</row>
    <row r="2692" spans="1:11" x14ac:dyDescent="0.2">
      <c r="A2692" s="1" t="s">
        <v>18</v>
      </c>
      <c r="B2692" s="1" t="s">
        <v>2478</v>
      </c>
      <c r="C2692" s="1" t="str">
        <f>"WB063-AZUL-L"</f>
        <v>WB063-AZUL-L</v>
      </c>
      <c r="D2692" s="1" t="str">
        <f>"WB063-AZUL-L"</f>
        <v>WB063-AZUL-L</v>
      </c>
      <c r="E2692" s="1" t="s">
        <v>17</v>
      </c>
      <c r="F2692" s="1">
        <v>3</v>
      </c>
      <c r="G2692" s="1">
        <v>2279.4499999999998</v>
      </c>
      <c r="H2692" s="1">
        <v>6838</v>
      </c>
      <c r="I2692" s="1">
        <v>0</v>
      </c>
      <c r="J2692" s="1">
        <v>3</v>
      </c>
      <c r="K2692" s="1">
        <v>0</v>
      </c>
    </row>
    <row r="2693" spans="1:11" x14ac:dyDescent="0.2">
      <c r="A2693" s="1" t="s">
        <v>18</v>
      </c>
      <c r="B2693" s="1" t="s">
        <v>2479</v>
      </c>
      <c r="C2693" s="1" t="str">
        <f>"WB063-AZUL-XL"</f>
        <v>WB063-AZUL-XL</v>
      </c>
      <c r="D2693" s="1" t="str">
        <f>"WB063-AZUL-XL"</f>
        <v>WB063-AZUL-XL</v>
      </c>
      <c r="E2693" s="1" t="s">
        <v>17</v>
      </c>
      <c r="F2693" s="1">
        <v>3</v>
      </c>
      <c r="G2693" s="1">
        <v>2279.4499999999998</v>
      </c>
      <c r="H2693" s="1">
        <v>6838</v>
      </c>
      <c r="I2693" s="1">
        <v>0</v>
      </c>
      <c r="J2693" s="1">
        <v>3</v>
      </c>
      <c r="K2693" s="1">
        <v>0</v>
      </c>
    </row>
    <row r="2694" spans="1:11" x14ac:dyDescent="0.2">
      <c r="A2694" s="1" t="s">
        <v>18</v>
      </c>
      <c r="B2694" s="1" t="s">
        <v>2480</v>
      </c>
      <c r="C2694" s="1" t="str">
        <f>"WB063-NEGRO-XL"</f>
        <v>WB063-NEGRO-XL</v>
      </c>
      <c r="D2694" s="1" t="str">
        <f>"WB063-NEGRO-XL"</f>
        <v>WB063-NEGRO-XL</v>
      </c>
      <c r="E2694" s="1" t="s">
        <v>17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</row>
    <row r="2695" spans="1:11" x14ac:dyDescent="0.2">
      <c r="A2695" s="1" t="s">
        <v>18</v>
      </c>
      <c r="B2695" s="1" t="s">
        <v>2481</v>
      </c>
      <c r="C2695" s="1" t="str">
        <f>"WB063-ROJO-L"</f>
        <v>WB063-ROJO-L</v>
      </c>
      <c r="D2695" s="1" t="str">
        <f>"WB063-ROJO-L"</f>
        <v>WB063-ROJO-L</v>
      </c>
      <c r="E2695" s="1" t="s">
        <v>17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</row>
    <row r="2696" spans="1:11" x14ac:dyDescent="0.2">
      <c r="A2696" s="1" t="s">
        <v>18</v>
      </c>
      <c r="B2696" s="1" t="s">
        <v>2482</v>
      </c>
      <c r="C2696" s="1" t="str">
        <f>"WB063-ROJO-XL"</f>
        <v>WB063-ROJO-XL</v>
      </c>
      <c r="D2696" s="1" t="str">
        <f>"WB063-ROJO-XL"</f>
        <v>WB063-ROJO-XL</v>
      </c>
      <c r="E2696" s="1" t="s">
        <v>17</v>
      </c>
      <c r="F2696" s="1">
        <v>1</v>
      </c>
      <c r="G2696" s="1">
        <v>2279</v>
      </c>
      <c r="H2696" s="1">
        <v>2279</v>
      </c>
      <c r="I2696" s="1">
        <v>0</v>
      </c>
      <c r="J2696" s="1">
        <v>1</v>
      </c>
      <c r="K2696" s="1">
        <v>0</v>
      </c>
    </row>
    <row r="2697" spans="1:11" x14ac:dyDescent="0.2">
      <c r="A2697" s="1" t="s">
        <v>2419</v>
      </c>
      <c r="B2697" s="1" t="s">
        <v>2483</v>
      </c>
      <c r="C2697" s="1" t="str">
        <f>"142020"</f>
        <v>142020</v>
      </c>
      <c r="D2697" s="1" t="str">
        <f>"142020"</f>
        <v>142020</v>
      </c>
      <c r="E2697" s="1" t="s">
        <v>17</v>
      </c>
      <c r="F2697" s="1">
        <v>14</v>
      </c>
      <c r="G2697" s="1">
        <v>1975</v>
      </c>
      <c r="H2697" s="1">
        <v>27650</v>
      </c>
      <c r="I2697" s="1">
        <v>0</v>
      </c>
      <c r="J2697" s="1">
        <v>14</v>
      </c>
      <c r="K2697" s="1">
        <v>0</v>
      </c>
    </row>
    <row r="2698" spans="1:11" x14ac:dyDescent="0.2">
      <c r="A2698" s="1" t="s">
        <v>18</v>
      </c>
      <c r="B2698" s="1" t="s">
        <v>2484</v>
      </c>
      <c r="C2698" s="1" t="str">
        <f>"136432"</f>
        <v>136432</v>
      </c>
      <c r="D2698" s="1" t="str">
        <f>"136432"</f>
        <v>136432</v>
      </c>
      <c r="E2698" s="1" t="s">
        <v>17</v>
      </c>
      <c r="F2698" s="1">
        <v>1</v>
      </c>
      <c r="G2698" s="1">
        <v>10474.39</v>
      </c>
      <c r="H2698" s="1">
        <v>10474</v>
      </c>
      <c r="I2698" s="1">
        <v>0</v>
      </c>
      <c r="J2698" s="1">
        <v>1</v>
      </c>
      <c r="K2698" s="1">
        <v>0</v>
      </c>
    </row>
    <row r="2699" spans="1:11" x14ac:dyDescent="0.2">
      <c r="A2699" s="1" t="s">
        <v>2419</v>
      </c>
      <c r="B2699" s="1" t="s">
        <v>2485</v>
      </c>
      <c r="C2699" s="1" t="str">
        <f>"WB004"</f>
        <v>WB004</v>
      </c>
      <c r="D2699" s="1" t="str">
        <f>"WB004"</f>
        <v>WB004</v>
      </c>
      <c r="E2699" s="1" t="s">
        <v>17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</row>
    <row r="2700" spans="1:11" x14ac:dyDescent="0.2">
      <c r="A2700" s="1" t="s">
        <v>2419</v>
      </c>
      <c r="B2700" s="1" t="s">
        <v>2485</v>
      </c>
      <c r="C2700" s="1" t="str">
        <f>"WB060"</f>
        <v>WB060</v>
      </c>
      <c r="D2700" s="1" t="str">
        <f>"WB060"</f>
        <v>WB060</v>
      </c>
      <c r="E2700" s="1" t="s">
        <v>17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</row>
    <row r="2701" spans="1:11" x14ac:dyDescent="0.2">
      <c r="A2701" s="1" t="s">
        <v>2419</v>
      </c>
      <c r="B2701" s="1" t="s">
        <v>2485</v>
      </c>
      <c r="C2701" s="1" t="str">
        <f>"WB064"</f>
        <v>WB064</v>
      </c>
      <c r="D2701" s="1" t="str">
        <f>"WB064"</f>
        <v>WB064</v>
      </c>
      <c r="E2701" s="1" t="s">
        <v>17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</row>
    <row r="2702" spans="1:11" x14ac:dyDescent="0.2">
      <c r="A2702" s="1" t="s">
        <v>2419</v>
      </c>
      <c r="B2702" s="1" t="s">
        <v>2485</v>
      </c>
      <c r="C2702" s="1" t="str">
        <f>"WB066"</f>
        <v>WB066</v>
      </c>
      <c r="D2702" s="1" t="str">
        <f>"WB066"</f>
        <v>WB066</v>
      </c>
      <c r="E2702" s="1" t="s">
        <v>17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</row>
    <row r="2703" spans="1:11" x14ac:dyDescent="0.2">
      <c r="A2703" s="1" t="s">
        <v>2419</v>
      </c>
      <c r="B2703" s="1" t="s">
        <v>2485</v>
      </c>
      <c r="C2703" s="1" t="str">
        <f>"WB068"</f>
        <v>WB068</v>
      </c>
      <c r="D2703" s="1" t="str">
        <f>"WB068"</f>
        <v>WB068</v>
      </c>
      <c r="E2703" s="1" t="s">
        <v>17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</row>
    <row r="2704" spans="1:11" x14ac:dyDescent="0.2">
      <c r="A2704" s="1" t="s">
        <v>2419</v>
      </c>
      <c r="B2704" s="1" t="s">
        <v>2485</v>
      </c>
      <c r="C2704" s="1" t="str">
        <f>"WB093"</f>
        <v>WB093</v>
      </c>
      <c r="D2704" s="1" t="str">
        <f>"WB093"</f>
        <v>WB093</v>
      </c>
      <c r="E2704" s="1" t="s">
        <v>17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</row>
    <row r="2705" spans="1:11" x14ac:dyDescent="0.2">
      <c r="A2705" s="1" t="s">
        <v>18</v>
      </c>
      <c r="B2705" s="1" t="s">
        <v>2486</v>
      </c>
      <c r="C2705" s="1" t="str">
        <f>"66298894494879"</f>
        <v>66298894494879</v>
      </c>
      <c r="D2705" s="1" t="str">
        <f>"0400-GUANTES"</f>
        <v>0400-GUANTES</v>
      </c>
      <c r="E2705" s="1" t="s">
        <v>17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</row>
    <row r="2706" spans="1:11" x14ac:dyDescent="0.2">
      <c r="A2706" s="1" t="s">
        <v>18</v>
      </c>
      <c r="B2706" s="1" t="s">
        <v>2486</v>
      </c>
      <c r="C2706" s="1" t="str">
        <f>"A-3320"</f>
        <v>A-3320</v>
      </c>
      <c r="D2706" s="1" t="str">
        <f>"A-3320"</f>
        <v>A-3320</v>
      </c>
      <c r="E2706" s="1" t="s">
        <v>17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</row>
    <row r="2707" spans="1:11" x14ac:dyDescent="0.2">
      <c r="A2707" s="1" t="s">
        <v>18</v>
      </c>
      <c r="B2707" s="1" t="s">
        <v>2487</v>
      </c>
      <c r="C2707" s="1" t="str">
        <f>"66298895222289"</f>
        <v>66298895222289</v>
      </c>
      <c r="D2707" s="1" t="str">
        <f>"0400-NIÑO"</f>
        <v>0400-NIÑO</v>
      </c>
      <c r="E2707" s="1" t="s">
        <v>17</v>
      </c>
      <c r="F2707" s="1">
        <v>2</v>
      </c>
      <c r="G2707" s="1">
        <v>2086</v>
      </c>
      <c r="H2707" s="1">
        <v>4172</v>
      </c>
      <c r="I2707" s="1">
        <v>0</v>
      </c>
      <c r="J2707" s="1">
        <v>2</v>
      </c>
      <c r="K2707" s="1">
        <v>0</v>
      </c>
    </row>
    <row r="2708" spans="1:11" x14ac:dyDescent="0.2">
      <c r="A2708" s="1" t="s">
        <v>18</v>
      </c>
      <c r="B2708" s="1" t="s">
        <v>2488</v>
      </c>
      <c r="C2708" s="1" t="str">
        <f>"3785"</f>
        <v>3785</v>
      </c>
      <c r="D2708" s="1" t="str">
        <f>"3785"</f>
        <v>3785</v>
      </c>
      <c r="E2708" s="1" t="s">
        <v>17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</row>
    <row r="2709" spans="1:11" x14ac:dyDescent="0.2">
      <c r="A2709" s="1" t="s">
        <v>18</v>
      </c>
      <c r="B2709" s="1" t="s">
        <v>2489</v>
      </c>
      <c r="C2709" s="1" t="str">
        <f>"8600"</f>
        <v>8600</v>
      </c>
      <c r="D2709" s="1" t="str">
        <f>"8600"</f>
        <v>8600</v>
      </c>
      <c r="E2709" s="1" t="s">
        <v>17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</row>
    <row r="2710" spans="1:11" x14ac:dyDescent="0.2">
      <c r="A2710" s="1" t="s">
        <v>18</v>
      </c>
      <c r="B2710" s="1" t="s">
        <v>2490</v>
      </c>
      <c r="C2710" s="1" t="str">
        <f>"66298894450475"</f>
        <v>66298894450475</v>
      </c>
      <c r="D2710" s="1" t="str">
        <f>"MECHANIX-L"</f>
        <v>MECHANIX-L</v>
      </c>
      <c r="E2710" s="1" t="s">
        <v>17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</row>
    <row r="2711" spans="1:11" x14ac:dyDescent="0.2">
      <c r="A2711" s="1" t="s">
        <v>2491</v>
      </c>
      <c r="B2711" s="1" t="s">
        <v>2492</v>
      </c>
      <c r="C2711" s="1" t="str">
        <f>"66298894536193"</f>
        <v>66298894536193</v>
      </c>
      <c r="D2711" s="1" t="str">
        <f>"91254-KF0-003"</f>
        <v>91254-KF0-003</v>
      </c>
      <c r="E2711" s="1" t="s">
        <v>17</v>
      </c>
      <c r="F2711" s="1">
        <v>27</v>
      </c>
      <c r="G2711" s="1">
        <v>691</v>
      </c>
      <c r="H2711" s="1">
        <v>18657</v>
      </c>
      <c r="I2711" s="1">
        <v>0</v>
      </c>
      <c r="J2711" s="1">
        <v>27</v>
      </c>
      <c r="K2711" s="1">
        <v>0</v>
      </c>
    </row>
    <row r="2712" spans="1:11" x14ac:dyDescent="0.2">
      <c r="A2712" s="1" t="s">
        <v>98</v>
      </c>
      <c r="B2712" s="1" t="s">
        <v>2493</v>
      </c>
      <c r="C2712" s="1" t="str">
        <f>"14610-KSP-910JP"</f>
        <v>14610-KSP-910JP</v>
      </c>
      <c r="D2712" s="1" t="str">
        <f>"14610-KSP-910JP"</f>
        <v>14610-KSP-910JP</v>
      </c>
      <c r="E2712" s="1" t="s">
        <v>17</v>
      </c>
      <c r="F2712" s="1">
        <v>3</v>
      </c>
      <c r="G2712" s="1">
        <v>1098</v>
      </c>
      <c r="H2712" s="1">
        <v>3294</v>
      </c>
      <c r="I2712" s="1">
        <v>0</v>
      </c>
      <c r="J2712" s="1">
        <v>3</v>
      </c>
      <c r="K2712" s="1">
        <v>0</v>
      </c>
    </row>
    <row r="2713" spans="1:11" x14ac:dyDescent="0.2">
      <c r="A2713" s="1" t="s">
        <v>98</v>
      </c>
      <c r="B2713" s="1" t="s">
        <v>2494</v>
      </c>
      <c r="C2713" s="1" t="str">
        <f>"12771-18A00"</f>
        <v>12771-18A00</v>
      </c>
      <c r="D2713" s="1" t="str">
        <f>"12771-18A00"</f>
        <v>12771-18A00</v>
      </c>
      <c r="E2713" s="1" t="s">
        <v>17</v>
      </c>
      <c r="F2713" s="1">
        <v>6</v>
      </c>
      <c r="G2713" s="1">
        <v>1640</v>
      </c>
      <c r="H2713" s="1">
        <v>9840</v>
      </c>
      <c r="I2713" s="1">
        <v>0</v>
      </c>
      <c r="J2713" s="1">
        <v>6</v>
      </c>
      <c r="K2713" s="1">
        <v>0</v>
      </c>
    </row>
    <row r="2714" spans="1:11" x14ac:dyDescent="0.2">
      <c r="A2714" s="1" t="s">
        <v>98</v>
      </c>
      <c r="B2714" s="1" t="s">
        <v>2495</v>
      </c>
      <c r="C2714" s="1" t="str">
        <f>"66298894578141"</f>
        <v>66298894578141</v>
      </c>
      <c r="D2714" s="1" t="str">
        <f>"21C-E2231-00"</f>
        <v>21C-E2231-00</v>
      </c>
      <c r="E2714" s="1" t="s">
        <v>17</v>
      </c>
      <c r="F2714" s="1">
        <v>1</v>
      </c>
      <c r="G2714" s="1">
        <v>1147</v>
      </c>
      <c r="H2714" s="1">
        <v>1147</v>
      </c>
      <c r="I2714" s="1">
        <v>0</v>
      </c>
      <c r="J2714" s="1">
        <v>1</v>
      </c>
      <c r="K2714" s="1">
        <v>0</v>
      </c>
    </row>
    <row r="2715" spans="1:11" x14ac:dyDescent="0.2">
      <c r="A2715" s="1" t="s">
        <v>98</v>
      </c>
      <c r="B2715" s="1" t="s">
        <v>2496</v>
      </c>
      <c r="C2715" s="1" t="str">
        <f>"66298894621268"</f>
        <v>66298894621268</v>
      </c>
      <c r="D2715" s="1" t="str">
        <f>"12771-12F60JP"</f>
        <v>12771-12F60JP</v>
      </c>
      <c r="E2715" s="1" t="s">
        <v>17</v>
      </c>
      <c r="F2715" s="1">
        <v>2</v>
      </c>
      <c r="G2715" s="1">
        <v>1178</v>
      </c>
      <c r="H2715" s="1">
        <v>2356</v>
      </c>
      <c r="I2715" s="1">
        <v>0</v>
      </c>
      <c r="J2715" s="1">
        <v>2</v>
      </c>
      <c r="K2715" s="1">
        <v>0</v>
      </c>
    </row>
    <row r="2716" spans="1:11" x14ac:dyDescent="0.2">
      <c r="A2716" s="1" t="s">
        <v>98</v>
      </c>
      <c r="B2716" s="1" t="s">
        <v>2497</v>
      </c>
      <c r="C2716" s="1" t="str">
        <f>"14620-KPF-900JP"</f>
        <v>14620-KPF-900JP</v>
      </c>
      <c r="D2716" s="1" t="str">
        <f>"14620-KPF-900JP"</f>
        <v>14620-KPF-900JP</v>
      </c>
      <c r="E2716" s="1" t="s">
        <v>17</v>
      </c>
      <c r="F2716" s="1">
        <v>5</v>
      </c>
      <c r="G2716" s="1">
        <v>1824</v>
      </c>
      <c r="H2716" s="1">
        <v>9120</v>
      </c>
      <c r="I2716" s="1">
        <v>0</v>
      </c>
      <c r="J2716" s="1">
        <v>5</v>
      </c>
      <c r="K2716" s="1">
        <v>0</v>
      </c>
    </row>
    <row r="2717" spans="1:11" x14ac:dyDescent="0.2">
      <c r="A2717" s="1" t="s">
        <v>98</v>
      </c>
      <c r="B2717" s="1" t="s">
        <v>2498</v>
      </c>
      <c r="C2717" s="1" t="str">
        <f>"66298894669841"</f>
        <v>66298894669841</v>
      </c>
      <c r="D2717" s="1" t="str">
        <f>"Y119"</f>
        <v>Y119</v>
      </c>
      <c r="E2717" s="1" t="s">
        <v>17</v>
      </c>
      <c r="F2717" s="1">
        <v>4</v>
      </c>
      <c r="G2717" s="1">
        <v>1655</v>
      </c>
      <c r="H2717" s="1">
        <v>6620</v>
      </c>
      <c r="I2717" s="1">
        <v>0</v>
      </c>
      <c r="J2717" s="1">
        <v>4</v>
      </c>
      <c r="K2717" s="1">
        <v>0</v>
      </c>
    </row>
    <row r="2718" spans="1:11" ht="30" x14ac:dyDescent="0.2">
      <c r="A2718" s="1" t="s">
        <v>98</v>
      </c>
      <c r="B2718" s="1" t="s">
        <v>2499</v>
      </c>
      <c r="C2718" s="1" t="str">
        <f>"14500-KPF-305"</f>
        <v>14500-KPF-305</v>
      </c>
      <c r="D2718" s="1" t="str">
        <f>"14500-KPF-305"</f>
        <v>14500-KPF-305</v>
      </c>
      <c r="E2718" s="1" t="s">
        <v>17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</row>
    <row r="2719" spans="1:11" x14ac:dyDescent="0.2">
      <c r="A2719" s="1" t="s">
        <v>98</v>
      </c>
      <c r="B2719" s="1" t="s">
        <v>2500</v>
      </c>
      <c r="C2719" s="1" t="str">
        <f>"66298894710533"</f>
        <v>66298894710533</v>
      </c>
      <c r="D2719" s="1" t="str">
        <f>"11827"</f>
        <v>11827</v>
      </c>
      <c r="E2719" s="1" t="s">
        <v>17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</row>
    <row r="2720" spans="1:11" x14ac:dyDescent="0.2">
      <c r="A2720" s="1" t="s">
        <v>98</v>
      </c>
      <c r="B2720" s="1" t="s">
        <v>2501</v>
      </c>
      <c r="C2720" s="1" t="str">
        <f>"66298894758517"</f>
        <v>66298894758517</v>
      </c>
      <c r="D2720" s="1" t="str">
        <f>"7831"</f>
        <v>7831</v>
      </c>
      <c r="E2720" s="1" t="s">
        <v>17</v>
      </c>
      <c r="F2720" s="1">
        <v>1</v>
      </c>
      <c r="G2720" s="1">
        <v>3471</v>
      </c>
      <c r="H2720" s="1">
        <v>3471</v>
      </c>
      <c r="I2720" s="1">
        <v>0</v>
      </c>
      <c r="J2720" s="1">
        <v>1</v>
      </c>
      <c r="K2720" s="1">
        <v>0</v>
      </c>
    </row>
    <row r="2721" spans="1:11" x14ac:dyDescent="0.2">
      <c r="A2721" s="1" t="s">
        <v>98</v>
      </c>
      <c r="B2721" s="1" t="s">
        <v>2501</v>
      </c>
      <c r="C2721" s="1" t="str">
        <f>"66298894813674"</f>
        <v>66298894813674</v>
      </c>
      <c r="D2721" s="1" t="str">
        <f>"CH003"</f>
        <v>CH003</v>
      </c>
      <c r="E2721" s="1" t="s">
        <v>17</v>
      </c>
      <c r="F2721" s="1">
        <v>1</v>
      </c>
      <c r="G2721" s="1">
        <v>2316</v>
      </c>
      <c r="H2721" s="1">
        <v>2316</v>
      </c>
      <c r="I2721" s="1">
        <v>0</v>
      </c>
      <c r="J2721" s="1">
        <v>1</v>
      </c>
      <c r="K2721" s="1">
        <v>0</v>
      </c>
    </row>
    <row r="2722" spans="1:11" x14ac:dyDescent="0.2">
      <c r="A2722" s="1" t="s">
        <v>98</v>
      </c>
      <c r="B2722" s="1" t="s">
        <v>2502</v>
      </c>
      <c r="C2722" s="1" t="str">
        <f>"66298894859135"</f>
        <v>66298894859135</v>
      </c>
      <c r="D2722" s="1" t="str">
        <f>"1543"</f>
        <v>1543</v>
      </c>
      <c r="E2722" s="1" t="s">
        <v>17</v>
      </c>
      <c r="F2722" s="1">
        <v>2</v>
      </c>
      <c r="G2722" s="1">
        <v>3471</v>
      </c>
      <c r="H2722" s="1">
        <v>6942</v>
      </c>
      <c r="I2722" s="1">
        <v>0</v>
      </c>
      <c r="J2722" s="1">
        <v>2</v>
      </c>
      <c r="K2722" s="1">
        <v>0</v>
      </c>
    </row>
    <row r="2723" spans="1:11" x14ac:dyDescent="0.2">
      <c r="A2723" s="1" t="s">
        <v>98</v>
      </c>
      <c r="B2723" s="1" t="s">
        <v>2502</v>
      </c>
      <c r="C2723" s="1" t="str">
        <f>"66298894866481"</f>
        <v>66298894866481</v>
      </c>
      <c r="D2723" s="1" t="str">
        <f>"01543"</f>
        <v>01543</v>
      </c>
      <c r="E2723" s="1" t="s">
        <v>17</v>
      </c>
      <c r="F2723" s="1">
        <v>2</v>
      </c>
      <c r="G2723" s="1">
        <v>2030</v>
      </c>
      <c r="H2723" s="1">
        <v>4060</v>
      </c>
      <c r="I2723" s="1">
        <v>0</v>
      </c>
      <c r="J2723" s="1">
        <v>2</v>
      </c>
      <c r="K2723" s="1">
        <v>0</v>
      </c>
    </row>
    <row r="2724" spans="1:11" x14ac:dyDescent="0.2">
      <c r="A2724" s="1" t="s">
        <v>2503</v>
      </c>
      <c r="B2724" s="1" t="s">
        <v>2504</v>
      </c>
      <c r="C2724" s="1" t="str">
        <f>"CH004"</f>
        <v>CH004</v>
      </c>
      <c r="D2724" s="1" t="str">
        <f>"CH004"</f>
        <v>CH004</v>
      </c>
      <c r="E2724" s="1" t="s">
        <v>17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</row>
    <row r="2725" spans="1:11" x14ac:dyDescent="0.2">
      <c r="A2725" s="1" t="s">
        <v>98</v>
      </c>
      <c r="B2725" s="1" t="s">
        <v>2505</v>
      </c>
      <c r="C2725" s="1" t="str">
        <f>"66298894925758"</f>
        <v>66298894925758</v>
      </c>
      <c r="D2725" s="1" t="str">
        <f>"13520"</f>
        <v>13520</v>
      </c>
      <c r="E2725" s="1" t="s">
        <v>17</v>
      </c>
      <c r="F2725" s="1">
        <v>1</v>
      </c>
      <c r="G2725" s="1">
        <v>2600</v>
      </c>
      <c r="H2725" s="1">
        <v>2600</v>
      </c>
      <c r="I2725" s="1">
        <v>0</v>
      </c>
      <c r="J2725" s="1">
        <v>1</v>
      </c>
      <c r="K2725" s="1">
        <v>0</v>
      </c>
    </row>
    <row r="2726" spans="1:11" x14ac:dyDescent="0.2">
      <c r="A2726" s="1" t="s">
        <v>98</v>
      </c>
      <c r="B2726" s="1" t="s">
        <v>2506</v>
      </c>
      <c r="C2726" s="1" t="str">
        <f>"66298894967530"</f>
        <v>66298894967530</v>
      </c>
      <c r="D2726" s="1" t="str">
        <f>"11826"</f>
        <v>11826</v>
      </c>
      <c r="E2726" s="1" t="s">
        <v>17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</row>
    <row r="2727" spans="1:11" x14ac:dyDescent="0.2">
      <c r="A2727" s="1" t="s">
        <v>98</v>
      </c>
      <c r="B2727" s="1" t="s">
        <v>2506</v>
      </c>
      <c r="C2727" s="1" t="str">
        <f>"20022"</f>
        <v>20022</v>
      </c>
      <c r="D2727" s="1" t="str">
        <f>"20022"</f>
        <v>20022</v>
      </c>
      <c r="E2727" s="1" t="s">
        <v>17</v>
      </c>
      <c r="F2727" s="1">
        <v>4</v>
      </c>
      <c r="G2727" s="1">
        <v>2600</v>
      </c>
      <c r="H2727" s="1">
        <v>10400</v>
      </c>
      <c r="I2727" s="1">
        <v>0</v>
      </c>
      <c r="J2727" s="1">
        <v>4</v>
      </c>
      <c r="K2727" s="1">
        <v>0</v>
      </c>
    </row>
    <row r="2728" spans="1:11" x14ac:dyDescent="0.2">
      <c r="A2728" s="1" t="s">
        <v>98</v>
      </c>
      <c r="B2728" s="1" t="s">
        <v>2507</v>
      </c>
      <c r="C2728" s="1" t="str">
        <f>"66298895053735"</f>
        <v>66298895053735</v>
      </c>
      <c r="D2728" s="1" t="str">
        <f>"DK-1013-30"</f>
        <v>DK-1013-30</v>
      </c>
      <c r="E2728" s="1" t="s">
        <v>17</v>
      </c>
      <c r="F2728" s="1">
        <v>4</v>
      </c>
      <c r="G2728" s="1">
        <v>1358</v>
      </c>
      <c r="H2728" s="1">
        <v>5432</v>
      </c>
      <c r="I2728" s="1">
        <v>0</v>
      </c>
      <c r="J2728" s="1">
        <v>4</v>
      </c>
      <c r="K2728" s="1">
        <v>0</v>
      </c>
    </row>
    <row r="2729" spans="1:11" x14ac:dyDescent="0.2">
      <c r="A2729" s="1" t="s">
        <v>98</v>
      </c>
      <c r="B2729" s="1" t="s">
        <v>2508</v>
      </c>
      <c r="C2729" s="1" t="str">
        <f>"66298895097488"</f>
        <v>66298895097488</v>
      </c>
      <c r="D2729" s="1" t="str">
        <f>"11828"</f>
        <v>11828</v>
      </c>
      <c r="E2729" s="1" t="s">
        <v>17</v>
      </c>
      <c r="F2729" s="1">
        <v>2</v>
      </c>
      <c r="G2729" s="1">
        <v>4647</v>
      </c>
      <c r="H2729" s="1">
        <v>9294</v>
      </c>
      <c r="I2729" s="1">
        <v>0</v>
      </c>
      <c r="J2729" s="1">
        <v>2</v>
      </c>
      <c r="K2729" s="1">
        <v>0</v>
      </c>
    </row>
    <row r="2730" spans="1:11" x14ac:dyDescent="0.2">
      <c r="A2730" s="1" t="s">
        <v>98</v>
      </c>
      <c r="B2730" s="1" t="s">
        <v>2509</v>
      </c>
      <c r="C2730" s="1" t="str">
        <f>"66298895138771"</f>
        <v>66298895138771</v>
      </c>
      <c r="D2730" s="1" t="str">
        <f>"11830-GUIAY TENS"</f>
        <v>11830-GUIAY TENS</v>
      </c>
      <c r="E2730" s="1" t="s">
        <v>17</v>
      </c>
      <c r="F2730" s="1">
        <v>1</v>
      </c>
      <c r="G2730" s="1">
        <v>15236</v>
      </c>
      <c r="H2730" s="1">
        <v>15236</v>
      </c>
      <c r="I2730" s="1">
        <v>0</v>
      </c>
      <c r="J2730" s="1">
        <v>1</v>
      </c>
      <c r="K2730" s="1">
        <v>0</v>
      </c>
    </row>
    <row r="2731" spans="1:11" x14ac:dyDescent="0.2">
      <c r="A2731" s="1" t="s">
        <v>98</v>
      </c>
      <c r="B2731" s="1" t="s">
        <v>2510</v>
      </c>
      <c r="C2731" s="1" t="str">
        <f>"66298895179840"</f>
        <v>66298895179840</v>
      </c>
      <c r="D2731" s="1" t="str">
        <f>"GUIA-TENS-DOMINA"</f>
        <v>GUIA-TENS-DOMINA</v>
      </c>
      <c r="E2731" s="1" t="s">
        <v>17</v>
      </c>
      <c r="F2731" s="1">
        <v>2</v>
      </c>
      <c r="G2731" s="1">
        <v>11941</v>
      </c>
      <c r="H2731" s="1">
        <v>23882</v>
      </c>
      <c r="I2731" s="1">
        <v>0</v>
      </c>
      <c r="J2731" s="1">
        <v>2</v>
      </c>
      <c r="K2731" s="1">
        <v>0</v>
      </c>
    </row>
    <row r="2732" spans="1:11" x14ac:dyDescent="0.2">
      <c r="A2732" s="1" t="s">
        <v>18</v>
      </c>
      <c r="B2732" s="1" t="s">
        <v>2511</v>
      </c>
      <c r="C2732" s="1" t="str">
        <f>"66298895271761"</f>
        <v>66298895271761</v>
      </c>
      <c r="D2732" s="1" t="str">
        <f>"H158-B"</f>
        <v>H158-B</v>
      </c>
      <c r="E2732" s="1" t="s">
        <v>17</v>
      </c>
      <c r="F2732" s="1">
        <v>6</v>
      </c>
      <c r="G2732" s="1">
        <v>530</v>
      </c>
      <c r="H2732" s="1">
        <v>3180</v>
      </c>
      <c r="I2732" s="1">
        <v>0</v>
      </c>
      <c r="J2732" s="1">
        <v>6</v>
      </c>
      <c r="K2732" s="1">
        <v>0</v>
      </c>
    </row>
    <row r="2733" spans="1:11" x14ac:dyDescent="0.2">
      <c r="A2733" s="1" t="s">
        <v>18</v>
      </c>
      <c r="B2733" s="1" t="s">
        <v>2511</v>
      </c>
      <c r="C2733" s="1" t="str">
        <f>"66298895281160"</f>
        <v>66298895281160</v>
      </c>
      <c r="D2733" s="1" t="str">
        <f>"H158"</f>
        <v>H158</v>
      </c>
      <c r="E2733" s="1" t="s">
        <v>17</v>
      </c>
      <c r="F2733" s="1">
        <v>1</v>
      </c>
      <c r="G2733" s="1">
        <v>605</v>
      </c>
      <c r="H2733" s="1">
        <v>605</v>
      </c>
      <c r="I2733" s="1">
        <v>0</v>
      </c>
      <c r="J2733" s="1">
        <v>1</v>
      </c>
      <c r="K2733" s="1">
        <v>0</v>
      </c>
    </row>
    <row r="2734" spans="1:11" x14ac:dyDescent="0.2">
      <c r="A2734" s="1" t="s">
        <v>102</v>
      </c>
      <c r="B2734" s="1" t="s">
        <v>2512</v>
      </c>
      <c r="C2734" s="1" t="str">
        <f>"66298895340030"</f>
        <v>66298895340030</v>
      </c>
      <c r="D2734" s="1" t="str">
        <f>"H128"</f>
        <v>H128</v>
      </c>
      <c r="E2734" s="1" t="s">
        <v>17</v>
      </c>
      <c r="F2734" s="1">
        <v>3</v>
      </c>
      <c r="G2734" s="1">
        <v>1795</v>
      </c>
      <c r="H2734" s="1">
        <v>5385</v>
      </c>
      <c r="I2734" s="1">
        <v>0</v>
      </c>
      <c r="J2734" s="1">
        <v>3</v>
      </c>
      <c r="K2734" s="1">
        <v>0</v>
      </c>
    </row>
    <row r="2735" spans="1:11" x14ac:dyDescent="0.2">
      <c r="A2735" s="1" t="s">
        <v>2491</v>
      </c>
      <c r="B2735" s="1" t="s">
        <v>2513</v>
      </c>
      <c r="C2735" s="1" t="str">
        <f>"66298895390032"</f>
        <v>66298895390032</v>
      </c>
      <c r="D2735" s="1" t="str">
        <f>"BW125T12-E15-11"</f>
        <v>BW125T12-E15-11</v>
      </c>
      <c r="E2735" s="1" t="s">
        <v>17</v>
      </c>
      <c r="F2735" s="1">
        <v>1</v>
      </c>
      <c r="G2735" s="1">
        <v>3966</v>
      </c>
      <c r="H2735" s="1">
        <v>3966</v>
      </c>
      <c r="I2735" s="1">
        <v>0</v>
      </c>
      <c r="J2735" s="1">
        <v>1</v>
      </c>
      <c r="K2735" s="1">
        <v>0</v>
      </c>
    </row>
    <row r="2736" spans="1:11" x14ac:dyDescent="0.2">
      <c r="A2736" s="1" t="s">
        <v>2491</v>
      </c>
      <c r="B2736" s="1" t="s">
        <v>2514</v>
      </c>
      <c r="C2736" s="1" t="str">
        <f>"66298895433888"</f>
        <v>66298895433888</v>
      </c>
      <c r="D2736" s="1" t="str">
        <f>"SA019"</f>
        <v>SA019</v>
      </c>
      <c r="E2736" s="1" t="s">
        <v>17</v>
      </c>
      <c r="F2736" s="1">
        <v>4</v>
      </c>
      <c r="G2736" s="1">
        <v>41391</v>
      </c>
      <c r="H2736" s="1">
        <v>165564</v>
      </c>
      <c r="I2736" s="1">
        <v>0</v>
      </c>
      <c r="J2736" s="1">
        <v>4</v>
      </c>
      <c r="K2736" s="1">
        <v>0</v>
      </c>
    </row>
    <row r="2737" spans="1:11" x14ac:dyDescent="0.2">
      <c r="A2737" s="1" t="s">
        <v>2491</v>
      </c>
      <c r="B2737" s="1" t="s">
        <v>2515</v>
      </c>
      <c r="C2737" s="1" t="str">
        <f>"SA043"</f>
        <v>SA043</v>
      </c>
      <c r="D2737" s="1" t="str">
        <f>"SA043"</f>
        <v>SA043</v>
      </c>
      <c r="E2737" s="1" t="s">
        <v>17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</row>
    <row r="2738" spans="1:11" x14ac:dyDescent="0.2">
      <c r="A2738" s="1" t="s">
        <v>2491</v>
      </c>
      <c r="B2738" s="1" t="s">
        <v>2516</v>
      </c>
      <c r="C2738" s="1" t="str">
        <f>"SA004"</f>
        <v>SA004</v>
      </c>
      <c r="D2738" s="1" t="str">
        <f>"SA004"</f>
        <v>SA004</v>
      </c>
      <c r="E2738" s="1" t="s">
        <v>17</v>
      </c>
      <c r="F2738" s="1">
        <v>4</v>
      </c>
      <c r="G2738" s="1">
        <v>44982</v>
      </c>
      <c r="H2738" s="1">
        <v>179928</v>
      </c>
      <c r="I2738" s="1">
        <v>0</v>
      </c>
      <c r="J2738" s="1">
        <v>4</v>
      </c>
      <c r="K2738" s="1">
        <v>0</v>
      </c>
    </row>
    <row r="2739" spans="1:11" x14ac:dyDescent="0.2">
      <c r="A2739" s="1" t="s">
        <v>2491</v>
      </c>
      <c r="B2739" s="1" t="s">
        <v>2517</v>
      </c>
      <c r="C2739" s="1" t="str">
        <f>"66298895478483"</f>
        <v>66298895478483</v>
      </c>
      <c r="D2739" s="1" t="str">
        <f>"SA006"</f>
        <v>SA006</v>
      </c>
      <c r="E2739" s="1" t="s">
        <v>17</v>
      </c>
      <c r="F2739" s="1">
        <v>1</v>
      </c>
      <c r="G2739" s="1">
        <v>34443</v>
      </c>
      <c r="H2739" s="1">
        <v>34443</v>
      </c>
      <c r="I2739" s="1">
        <v>0</v>
      </c>
      <c r="J2739" s="1">
        <v>1</v>
      </c>
      <c r="K2739" s="1">
        <v>0</v>
      </c>
    </row>
    <row r="2740" spans="1:11" x14ac:dyDescent="0.2">
      <c r="A2740" s="1" t="s">
        <v>2491</v>
      </c>
      <c r="B2740" s="1" t="s">
        <v>2518</v>
      </c>
      <c r="C2740" s="1" t="str">
        <f>"66298895521549"</f>
        <v>66298895521549</v>
      </c>
      <c r="D2740" s="1" t="str">
        <f>"49CC42"</f>
        <v>49CC42</v>
      </c>
      <c r="E2740" s="1" t="s">
        <v>17</v>
      </c>
      <c r="F2740" s="1">
        <v>2</v>
      </c>
      <c r="G2740" s="1">
        <v>22859</v>
      </c>
      <c r="H2740" s="1">
        <v>45718</v>
      </c>
      <c r="I2740" s="1">
        <v>0</v>
      </c>
      <c r="J2740" s="1">
        <v>2</v>
      </c>
      <c r="K2740" s="1">
        <v>0</v>
      </c>
    </row>
    <row r="2741" spans="1:11" x14ac:dyDescent="0.2">
      <c r="A2741" s="1" t="s">
        <v>2491</v>
      </c>
      <c r="B2741" s="1" t="s">
        <v>2519</v>
      </c>
      <c r="C2741" s="1" t="str">
        <f>"66298895565868"</f>
        <v>66298895565868</v>
      </c>
      <c r="D2741" s="1" t="str">
        <f>"SA049"</f>
        <v>SA049</v>
      </c>
      <c r="E2741" s="1" t="s">
        <v>17</v>
      </c>
      <c r="F2741" s="1">
        <v>1</v>
      </c>
      <c r="G2741" s="1">
        <v>44955</v>
      </c>
      <c r="H2741" s="1">
        <v>44955</v>
      </c>
      <c r="I2741" s="1">
        <v>0</v>
      </c>
      <c r="J2741" s="1">
        <v>1</v>
      </c>
      <c r="K2741" s="1">
        <v>0</v>
      </c>
    </row>
    <row r="2742" spans="1:11" x14ac:dyDescent="0.2">
      <c r="A2742" s="1" t="s">
        <v>2491</v>
      </c>
      <c r="B2742" s="1" t="s">
        <v>2520</v>
      </c>
      <c r="C2742" s="1" t="str">
        <f>"66298895618815"</f>
        <v>66298895618815</v>
      </c>
      <c r="D2742" s="1" t="str">
        <f>"SA050"</f>
        <v>SA050</v>
      </c>
      <c r="E2742" s="1" t="s">
        <v>17</v>
      </c>
      <c r="F2742" s="1">
        <v>1</v>
      </c>
      <c r="G2742" s="1">
        <v>44955</v>
      </c>
      <c r="H2742" s="1">
        <v>44955</v>
      </c>
      <c r="I2742" s="1">
        <v>0</v>
      </c>
      <c r="J2742" s="1">
        <v>1</v>
      </c>
      <c r="K2742" s="1">
        <v>0</v>
      </c>
    </row>
    <row r="2743" spans="1:11" x14ac:dyDescent="0.2">
      <c r="A2743" s="1" t="s">
        <v>2491</v>
      </c>
      <c r="B2743" s="1" t="s">
        <v>2521</v>
      </c>
      <c r="C2743" s="1" t="str">
        <f>"SA053"</f>
        <v>SA053</v>
      </c>
      <c r="D2743" s="1" t="str">
        <f>"SA053"</f>
        <v>SA053</v>
      </c>
      <c r="E2743" s="1" t="s">
        <v>17</v>
      </c>
      <c r="F2743" s="1">
        <v>2</v>
      </c>
      <c r="G2743" s="1">
        <v>51858</v>
      </c>
      <c r="H2743" s="1">
        <v>103716</v>
      </c>
      <c r="I2743" s="1">
        <v>0</v>
      </c>
      <c r="J2743" s="1">
        <v>2</v>
      </c>
      <c r="K2743" s="1">
        <v>0</v>
      </c>
    </row>
    <row r="2744" spans="1:11" x14ac:dyDescent="0.2">
      <c r="A2744" s="1" t="s">
        <v>2491</v>
      </c>
      <c r="B2744" s="1" t="s">
        <v>2522</v>
      </c>
      <c r="C2744" s="1" t="str">
        <f>"SA014"</f>
        <v>SA014</v>
      </c>
      <c r="D2744" s="1" t="str">
        <f>"SA014"</f>
        <v>SA014</v>
      </c>
      <c r="E2744" s="1" t="s">
        <v>17</v>
      </c>
      <c r="F2744" s="1">
        <v>2</v>
      </c>
      <c r="G2744" s="1">
        <v>42048</v>
      </c>
      <c r="H2744" s="1">
        <v>84096</v>
      </c>
      <c r="I2744" s="1">
        <v>0</v>
      </c>
      <c r="J2744" s="1">
        <v>2</v>
      </c>
      <c r="K2744" s="1">
        <v>0</v>
      </c>
    </row>
    <row r="2745" spans="1:11" x14ac:dyDescent="0.2">
      <c r="A2745" s="1" t="s">
        <v>18</v>
      </c>
      <c r="B2745" s="1" t="s">
        <v>2523</v>
      </c>
      <c r="C2745" s="1" t="str">
        <f>"3010101"</f>
        <v>3010101</v>
      </c>
      <c r="D2745" s="1" t="str">
        <f>"3010101"</f>
        <v>3010101</v>
      </c>
      <c r="E2745" s="1" t="s">
        <v>17</v>
      </c>
      <c r="F2745" s="1">
        <v>97</v>
      </c>
      <c r="G2745" s="1">
        <v>15.9</v>
      </c>
      <c r="H2745" s="1">
        <v>1542</v>
      </c>
      <c r="I2745" s="1">
        <v>0</v>
      </c>
      <c r="J2745" s="1">
        <v>97</v>
      </c>
      <c r="K2745" s="1">
        <v>0</v>
      </c>
    </row>
    <row r="2746" spans="1:11" x14ac:dyDescent="0.2">
      <c r="A2746" s="1" t="s">
        <v>18</v>
      </c>
      <c r="B2746" s="1" t="s">
        <v>2524</v>
      </c>
      <c r="C2746" s="1" t="str">
        <f>"66298895666130"</f>
        <v>66298895666130</v>
      </c>
      <c r="D2746" s="1" t="str">
        <f>"HR-3000-AM"</f>
        <v>HR-3000-AM</v>
      </c>
      <c r="E2746" s="1" t="s">
        <v>17</v>
      </c>
      <c r="F2746" s="1">
        <v>52</v>
      </c>
      <c r="G2746" s="1">
        <v>155</v>
      </c>
      <c r="H2746" s="1">
        <v>8060</v>
      </c>
      <c r="I2746" s="1">
        <v>0</v>
      </c>
      <c r="J2746" s="1">
        <v>52</v>
      </c>
      <c r="K2746" s="1">
        <v>0</v>
      </c>
    </row>
    <row r="2747" spans="1:11" x14ac:dyDescent="0.2">
      <c r="A2747" s="1" t="s">
        <v>18</v>
      </c>
      <c r="B2747" s="1" t="s">
        <v>2525</v>
      </c>
      <c r="C2747" s="1" t="str">
        <f>"3010047"</f>
        <v>3010047</v>
      </c>
      <c r="D2747" s="1" t="str">
        <f>"3010047"</f>
        <v>3010047</v>
      </c>
      <c r="E2747" s="1" t="s">
        <v>17</v>
      </c>
      <c r="F2747" s="1">
        <v>89</v>
      </c>
      <c r="G2747" s="1">
        <v>15.9</v>
      </c>
      <c r="H2747" s="1">
        <v>1415</v>
      </c>
      <c r="I2747" s="1">
        <v>0</v>
      </c>
      <c r="J2747" s="1">
        <v>89</v>
      </c>
      <c r="K2747" s="1">
        <v>0</v>
      </c>
    </row>
    <row r="2748" spans="1:11" x14ac:dyDescent="0.2">
      <c r="A2748" s="1" t="s">
        <v>18</v>
      </c>
      <c r="B2748" s="1" t="s">
        <v>2526</v>
      </c>
      <c r="C2748" s="1" t="str">
        <f>"66298895710427"</f>
        <v>66298895710427</v>
      </c>
      <c r="D2748" s="1" t="str">
        <f>"HR-3000-R"</f>
        <v>HR-3000-R</v>
      </c>
      <c r="E2748" s="1" t="s">
        <v>17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</row>
    <row r="2749" spans="1:11" x14ac:dyDescent="0.2">
      <c r="A2749" s="1" t="s">
        <v>1050</v>
      </c>
      <c r="B2749" s="1" t="s">
        <v>2527</v>
      </c>
      <c r="C2749" s="1" t="str">
        <f>"66298895757990"</f>
        <v>66298895757990</v>
      </c>
      <c r="D2749" s="1" t="str">
        <f>"49CC69"</f>
        <v>49CC69</v>
      </c>
      <c r="E2749" s="1" t="s">
        <v>17</v>
      </c>
      <c r="F2749" s="1">
        <v>2</v>
      </c>
      <c r="G2749" s="1">
        <v>391</v>
      </c>
      <c r="H2749" s="1">
        <v>782</v>
      </c>
      <c r="I2749" s="1">
        <v>0</v>
      </c>
      <c r="J2749" s="1">
        <v>2</v>
      </c>
      <c r="K2749" s="1">
        <v>0</v>
      </c>
    </row>
    <row r="2750" spans="1:11" x14ac:dyDescent="0.2">
      <c r="A2750" s="1" t="s">
        <v>1050</v>
      </c>
      <c r="B2750" s="1" t="s">
        <v>2528</v>
      </c>
      <c r="C2750" s="1" t="str">
        <f>"66298895803760"</f>
        <v>66298895803760</v>
      </c>
      <c r="D2750" s="1" t="str">
        <f>"B075"</f>
        <v>B075</v>
      </c>
      <c r="E2750" s="1" t="s">
        <v>17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</row>
    <row r="2751" spans="1:11" x14ac:dyDescent="0.2">
      <c r="A2751" s="1" t="s">
        <v>1050</v>
      </c>
      <c r="B2751" s="1" t="s">
        <v>2529</v>
      </c>
      <c r="C2751" s="1" t="str">
        <f>"66298895843269"</f>
        <v>66298895843269</v>
      </c>
      <c r="D2751" s="1" t="str">
        <f>"82331"</f>
        <v>82331</v>
      </c>
      <c r="E2751" s="1" t="s">
        <v>17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</row>
    <row r="2752" spans="1:11" x14ac:dyDescent="0.2">
      <c r="A2752" s="1" t="s">
        <v>2530</v>
      </c>
      <c r="B2752" s="1" t="s">
        <v>2531</v>
      </c>
      <c r="C2752" s="1" t="str">
        <f>"U030"</f>
        <v>U030</v>
      </c>
      <c r="D2752" s="1" t="str">
        <f>"U030"</f>
        <v>U030</v>
      </c>
      <c r="E2752" s="1" t="s">
        <v>17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</row>
    <row r="2753" spans="1:11" x14ac:dyDescent="0.2">
      <c r="A2753" s="1" t="s">
        <v>2530</v>
      </c>
      <c r="B2753" s="1" t="s">
        <v>2531</v>
      </c>
      <c r="C2753" s="1" t="str">
        <f>"XA002"</f>
        <v>XA002</v>
      </c>
      <c r="D2753" s="1" t="str">
        <f>"XA002"</f>
        <v>XA002</v>
      </c>
      <c r="E2753" s="1" t="s">
        <v>17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</row>
    <row r="2754" spans="1:11" x14ac:dyDescent="0.2">
      <c r="A2754" s="1" t="s">
        <v>1050</v>
      </c>
      <c r="B2754" s="1" t="s">
        <v>2532</v>
      </c>
      <c r="C2754" s="1" t="str">
        <f>"66298895884673"</f>
        <v>66298895884673</v>
      </c>
      <c r="D2754" s="1" t="str">
        <f>"E011"</f>
        <v>E011</v>
      </c>
      <c r="E2754" s="1" t="s">
        <v>17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</row>
    <row r="2755" spans="1:11" x14ac:dyDescent="0.2">
      <c r="A2755" s="1" t="s">
        <v>1050</v>
      </c>
      <c r="B2755" s="1" t="s">
        <v>2533</v>
      </c>
      <c r="C2755" s="1" t="str">
        <f>"66298895931161"</f>
        <v>66298895931161</v>
      </c>
      <c r="D2755" s="1" t="str">
        <f>"XA019"</f>
        <v>XA019</v>
      </c>
      <c r="E2755" s="1" t="s">
        <v>17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</row>
    <row r="2756" spans="1:11" x14ac:dyDescent="0.2">
      <c r="A2756" s="1" t="s">
        <v>1050</v>
      </c>
      <c r="B2756" s="1" t="s">
        <v>2534</v>
      </c>
      <c r="C2756" s="1" t="str">
        <f>"66298896019807"</f>
        <v>66298896019807</v>
      </c>
      <c r="D2756" s="1" t="str">
        <f>"16210-437-000BR"</f>
        <v>16210-437-000BR</v>
      </c>
      <c r="E2756" s="1" t="s">
        <v>17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</row>
    <row r="2757" spans="1:11" x14ac:dyDescent="0.2">
      <c r="A2757" s="1" t="s">
        <v>2530</v>
      </c>
      <c r="B2757" s="1" t="s">
        <v>2535</v>
      </c>
      <c r="C2757" s="1" t="str">
        <f>"589003"</f>
        <v>589003</v>
      </c>
      <c r="D2757" s="1" t="str">
        <f>"589003"</f>
        <v>589003</v>
      </c>
      <c r="E2757" s="1" t="s">
        <v>17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</row>
    <row r="2758" spans="1:11" x14ac:dyDescent="0.2">
      <c r="A2758" s="1" t="s">
        <v>1050</v>
      </c>
      <c r="B2758" s="1" t="s">
        <v>2536</v>
      </c>
      <c r="C2758" s="1" t="str">
        <f>"66298896060035"</f>
        <v>66298896060035</v>
      </c>
      <c r="D2758" s="1" t="str">
        <f>"XA014"</f>
        <v>XA014</v>
      </c>
      <c r="E2758" s="1" t="s">
        <v>17</v>
      </c>
      <c r="F2758" s="1">
        <v>1</v>
      </c>
      <c r="G2758" s="1">
        <v>2111</v>
      </c>
      <c r="H2758" s="1">
        <v>2111</v>
      </c>
      <c r="I2758" s="1">
        <v>0</v>
      </c>
      <c r="J2758" s="1">
        <v>1</v>
      </c>
      <c r="K2758" s="1">
        <v>0</v>
      </c>
    </row>
    <row r="2759" spans="1:11" x14ac:dyDescent="0.2">
      <c r="A2759" s="1" t="s">
        <v>1050</v>
      </c>
      <c r="B2759" s="1" t="s">
        <v>2537</v>
      </c>
      <c r="C2759" s="1" t="str">
        <f>"66298896106876"</f>
        <v>66298896106876</v>
      </c>
      <c r="D2759" s="1" t="str">
        <f>"38B-E3585-00"</f>
        <v>38B-E3585-00</v>
      </c>
      <c r="E2759" s="1" t="s">
        <v>17</v>
      </c>
      <c r="F2759" s="1">
        <v>2</v>
      </c>
      <c r="G2759" s="1">
        <v>3447</v>
      </c>
      <c r="H2759" s="1">
        <v>6894</v>
      </c>
      <c r="I2759" s="1">
        <v>0</v>
      </c>
      <c r="J2759" s="1">
        <v>2</v>
      </c>
      <c r="K2759" s="1">
        <v>0</v>
      </c>
    </row>
    <row r="2760" spans="1:11" x14ac:dyDescent="0.2">
      <c r="A2760" s="1" t="s">
        <v>98</v>
      </c>
      <c r="B2760" s="1" t="s">
        <v>2538</v>
      </c>
      <c r="C2760" s="1" t="str">
        <f>"66298896152067"</f>
        <v>66298896152067</v>
      </c>
      <c r="D2760" s="1" t="str">
        <f>"R056"</f>
        <v>R056</v>
      </c>
      <c r="E2760" s="1" t="s">
        <v>17</v>
      </c>
      <c r="F2760" s="1">
        <v>4</v>
      </c>
      <c r="G2760" s="1">
        <v>1311</v>
      </c>
      <c r="H2760" s="1">
        <v>5244</v>
      </c>
      <c r="I2760" s="1">
        <v>0</v>
      </c>
      <c r="J2760" s="1">
        <v>4</v>
      </c>
      <c r="K2760" s="1">
        <v>0</v>
      </c>
    </row>
    <row r="2761" spans="1:11" x14ac:dyDescent="0.2">
      <c r="A2761" s="1" t="s">
        <v>2530</v>
      </c>
      <c r="B2761" s="1" t="s">
        <v>2539</v>
      </c>
      <c r="C2761" s="1" t="str">
        <f>"GAA001"</f>
        <v>GAA001</v>
      </c>
      <c r="D2761" s="1" t="str">
        <f>"GAA001"</f>
        <v>GAA001</v>
      </c>
      <c r="E2761" s="1" t="s">
        <v>17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</row>
    <row r="2762" spans="1:11" x14ac:dyDescent="0.2">
      <c r="A2762" s="1" t="s">
        <v>1050</v>
      </c>
      <c r="B2762" s="1" t="s">
        <v>2540</v>
      </c>
      <c r="C2762" s="1" t="str">
        <f>"66298896192923"</f>
        <v>66298896192923</v>
      </c>
      <c r="D2762" s="1" t="str">
        <f>"XA006"</f>
        <v>XA006</v>
      </c>
      <c r="E2762" s="1" t="s">
        <v>17</v>
      </c>
      <c r="F2762" s="1">
        <v>1</v>
      </c>
      <c r="G2762" s="1">
        <v>2260</v>
      </c>
      <c r="H2762" s="1">
        <v>2260</v>
      </c>
      <c r="I2762" s="1">
        <v>0</v>
      </c>
      <c r="J2762" s="1">
        <v>1</v>
      </c>
      <c r="K2762" s="1">
        <v>0</v>
      </c>
    </row>
    <row r="2763" spans="1:11" x14ac:dyDescent="0.2">
      <c r="A2763" s="1" t="s">
        <v>479</v>
      </c>
      <c r="B2763" s="1" t="s">
        <v>2541</v>
      </c>
      <c r="C2763" s="1" t="str">
        <f>"66298896235068"</f>
        <v>66298896235068</v>
      </c>
      <c r="D2763" s="1" t="str">
        <f>"I-S-1958"</f>
        <v>I-S-1958</v>
      </c>
      <c r="E2763" s="1" t="s">
        <v>17</v>
      </c>
      <c r="F2763" s="1">
        <v>9</v>
      </c>
      <c r="G2763" s="1">
        <v>747</v>
      </c>
      <c r="H2763" s="1">
        <v>6723</v>
      </c>
      <c r="I2763" s="1">
        <v>0</v>
      </c>
      <c r="J2763" s="1">
        <v>9</v>
      </c>
      <c r="K2763" s="1">
        <v>0</v>
      </c>
    </row>
    <row r="2764" spans="1:11" x14ac:dyDescent="0.2">
      <c r="A2764" s="2" t="s">
        <v>1567</v>
      </c>
      <c r="B2764" s="1" t="s">
        <v>2542</v>
      </c>
      <c r="C2764" s="2" t="str">
        <f>"RO-3128"</f>
        <v>RO-3128</v>
      </c>
      <c r="D2764" s="2" t="str">
        <f>"RO-3128"</f>
        <v>RO-3128</v>
      </c>
      <c r="E2764" s="2" t="s">
        <v>17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</row>
    <row r="2765" spans="1:11" x14ac:dyDescent="0.2">
      <c r="A2765" s="2"/>
      <c r="B2765" s="1" t="s">
        <v>1569</v>
      </c>
      <c r="C2765" s="2"/>
      <c r="D2765" s="2"/>
      <c r="E2765" s="2"/>
      <c r="F2765" s="2"/>
      <c r="G2765" s="2"/>
      <c r="H2765" s="2"/>
      <c r="I2765" s="2"/>
      <c r="J2765" s="2"/>
      <c r="K2765" s="2"/>
    </row>
    <row r="2766" spans="1:11" x14ac:dyDescent="0.2">
      <c r="A2766" s="2"/>
      <c r="B2766" s="1" t="s">
        <v>2543</v>
      </c>
      <c r="C2766" s="2"/>
      <c r="D2766" s="2"/>
      <c r="E2766" s="2"/>
      <c r="F2766" s="2"/>
      <c r="G2766" s="2"/>
      <c r="H2766" s="2"/>
      <c r="I2766" s="2"/>
      <c r="J2766" s="2"/>
      <c r="K2766" s="2"/>
    </row>
    <row r="2767" spans="1:11" x14ac:dyDescent="0.2">
      <c r="A2767" s="2"/>
      <c r="B2767" s="1" t="s">
        <v>2544</v>
      </c>
      <c r="C2767" s="2"/>
      <c r="D2767" s="2"/>
      <c r="E2767" s="2"/>
      <c r="F2767" s="2"/>
      <c r="G2767" s="2"/>
      <c r="H2767" s="2"/>
      <c r="I2767" s="2"/>
      <c r="J2767" s="2"/>
      <c r="K2767" s="2"/>
    </row>
    <row r="2768" spans="1:11" x14ac:dyDescent="0.2">
      <c r="A2768" s="2"/>
      <c r="B2768" s="1" t="s">
        <v>2545</v>
      </c>
      <c r="C2768" s="2"/>
      <c r="D2768" s="2"/>
      <c r="E2768" s="2"/>
      <c r="F2768" s="2"/>
      <c r="G2768" s="2"/>
      <c r="H2768" s="2"/>
      <c r="I2768" s="2"/>
      <c r="J2768" s="2"/>
      <c r="K2768" s="2"/>
    </row>
    <row r="2769" spans="1:11" x14ac:dyDescent="0.2">
      <c r="A2769" s="2"/>
      <c r="B2769" s="1" t="s">
        <v>2546</v>
      </c>
      <c r="C2769" s="2"/>
      <c r="D2769" s="2"/>
      <c r="E2769" s="2"/>
      <c r="F2769" s="2"/>
      <c r="G2769" s="2"/>
      <c r="H2769" s="2"/>
      <c r="I2769" s="2"/>
      <c r="J2769" s="2"/>
      <c r="K2769" s="2"/>
    </row>
    <row r="2770" spans="1:11" x14ac:dyDescent="0.2">
      <c r="A2770" s="2"/>
      <c r="B2770" s="1" t="s">
        <v>1574</v>
      </c>
      <c r="C2770" s="2"/>
      <c r="D2770" s="2"/>
      <c r="E2770" s="2"/>
      <c r="F2770" s="2"/>
      <c r="G2770" s="2"/>
      <c r="H2770" s="2"/>
      <c r="I2770" s="2"/>
      <c r="J2770" s="2"/>
      <c r="K2770" s="2"/>
    </row>
    <row r="2771" spans="1:11" x14ac:dyDescent="0.2">
      <c r="A2771" s="2"/>
      <c r="B2771" s="1" t="s">
        <v>1575</v>
      </c>
      <c r="C2771" s="2"/>
      <c r="D2771" s="2"/>
      <c r="E2771" s="2"/>
      <c r="F2771" s="2"/>
      <c r="G2771" s="2"/>
      <c r="H2771" s="2"/>
      <c r="I2771" s="2"/>
      <c r="J2771" s="2"/>
      <c r="K2771" s="2"/>
    </row>
    <row r="2772" spans="1:11" x14ac:dyDescent="0.2">
      <c r="A2772" s="2"/>
      <c r="B2772" s="1" t="s">
        <v>2547</v>
      </c>
      <c r="C2772" s="2"/>
      <c r="D2772" s="2"/>
      <c r="E2772" s="2"/>
      <c r="F2772" s="2"/>
      <c r="G2772" s="2"/>
      <c r="H2772" s="2"/>
      <c r="I2772" s="2"/>
      <c r="J2772" s="2"/>
      <c r="K2772" s="2"/>
    </row>
    <row r="2773" spans="1:11" x14ac:dyDescent="0.2">
      <c r="A2773" s="2"/>
      <c r="B2773" s="1" t="s">
        <v>2548</v>
      </c>
      <c r="C2773" s="2"/>
      <c r="D2773" s="2"/>
      <c r="E2773" s="2"/>
      <c r="F2773" s="2"/>
      <c r="G2773" s="2"/>
      <c r="H2773" s="2"/>
      <c r="I2773" s="2"/>
      <c r="J2773" s="2"/>
      <c r="K2773" s="2"/>
    </row>
    <row r="2774" spans="1:11" x14ac:dyDescent="0.2">
      <c r="A2774" s="2" t="s">
        <v>1567</v>
      </c>
      <c r="B2774" s="1" t="s">
        <v>2542</v>
      </c>
      <c r="C2774" s="2" t="str">
        <f>"RO-3150"</f>
        <v>RO-3150</v>
      </c>
      <c r="D2774" s="2" t="str">
        <f>"RO-3150"</f>
        <v>RO-3150</v>
      </c>
      <c r="E2774" s="2" t="s">
        <v>17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</row>
    <row r="2775" spans="1:11" x14ac:dyDescent="0.2">
      <c r="A2775" s="2"/>
      <c r="B2775" s="1" t="s">
        <v>1569</v>
      </c>
      <c r="C2775" s="2"/>
      <c r="D2775" s="2"/>
      <c r="E2775" s="2"/>
      <c r="F2775" s="2"/>
      <c r="G2775" s="2"/>
      <c r="H2775" s="2"/>
      <c r="I2775" s="2"/>
      <c r="J2775" s="2"/>
      <c r="K2775" s="2"/>
    </row>
    <row r="2776" spans="1:11" x14ac:dyDescent="0.2">
      <c r="A2776" s="2"/>
      <c r="B2776" s="1" t="s">
        <v>2543</v>
      </c>
      <c r="C2776" s="2"/>
      <c r="D2776" s="2"/>
      <c r="E2776" s="2"/>
      <c r="F2776" s="2"/>
      <c r="G2776" s="2"/>
      <c r="H2776" s="2"/>
      <c r="I2776" s="2"/>
      <c r="J2776" s="2"/>
      <c r="K2776" s="2"/>
    </row>
    <row r="2777" spans="1:11" x14ac:dyDescent="0.2">
      <c r="A2777" s="2"/>
      <c r="B2777" s="1" t="s">
        <v>2544</v>
      </c>
      <c r="C2777" s="2"/>
      <c r="D2777" s="2"/>
      <c r="E2777" s="2"/>
      <c r="F2777" s="2"/>
      <c r="G2777" s="2"/>
      <c r="H2777" s="2"/>
      <c r="I2777" s="2"/>
      <c r="J2777" s="2"/>
      <c r="K2777" s="2"/>
    </row>
    <row r="2778" spans="1:11" x14ac:dyDescent="0.2">
      <c r="A2778" s="2"/>
      <c r="B2778" s="1" t="s">
        <v>2545</v>
      </c>
      <c r="C2778" s="2"/>
      <c r="D2778" s="2"/>
      <c r="E2778" s="2"/>
      <c r="F2778" s="2"/>
      <c r="G2778" s="2"/>
      <c r="H2778" s="2"/>
      <c r="I2778" s="2"/>
      <c r="J2778" s="2"/>
      <c r="K2778" s="2"/>
    </row>
    <row r="2779" spans="1:11" x14ac:dyDescent="0.2">
      <c r="A2779" s="2"/>
      <c r="B2779" s="1" t="s">
        <v>2546</v>
      </c>
      <c r="C2779" s="2"/>
      <c r="D2779" s="2"/>
      <c r="E2779" s="2"/>
      <c r="F2779" s="2"/>
      <c r="G2779" s="2"/>
      <c r="H2779" s="2"/>
      <c r="I2779" s="2"/>
      <c r="J2779" s="2"/>
      <c r="K2779" s="2"/>
    </row>
    <row r="2780" spans="1:11" x14ac:dyDescent="0.2">
      <c r="A2780" s="2"/>
      <c r="B2780" s="1" t="s">
        <v>1574</v>
      </c>
      <c r="C2780" s="2"/>
      <c r="D2780" s="2"/>
      <c r="E2780" s="2"/>
      <c r="F2780" s="2"/>
      <c r="G2780" s="2"/>
      <c r="H2780" s="2"/>
      <c r="I2780" s="2"/>
      <c r="J2780" s="2"/>
      <c r="K2780" s="2"/>
    </row>
    <row r="2781" spans="1:11" x14ac:dyDescent="0.2">
      <c r="A2781" s="2"/>
      <c r="B2781" s="1" t="s">
        <v>1575</v>
      </c>
      <c r="C2781" s="2"/>
      <c r="D2781" s="2"/>
      <c r="E2781" s="2"/>
      <c r="F2781" s="2"/>
      <c r="G2781" s="2"/>
      <c r="H2781" s="2"/>
      <c r="I2781" s="2"/>
      <c r="J2781" s="2"/>
      <c r="K2781" s="2"/>
    </row>
    <row r="2782" spans="1:11" x14ac:dyDescent="0.2">
      <c r="A2782" s="2"/>
      <c r="B2782" s="1" t="s">
        <v>2549</v>
      </c>
      <c r="C2782" s="2"/>
      <c r="D2782" s="2"/>
      <c r="E2782" s="2"/>
      <c r="F2782" s="2"/>
      <c r="G2782" s="2"/>
      <c r="H2782" s="2"/>
      <c r="I2782" s="2"/>
      <c r="J2782" s="2"/>
      <c r="K2782" s="2"/>
    </row>
    <row r="2783" spans="1:11" x14ac:dyDescent="0.2">
      <c r="A2783" s="2"/>
      <c r="B2783" s="1" t="s">
        <v>2550</v>
      </c>
      <c r="C2783" s="2"/>
      <c r="D2783" s="2"/>
      <c r="E2783" s="2"/>
      <c r="F2783" s="2"/>
      <c r="G2783" s="2"/>
      <c r="H2783" s="2"/>
      <c r="I2783" s="2"/>
      <c r="J2783" s="2"/>
      <c r="K2783" s="2"/>
    </row>
    <row r="2784" spans="1:11" x14ac:dyDescent="0.2">
      <c r="A2784" s="2" t="s">
        <v>1567</v>
      </c>
      <c r="B2784" s="1" t="s">
        <v>2542</v>
      </c>
      <c r="C2784" s="2" t="str">
        <f>"RO-3151"</f>
        <v>RO-3151</v>
      </c>
      <c r="D2784" s="2" t="str">
        <f>"RO-3151"</f>
        <v>RO-3151</v>
      </c>
      <c r="E2784" s="2" t="s">
        <v>17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</row>
    <row r="2785" spans="1:11" x14ac:dyDescent="0.2">
      <c r="A2785" s="2"/>
      <c r="B2785" s="1" t="s">
        <v>1569</v>
      </c>
      <c r="C2785" s="2"/>
      <c r="D2785" s="2"/>
      <c r="E2785" s="2"/>
      <c r="F2785" s="2"/>
      <c r="G2785" s="2"/>
      <c r="H2785" s="2"/>
      <c r="I2785" s="2"/>
      <c r="J2785" s="2"/>
      <c r="K2785" s="2"/>
    </row>
    <row r="2786" spans="1:11" x14ac:dyDescent="0.2">
      <c r="A2786" s="2"/>
      <c r="B2786" s="1" t="s">
        <v>2543</v>
      </c>
      <c r="C2786" s="2"/>
      <c r="D2786" s="2"/>
      <c r="E2786" s="2"/>
      <c r="F2786" s="2"/>
      <c r="G2786" s="2"/>
      <c r="H2786" s="2"/>
      <c r="I2786" s="2"/>
      <c r="J2786" s="2"/>
      <c r="K2786" s="2"/>
    </row>
    <row r="2787" spans="1:11" x14ac:dyDescent="0.2">
      <c r="A2787" s="2"/>
      <c r="B2787" s="1" t="s">
        <v>2544</v>
      </c>
      <c r="C2787" s="2"/>
      <c r="D2787" s="2"/>
      <c r="E2787" s="2"/>
      <c r="F2787" s="2"/>
      <c r="G2787" s="2"/>
      <c r="H2787" s="2"/>
      <c r="I2787" s="2"/>
      <c r="J2787" s="2"/>
      <c r="K2787" s="2"/>
    </row>
    <row r="2788" spans="1:11" x14ac:dyDescent="0.2">
      <c r="A2788" s="2"/>
      <c r="B2788" s="1" t="s">
        <v>2545</v>
      </c>
      <c r="C2788" s="2"/>
      <c r="D2788" s="2"/>
      <c r="E2788" s="2"/>
      <c r="F2788" s="2"/>
      <c r="G2788" s="2"/>
      <c r="H2788" s="2"/>
      <c r="I2788" s="2"/>
      <c r="J2788" s="2"/>
      <c r="K2788" s="2"/>
    </row>
    <row r="2789" spans="1:11" x14ac:dyDescent="0.2">
      <c r="A2789" s="2"/>
      <c r="B2789" s="1" t="s">
        <v>2546</v>
      </c>
      <c r="C2789" s="2"/>
      <c r="D2789" s="2"/>
      <c r="E2789" s="2"/>
      <c r="F2789" s="2"/>
      <c r="G2789" s="2"/>
      <c r="H2789" s="2"/>
      <c r="I2789" s="2"/>
      <c r="J2789" s="2"/>
      <c r="K2789" s="2"/>
    </row>
    <row r="2790" spans="1:11" x14ac:dyDescent="0.2">
      <c r="A2790" s="2"/>
      <c r="B2790" s="1" t="s">
        <v>1574</v>
      </c>
      <c r="C2790" s="2"/>
      <c r="D2790" s="2"/>
      <c r="E2790" s="2"/>
      <c r="F2790" s="2"/>
      <c r="G2790" s="2"/>
      <c r="H2790" s="2"/>
      <c r="I2790" s="2"/>
      <c r="J2790" s="2"/>
      <c r="K2790" s="2"/>
    </row>
    <row r="2791" spans="1:11" x14ac:dyDescent="0.2">
      <c r="A2791" s="2"/>
      <c r="B2791" s="1" t="s">
        <v>1575</v>
      </c>
      <c r="C2791" s="2"/>
      <c r="D2791" s="2"/>
      <c r="E2791" s="2"/>
      <c r="F2791" s="2"/>
      <c r="G2791" s="2"/>
      <c r="H2791" s="2"/>
      <c r="I2791" s="2"/>
      <c r="J2791" s="2"/>
      <c r="K2791" s="2"/>
    </row>
    <row r="2792" spans="1:11" x14ac:dyDescent="0.2">
      <c r="A2792" s="2"/>
      <c r="B2792" s="1" t="s">
        <v>2551</v>
      </c>
      <c r="C2792" s="2"/>
      <c r="D2792" s="2"/>
      <c r="E2792" s="2"/>
      <c r="F2792" s="2"/>
      <c r="G2792" s="2"/>
      <c r="H2792" s="2"/>
      <c r="I2792" s="2"/>
      <c r="J2792" s="2"/>
      <c r="K2792" s="2"/>
    </row>
    <row r="2793" spans="1:11" x14ac:dyDescent="0.2">
      <c r="A2793" s="2"/>
      <c r="B2793" s="1" t="s">
        <v>2552</v>
      </c>
      <c r="C2793" s="2"/>
      <c r="D2793" s="2"/>
      <c r="E2793" s="2"/>
      <c r="F2793" s="2"/>
      <c r="G2793" s="2"/>
      <c r="H2793" s="2"/>
      <c r="I2793" s="2"/>
      <c r="J2793" s="2"/>
      <c r="K2793" s="2"/>
    </row>
    <row r="2794" spans="1:11" x14ac:dyDescent="0.2">
      <c r="A2794" s="2" t="s">
        <v>1567</v>
      </c>
      <c r="B2794" s="1" t="s">
        <v>2542</v>
      </c>
      <c r="C2794" s="2" t="str">
        <f>"RO-3127"</f>
        <v>RO-3127</v>
      </c>
      <c r="D2794" s="2" t="str">
        <f>"RO-3127"</f>
        <v>RO-3127</v>
      </c>
      <c r="E2794" s="2" t="s">
        <v>17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</row>
    <row r="2795" spans="1:11" x14ac:dyDescent="0.2">
      <c r="A2795" s="2"/>
      <c r="B2795" s="1" t="s">
        <v>1569</v>
      </c>
      <c r="C2795" s="2"/>
      <c r="D2795" s="2"/>
      <c r="E2795" s="2"/>
      <c r="F2795" s="2"/>
      <c r="G2795" s="2"/>
      <c r="H2795" s="2"/>
      <c r="I2795" s="2"/>
      <c r="J2795" s="2"/>
      <c r="K2795" s="2"/>
    </row>
    <row r="2796" spans="1:11" x14ac:dyDescent="0.2">
      <c r="A2796" s="2"/>
      <c r="B2796" s="1" t="s">
        <v>2543</v>
      </c>
      <c r="C2796" s="2"/>
      <c r="D2796" s="2"/>
      <c r="E2796" s="2"/>
      <c r="F2796" s="2"/>
      <c r="G2796" s="2"/>
      <c r="H2796" s="2"/>
      <c r="I2796" s="2"/>
      <c r="J2796" s="2"/>
      <c r="K2796" s="2"/>
    </row>
    <row r="2797" spans="1:11" x14ac:dyDescent="0.2">
      <c r="A2797" s="2"/>
      <c r="B2797" s="1" t="s">
        <v>1571</v>
      </c>
      <c r="C2797" s="2"/>
      <c r="D2797" s="2"/>
      <c r="E2797" s="2"/>
      <c r="F2797" s="2"/>
      <c r="G2797" s="2"/>
      <c r="H2797" s="2"/>
      <c r="I2797" s="2"/>
      <c r="J2797" s="2"/>
      <c r="K2797" s="2"/>
    </row>
    <row r="2798" spans="1:11" x14ac:dyDescent="0.2">
      <c r="A2798" s="2"/>
      <c r="B2798" s="1" t="s">
        <v>2553</v>
      </c>
      <c r="C2798" s="2"/>
      <c r="D2798" s="2"/>
      <c r="E2798" s="2"/>
      <c r="F2798" s="2"/>
      <c r="G2798" s="2"/>
      <c r="H2798" s="2"/>
      <c r="I2798" s="2"/>
      <c r="J2798" s="2"/>
      <c r="K2798" s="2"/>
    </row>
    <row r="2799" spans="1:11" x14ac:dyDescent="0.2">
      <c r="A2799" s="2"/>
      <c r="B2799" s="1" t="s">
        <v>2546</v>
      </c>
      <c r="C2799" s="2"/>
      <c r="D2799" s="2"/>
      <c r="E2799" s="2"/>
      <c r="F2799" s="2"/>
      <c r="G2799" s="2"/>
      <c r="H2799" s="2"/>
      <c r="I2799" s="2"/>
      <c r="J2799" s="2"/>
      <c r="K2799" s="2"/>
    </row>
    <row r="2800" spans="1:11" x14ac:dyDescent="0.2">
      <c r="A2800" s="2"/>
      <c r="B2800" s="1" t="s">
        <v>1574</v>
      </c>
      <c r="C2800" s="2"/>
      <c r="D2800" s="2"/>
      <c r="E2800" s="2"/>
      <c r="F2800" s="2"/>
      <c r="G2800" s="2"/>
      <c r="H2800" s="2"/>
      <c r="I2800" s="2"/>
      <c r="J2800" s="2"/>
      <c r="K2800" s="2"/>
    </row>
    <row r="2801" spans="1:11" x14ac:dyDescent="0.2">
      <c r="A2801" s="2"/>
      <c r="B2801" s="1" t="s">
        <v>1575</v>
      </c>
      <c r="C2801" s="2"/>
      <c r="D2801" s="2"/>
      <c r="E2801" s="2"/>
      <c r="F2801" s="2"/>
      <c r="G2801" s="2"/>
      <c r="H2801" s="2"/>
      <c r="I2801" s="2"/>
      <c r="J2801" s="2"/>
      <c r="K2801" s="2"/>
    </row>
    <row r="2802" spans="1:11" x14ac:dyDescent="0.2">
      <c r="A2802" s="2"/>
      <c r="B2802" s="1" t="s">
        <v>2554</v>
      </c>
      <c r="C2802" s="2"/>
      <c r="D2802" s="2"/>
      <c r="E2802" s="2"/>
      <c r="F2802" s="2"/>
      <c r="G2802" s="2"/>
      <c r="H2802" s="2"/>
      <c r="I2802" s="2"/>
      <c r="J2802" s="2"/>
      <c r="K2802" s="2"/>
    </row>
    <row r="2803" spans="1:11" x14ac:dyDescent="0.2">
      <c r="A2803" s="2"/>
      <c r="B2803" s="1" t="s">
        <v>2555</v>
      </c>
      <c r="C2803" s="2"/>
      <c r="D2803" s="2"/>
      <c r="E2803" s="2"/>
      <c r="F2803" s="2"/>
      <c r="G2803" s="2"/>
      <c r="H2803" s="2"/>
      <c r="I2803" s="2"/>
      <c r="J2803" s="2"/>
      <c r="K2803" s="2"/>
    </row>
    <row r="2804" spans="1:11" x14ac:dyDescent="0.2">
      <c r="A2804" s="2" t="s">
        <v>1567</v>
      </c>
      <c r="B2804" s="1" t="s">
        <v>2556</v>
      </c>
      <c r="C2804" s="2" t="str">
        <f>"RO-3180"</f>
        <v>RO-3180</v>
      </c>
      <c r="D2804" s="2" t="str">
        <f>"RO-3180"</f>
        <v>RO-3180</v>
      </c>
      <c r="E2804" s="2" t="s">
        <v>17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</row>
    <row r="2805" spans="1:11" x14ac:dyDescent="0.2">
      <c r="A2805" s="2"/>
      <c r="B2805" s="1" t="s">
        <v>2557</v>
      </c>
      <c r="C2805" s="2"/>
      <c r="D2805" s="2"/>
      <c r="E2805" s="2"/>
      <c r="F2805" s="2"/>
      <c r="G2805" s="2"/>
      <c r="H2805" s="2"/>
      <c r="I2805" s="2"/>
      <c r="J2805" s="2"/>
      <c r="K2805" s="2"/>
    </row>
    <row r="2806" spans="1:11" x14ac:dyDescent="0.2">
      <c r="A2806" s="2"/>
      <c r="B2806" s="1" t="s">
        <v>2558</v>
      </c>
      <c r="C2806" s="2"/>
      <c r="D2806" s="2"/>
      <c r="E2806" s="2"/>
      <c r="F2806" s="2"/>
      <c r="G2806" s="2"/>
      <c r="H2806" s="2"/>
      <c r="I2806" s="2"/>
      <c r="J2806" s="2"/>
      <c r="K2806" s="2"/>
    </row>
    <row r="2807" spans="1:11" x14ac:dyDescent="0.2">
      <c r="A2807" s="2"/>
      <c r="B2807" s="1" t="s">
        <v>2544</v>
      </c>
      <c r="C2807" s="2"/>
      <c r="D2807" s="2"/>
      <c r="E2807" s="2"/>
      <c r="F2807" s="2"/>
      <c r="G2807" s="2"/>
      <c r="H2807" s="2"/>
      <c r="I2807" s="2"/>
      <c r="J2807" s="2"/>
      <c r="K2807" s="2"/>
    </row>
    <row r="2808" spans="1:11" x14ac:dyDescent="0.2">
      <c r="A2808" s="2"/>
      <c r="B2808" s="1" t="s">
        <v>2545</v>
      </c>
      <c r="C2808" s="2"/>
      <c r="D2808" s="2"/>
      <c r="E2808" s="2"/>
      <c r="F2808" s="2"/>
      <c r="G2808" s="2"/>
      <c r="H2808" s="2"/>
      <c r="I2808" s="2"/>
      <c r="J2808" s="2"/>
      <c r="K2808" s="2"/>
    </row>
    <row r="2809" spans="1:11" x14ac:dyDescent="0.2">
      <c r="A2809" s="2"/>
      <c r="B2809" s="1" t="s">
        <v>2546</v>
      </c>
      <c r="C2809" s="2"/>
      <c r="D2809" s="2"/>
      <c r="E2809" s="2"/>
      <c r="F2809" s="2"/>
      <c r="G2809" s="2"/>
      <c r="H2809" s="2"/>
      <c r="I2809" s="2"/>
      <c r="J2809" s="2"/>
      <c r="K2809" s="2"/>
    </row>
    <row r="2810" spans="1:11" x14ac:dyDescent="0.2">
      <c r="A2810" s="2"/>
      <c r="B2810" s="1" t="s">
        <v>1574</v>
      </c>
      <c r="C2810" s="2"/>
      <c r="D2810" s="2"/>
      <c r="E2810" s="2"/>
      <c r="F2810" s="2"/>
      <c r="G2810" s="2"/>
      <c r="H2810" s="2"/>
      <c r="I2810" s="2"/>
      <c r="J2810" s="2"/>
      <c r="K2810" s="2"/>
    </row>
    <row r="2811" spans="1:11" x14ac:dyDescent="0.2">
      <c r="A2811" s="2"/>
      <c r="B2811" s="1" t="s">
        <v>1575</v>
      </c>
      <c r="C2811" s="2"/>
      <c r="D2811" s="2"/>
      <c r="E2811" s="2"/>
      <c r="F2811" s="2"/>
      <c r="G2811" s="2"/>
      <c r="H2811" s="2"/>
      <c r="I2811" s="2"/>
      <c r="J2811" s="2"/>
      <c r="K2811" s="2"/>
    </row>
    <row r="2812" spans="1:11" x14ac:dyDescent="0.2">
      <c r="A2812" s="2"/>
      <c r="B2812" s="1" t="s">
        <v>2559</v>
      </c>
      <c r="C2812" s="2"/>
      <c r="D2812" s="2"/>
      <c r="E2812" s="2"/>
      <c r="F2812" s="2"/>
      <c r="G2812" s="2"/>
      <c r="H2812" s="2"/>
      <c r="I2812" s="2"/>
      <c r="J2812" s="2"/>
      <c r="K2812" s="2"/>
    </row>
    <row r="2813" spans="1:11" x14ac:dyDescent="0.2">
      <c r="A2813" s="2"/>
      <c r="B2813" s="1" t="s">
        <v>2560</v>
      </c>
      <c r="C2813" s="2"/>
      <c r="D2813" s="2"/>
      <c r="E2813" s="2"/>
      <c r="F2813" s="2"/>
      <c r="G2813" s="2"/>
      <c r="H2813" s="2"/>
      <c r="I2813" s="2"/>
      <c r="J2813" s="2"/>
      <c r="K2813" s="2"/>
    </row>
    <row r="2814" spans="1:11" x14ac:dyDescent="0.2">
      <c r="A2814" s="2" t="s">
        <v>1567</v>
      </c>
      <c r="B2814" s="1" t="s">
        <v>2556</v>
      </c>
      <c r="C2814" s="2" t="str">
        <f>"RO-3179"</f>
        <v>RO-3179</v>
      </c>
      <c r="D2814" s="2" t="str">
        <f>"RO-3179"</f>
        <v>RO-3179</v>
      </c>
      <c r="E2814" s="2" t="s">
        <v>17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</row>
    <row r="2815" spans="1:11" x14ac:dyDescent="0.2">
      <c r="A2815" s="2"/>
      <c r="B2815" s="1" t="s">
        <v>2557</v>
      </c>
      <c r="C2815" s="2"/>
      <c r="D2815" s="2"/>
      <c r="E2815" s="2"/>
      <c r="F2815" s="2"/>
      <c r="G2815" s="2"/>
      <c r="H2815" s="2"/>
      <c r="I2815" s="2"/>
      <c r="J2815" s="2"/>
      <c r="K2815" s="2"/>
    </row>
    <row r="2816" spans="1:11" x14ac:dyDescent="0.2">
      <c r="A2816" s="2"/>
      <c r="B2816" s="1" t="s">
        <v>2558</v>
      </c>
      <c r="C2816" s="2"/>
      <c r="D2816" s="2"/>
      <c r="E2816" s="2"/>
      <c r="F2816" s="2"/>
      <c r="G2816" s="2"/>
      <c r="H2816" s="2"/>
      <c r="I2816" s="2"/>
      <c r="J2816" s="2"/>
      <c r="K2816" s="2"/>
    </row>
    <row r="2817" spans="1:11" x14ac:dyDescent="0.2">
      <c r="A2817" s="2"/>
      <c r="B2817" s="1" t="s">
        <v>1571</v>
      </c>
      <c r="C2817" s="2"/>
      <c r="D2817" s="2"/>
      <c r="E2817" s="2"/>
      <c r="F2817" s="2"/>
      <c r="G2817" s="2"/>
      <c r="H2817" s="2"/>
      <c r="I2817" s="2"/>
      <c r="J2817" s="2"/>
      <c r="K2817" s="2"/>
    </row>
    <row r="2818" spans="1:11" x14ac:dyDescent="0.2">
      <c r="A2818" s="2"/>
      <c r="B2818" s="1" t="s">
        <v>2545</v>
      </c>
      <c r="C2818" s="2"/>
      <c r="D2818" s="2"/>
      <c r="E2818" s="2"/>
      <c r="F2818" s="2"/>
      <c r="G2818" s="2"/>
      <c r="H2818" s="2"/>
      <c r="I2818" s="2"/>
      <c r="J2818" s="2"/>
      <c r="K2818" s="2"/>
    </row>
    <row r="2819" spans="1:11" x14ac:dyDescent="0.2">
      <c r="A2819" s="2"/>
      <c r="B2819" s="1" t="s">
        <v>2546</v>
      </c>
      <c r="C2819" s="2"/>
      <c r="D2819" s="2"/>
      <c r="E2819" s="2"/>
      <c r="F2819" s="2"/>
      <c r="G2819" s="2"/>
      <c r="H2819" s="2"/>
      <c r="I2819" s="2"/>
      <c r="J2819" s="2"/>
      <c r="K2819" s="2"/>
    </row>
    <row r="2820" spans="1:11" x14ac:dyDescent="0.2">
      <c r="A2820" s="2"/>
      <c r="B2820" s="1" t="s">
        <v>1574</v>
      </c>
      <c r="C2820" s="2"/>
      <c r="D2820" s="2"/>
      <c r="E2820" s="2"/>
      <c r="F2820" s="2"/>
      <c r="G2820" s="2"/>
      <c r="H2820" s="2"/>
      <c r="I2820" s="2"/>
      <c r="J2820" s="2"/>
      <c r="K2820" s="2"/>
    </row>
    <row r="2821" spans="1:11" x14ac:dyDescent="0.2">
      <c r="A2821" s="2"/>
      <c r="B2821" s="1" t="s">
        <v>1575</v>
      </c>
      <c r="C2821" s="2"/>
      <c r="D2821" s="2"/>
      <c r="E2821" s="2"/>
      <c r="F2821" s="2"/>
      <c r="G2821" s="2"/>
      <c r="H2821" s="2"/>
      <c r="I2821" s="2"/>
      <c r="J2821" s="2"/>
      <c r="K2821" s="2"/>
    </row>
    <row r="2822" spans="1:11" x14ac:dyDescent="0.2">
      <c r="A2822" s="2"/>
      <c r="B2822" s="1" t="s">
        <v>2561</v>
      </c>
      <c r="C2822" s="2"/>
      <c r="D2822" s="2"/>
      <c r="E2822" s="2"/>
      <c r="F2822" s="2"/>
      <c r="G2822" s="2"/>
      <c r="H2822" s="2"/>
      <c r="I2822" s="2"/>
      <c r="J2822" s="2"/>
      <c r="K2822" s="2"/>
    </row>
    <row r="2823" spans="1:11" x14ac:dyDescent="0.2">
      <c r="A2823" s="2"/>
      <c r="B2823" s="1" t="s">
        <v>2562</v>
      </c>
      <c r="C2823" s="2"/>
      <c r="D2823" s="2"/>
      <c r="E2823" s="2"/>
      <c r="F2823" s="2"/>
      <c r="G2823" s="2"/>
      <c r="H2823" s="2"/>
      <c r="I2823" s="2"/>
      <c r="J2823" s="2"/>
      <c r="K2823" s="2"/>
    </row>
    <row r="2824" spans="1:11" ht="30" x14ac:dyDescent="0.2">
      <c r="A2824" s="1" t="s">
        <v>2004</v>
      </c>
      <c r="B2824" s="1" t="s">
        <v>2563</v>
      </c>
      <c r="C2824" s="1" t="str">
        <f>"67950195409428"</f>
        <v>67950195409428</v>
      </c>
      <c r="D2824" s="1" t="str">
        <f>"P-H10E16-01"</f>
        <v>P-H10E16-01</v>
      </c>
      <c r="E2824" s="1" t="s">
        <v>17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</row>
    <row r="2825" spans="1:11" ht="30" x14ac:dyDescent="0.2">
      <c r="A2825" s="1" t="s">
        <v>2004</v>
      </c>
      <c r="B2825" s="1" t="s">
        <v>2564</v>
      </c>
      <c r="C2825" s="1" t="str">
        <f>"67950195429541"</f>
        <v>67950195429541</v>
      </c>
      <c r="D2825" s="1" t="str">
        <f>"P-H11E20-01"</f>
        <v>P-H11E20-01</v>
      </c>
      <c r="E2825" s="1" t="s">
        <v>17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</row>
    <row r="2826" spans="1:11" x14ac:dyDescent="0.2">
      <c r="A2826" s="1" t="s">
        <v>2565</v>
      </c>
      <c r="B2826" s="1" t="s">
        <v>2566</v>
      </c>
      <c r="C2826" s="1" t="str">
        <f>"66298896285030"</f>
        <v>66298896285030</v>
      </c>
      <c r="D2826" s="1" t="str">
        <f>"82617"</f>
        <v>82617</v>
      </c>
      <c r="E2826" s="1" t="s">
        <v>17</v>
      </c>
      <c r="F2826" s="1">
        <v>2</v>
      </c>
      <c r="G2826" s="1">
        <v>3751</v>
      </c>
      <c r="H2826" s="1">
        <v>7502</v>
      </c>
      <c r="I2826" s="1">
        <v>0</v>
      </c>
      <c r="J2826" s="1">
        <v>2</v>
      </c>
      <c r="K2826" s="1">
        <v>0</v>
      </c>
    </row>
    <row r="2827" spans="1:11" x14ac:dyDescent="0.2">
      <c r="A2827" s="1" t="s">
        <v>2567</v>
      </c>
      <c r="B2827" s="1" t="s">
        <v>2568</v>
      </c>
      <c r="C2827" s="1" t="str">
        <f>"66298896340012"</f>
        <v>66298896340012</v>
      </c>
      <c r="D2827" s="1" t="str">
        <f>"S0119"</f>
        <v>S0119</v>
      </c>
      <c r="E2827" s="1" t="s">
        <v>17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</row>
    <row r="2828" spans="1:11" x14ac:dyDescent="0.2">
      <c r="A2828" s="1" t="s">
        <v>2567</v>
      </c>
      <c r="B2828" s="1" t="s">
        <v>2569</v>
      </c>
      <c r="C2828" s="1" t="str">
        <f>"1899"</f>
        <v>1899</v>
      </c>
      <c r="D2828" s="1" t="str">
        <f>"1899"</f>
        <v>1899</v>
      </c>
      <c r="E2828" s="1" t="s">
        <v>17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</row>
    <row r="2829" spans="1:11" ht="45" x14ac:dyDescent="0.2">
      <c r="A2829" s="1" t="s">
        <v>2567</v>
      </c>
      <c r="B2829" s="1" t="s">
        <v>2570</v>
      </c>
      <c r="C2829" s="1" t="str">
        <f>"11189"</f>
        <v>11189</v>
      </c>
      <c r="D2829" s="1" t="str">
        <f>"11189"</f>
        <v>11189</v>
      </c>
      <c r="E2829" s="1" t="s">
        <v>17</v>
      </c>
      <c r="F2829" s="1">
        <v>2</v>
      </c>
      <c r="G2829" s="1">
        <v>33221.85</v>
      </c>
      <c r="H2829" s="1">
        <v>66444</v>
      </c>
      <c r="I2829" s="1">
        <v>0</v>
      </c>
      <c r="J2829" s="1">
        <v>2</v>
      </c>
      <c r="K2829" s="1">
        <v>0</v>
      </c>
    </row>
    <row r="2830" spans="1:11" ht="30" x14ac:dyDescent="0.2">
      <c r="A2830" s="1" t="s">
        <v>2567</v>
      </c>
      <c r="B2830" s="1" t="s">
        <v>2571</v>
      </c>
      <c r="C2830" s="1" t="str">
        <f>"49CC93"</f>
        <v>49CC93</v>
      </c>
      <c r="D2830" s="1" t="str">
        <f>"49CC93"</f>
        <v>49CC93</v>
      </c>
      <c r="E2830" s="1" t="s">
        <v>17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</row>
    <row r="2831" spans="1:11" x14ac:dyDescent="0.2">
      <c r="A2831" s="1" t="s">
        <v>2567</v>
      </c>
      <c r="B2831" s="1" t="s">
        <v>2572</v>
      </c>
      <c r="C2831" s="1" t="str">
        <f>"DA029"</f>
        <v>DA029</v>
      </c>
      <c r="D2831" s="1" t="str">
        <f>"DA029"</f>
        <v>DA029</v>
      </c>
      <c r="E2831" s="1" t="s">
        <v>17</v>
      </c>
      <c r="F2831" s="1">
        <v>2</v>
      </c>
      <c r="G2831" s="1">
        <v>15507</v>
      </c>
      <c r="H2831" s="1">
        <v>31014</v>
      </c>
      <c r="I2831" s="1">
        <v>0</v>
      </c>
      <c r="J2831" s="1">
        <v>2</v>
      </c>
      <c r="K2831" s="1">
        <v>0</v>
      </c>
    </row>
    <row r="2832" spans="1:11" ht="30" x14ac:dyDescent="0.2">
      <c r="A2832" s="1" t="s">
        <v>2567</v>
      </c>
      <c r="B2832" s="1" t="s">
        <v>2573</v>
      </c>
      <c r="C2832" s="1" t="str">
        <f>"66298896429209"</f>
        <v>66298896429209</v>
      </c>
      <c r="D2832" s="1" t="str">
        <f>"400038"</f>
        <v>400038</v>
      </c>
      <c r="E2832" s="1" t="s">
        <v>17</v>
      </c>
      <c r="F2832" s="1">
        <v>4</v>
      </c>
      <c r="G2832" s="1">
        <v>16647</v>
      </c>
      <c r="H2832" s="1">
        <v>66588</v>
      </c>
      <c r="I2832" s="1">
        <v>0</v>
      </c>
      <c r="J2832" s="1">
        <v>4</v>
      </c>
      <c r="K2832" s="1">
        <v>0</v>
      </c>
    </row>
    <row r="2833" spans="1:11" ht="30" x14ac:dyDescent="0.2">
      <c r="A2833" s="1" t="s">
        <v>2567</v>
      </c>
      <c r="B2833" s="1" t="s">
        <v>2574</v>
      </c>
      <c r="C2833" s="1" t="str">
        <f>"66298896471925"</f>
        <v>66298896471925</v>
      </c>
      <c r="D2833" s="1" t="str">
        <f>"400740"</f>
        <v>400740</v>
      </c>
      <c r="E2833" s="1" t="s">
        <v>17</v>
      </c>
      <c r="F2833" s="1">
        <v>3</v>
      </c>
      <c r="G2833" s="1">
        <v>18807</v>
      </c>
      <c r="H2833" s="1">
        <v>56421</v>
      </c>
      <c r="I2833" s="1">
        <v>0</v>
      </c>
      <c r="J2833" s="1">
        <v>3</v>
      </c>
      <c r="K2833" s="1">
        <v>0</v>
      </c>
    </row>
    <row r="2834" spans="1:11" x14ac:dyDescent="0.2">
      <c r="A2834" s="1" t="s">
        <v>2567</v>
      </c>
      <c r="B2834" s="1" t="s">
        <v>2575</v>
      </c>
      <c r="C2834" s="1" t="str">
        <f>"66298896383619"</f>
        <v>66298896383619</v>
      </c>
      <c r="D2834" s="1" t="str">
        <f>"400037"</f>
        <v>400037</v>
      </c>
      <c r="E2834" s="1" t="s">
        <v>17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</row>
    <row r="2835" spans="1:11" x14ac:dyDescent="0.2">
      <c r="A2835" s="1" t="s">
        <v>2567</v>
      </c>
      <c r="B2835" s="1" t="s">
        <v>2576</v>
      </c>
      <c r="C2835" s="1" t="str">
        <f>"7859"</f>
        <v>7859</v>
      </c>
      <c r="D2835" s="1" t="str">
        <f>"7859"</f>
        <v>7859</v>
      </c>
      <c r="E2835" s="1" t="s">
        <v>17</v>
      </c>
      <c r="F2835" s="1">
        <v>1</v>
      </c>
      <c r="G2835" s="1">
        <v>26011.759999999998</v>
      </c>
      <c r="H2835" s="1">
        <v>26012</v>
      </c>
      <c r="I2835" s="1">
        <v>0</v>
      </c>
      <c r="J2835" s="1">
        <v>1</v>
      </c>
      <c r="K2835" s="1">
        <v>0</v>
      </c>
    </row>
    <row r="2836" spans="1:11" ht="30" x14ac:dyDescent="0.2">
      <c r="A2836" s="1" t="s">
        <v>2567</v>
      </c>
      <c r="B2836" s="1" t="s">
        <v>2577</v>
      </c>
      <c r="C2836" s="1" t="str">
        <f>"12123"</f>
        <v>12123</v>
      </c>
      <c r="D2836" s="1" t="str">
        <f>"12123"</f>
        <v>12123</v>
      </c>
      <c r="E2836" s="1" t="s">
        <v>17</v>
      </c>
      <c r="F2836" s="1">
        <v>1</v>
      </c>
      <c r="G2836" s="1">
        <v>26011.759999999998</v>
      </c>
      <c r="H2836" s="1">
        <v>26012</v>
      </c>
      <c r="I2836" s="1">
        <v>0</v>
      </c>
      <c r="J2836" s="1">
        <v>1</v>
      </c>
      <c r="K2836" s="1">
        <v>0</v>
      </c>
    </row>
    <row r="2837" spans="1:11" ht="30" x14ac:dyDescent="0.2">
      <c r="A2837" s="1" t="s">
        <v>2567</v>
      </c>
      <c r="B2837" s="1" t="s">
        <v>2578</v>
      </c>
      <c r="C2837" s="1" t="str">
        <f>"66298896581769"</f>
        <v>66298896581769</v>
      </c>
      <c r="D2837" s="1" t="str">
        <f>"401083"</f>
        <v>401083</v>
      </c>
      <c r="E2837" s="1" t="s">
        <v>17</v>
      </c>
      <c r="F2837" s="1">
        <v>2</v>
      </c>
      <c r="G2837" s="1">
        <v>21192</v>
      </c>
      <c r="H2837" s="1">
        <v>42384</v>
      </c>
      <c r="I2837" s="1">
        <v>0</v>
      </c>
      <c r="J2837" s="1">
        <v>2</v>
      </c>
      <c r="K2837" s="1">
        <v>0</v>
      </c>
    </row>
    <row r="2838" spans="1:11" ht="30" x14ac:dyDescent="0.2">
      <c r="A2838" s="1" t="s">
        <v>2567</v>
      </c>
      <c r="B2838" s="1" t="s">
        <v>2579</v>
      </c>
      <c r="C2838" s="1" t="str">
        <f>"66298896537128"</f>
        <v>66298896537128</v>
      </c>
      <c r="D2838" s="1" t="str">
        <f>"400040"</f>
        <v>400040</v>
      </c>
      <c r="E2838" s="1" t="s">
        <v>17</v>
      </c>
      <c r="F2838" s="1">
        <v>4</v>
      </c>
      <c r="G2838" s="1">
        <v>12698</v>
      </c>
      <c r="H2838" s="1">
        <v>50792</v>
      </c>
      <c r="I2838" s="1">
        <v>0</v>
      </c>
      <c r="J2838" s="1">
        <v>4</v>
      </c>
      <c r="K2838" s="1">
        <v>0</v>
      </c>
    </row>
    <row r="2839" spans="1:11" ht="30" x14ac:dyDescent="0.2">
      <c r="A2839" s="1" t="s">
        <v>2567</v>
      </c>
      <c r="B2839" s="1" t="s">
        <v>2580</v>
      </c>
      <c r="C2839" s="1" t="str">
        <f>"66298896626120"</f>
        <v>66298896626120</v>
      </c>
      <c r="D2839" s="1" t="str">
        <f>"DA015"</f>
        <v>DA015</v>
      </c>
      <c r="E2839" s="1" t="s">
        <v>17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</row>
    <row r="2840" spans="1:11" ht="30" x14ac:dyDescent="0.2">
      <c r="A2840" s="1" t="s">
        <v>2567</v>
      </c>
      <c r="B2840" s="1" t="s">
        <v>2581</v>
      </c>
      <c r="C2840" s="1" t="str">
        <f>"66298896670599"</f>
        <v>66298896670599</v>
      </c>
      <c r="D2840" s="1" t="str">
        <f>"401076"</f>
        <v>401076</v>
      </c>
      <c r="E2840" s="1" t="s">
        <v>17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</row>
    <row r="2841" spans="1:11" x14ac:dyDescent="0.2">
      <c r="A2841" s="1" t="s">
        <v>2567</v>
      </c>
      <c r="B2841" s="1" t="s">
        <v>2582</v>
      </c>
      <c r="C2841" s="1" t="str">
        <f>"DA001"</f>
        <v>DA001</v>
      </c>
      <c r="D2841" s="1" t="str">
        <f>"DA001"</f>
        <v>DA001</v>
      </c>
      <c r="E2841" s="1" t="s">
        <v>17</v>
      </c>
      <c r="F2841" s="1">
        <v>4</v>
      </c>
      <c r="G2841" s="1">
        <v>17955</v>
      </c>
      <c r="H2841" s="1">
        <v>71820</v>
      </c>
      <c r="I2841" s="1">
        <v>0</v>
      </c>
      <c r="J2841" s="1">
        <v>4</v>
      </c>
      <c r="K2841" s="1">
        <v>0</v>
      </c>
    </row>
    <row r="2842" spans="1:11" ht="30" x14ac:dyDescent="0.2">
      <c r="A2842" s="1" t="s">
        <v>2567</v>
      </c>
      <c r="B2842" s="1" t="s">
        <v>2583</v>
      </c>
      <c r="C2842" s="1" t="str">
        <f>"DA011"</f>
        <v>DA011</v>
      </c>
      <c r="D2842" s="1" t="str">
        <f>"DA011"</f>
        <v>DA011</v>
      </c>
      <c r="E2842" s="1" t="s">
        <v>17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</row>
    <row r="2843" spans="1:11" ht="30" x14ac:dyDescent="0.2">
      <c r="A2843" s="1" t="s">
        <v>2567</v>
      </c>
      <c r="B2843" s="1" t="s">
        <v>2584</v>
      </c>
      <c r="C2843" s="1" t="str">
        <f>"66298896715458"</f>
        <v>66298896715458</v>
      </c>
      <c r="D2843" s="1" t="str">
        <f>"401077"</f>
        <v>401077</v>
      </c>
      <c r="E2843" s="1" t="s">
        <v>17</v>
      </c>
      <c r="F2843" s="1">
        <v>3</v>
      </c>
      <c r="G2843" s="1">
        <v>20351</v>
      </c>
      <c r="H2843" s="1">
        <v>61053</v>
      </c>
      <c r="I2843" s="1">
        <v>0</v>
      </c>
      <c r="J2843" s="1">
        <v>3</v>
      </c>
      <c r="K2843" s="1">
        <v>0</v>
      </c>
    </row>
    <row r="2844" spans="1:11" x14ac:dyDescent="0.2">
      <c r="A2844" s="1" t="s">
        <v>2567</v>
      </c>
      <c r="B2844" s="1" t="s">
        <v>2585</v>
      </c>
      <c r="C2844" s="1" t="str">
        <f>"11170"</f>
        <v>11170</v>
      </c>
      <c r="D2844" s="1" t="str">
        <f>"11170"</f>
        <v>11170</v>
      </c>
      <c r="E2844" s="1" t="s">
        <v>17</v>
      </c>
      <c r="F2844" s="1">
        <v>1</v>
      </c>
      <c r="G2844" s="1">
        <v>35994.959999999999</v>
      </c>
      <c r="H2844" s="1">
        <v>35995</v>
      </c>
      <c r="I2844" s="1">
        <v>0</v>
      </c>
      <c r="J2844" s="1">
        <v>1</v>
      </c>
      <c r="K2844" s="1">
        <v>0</v>
      </c>
    </row>
    <row r="2845" spans="1:11" x14ac:dyDescent="0.2">
      <c r="A2845" s="1" t="s">
        <v>2567</v>
      </c>
      <c r="B2845" s="1" t="s">
        <v>2586</v>
      </c>
      <c r="C2845" s="1" t="str">
        <f>"12863"</f>
        <v>12863</v>
      </c>
      <c r="D2845" s="1" t="str">
        <f>"12863"</f>
        <v>12863</v>
      </c>
      <c r="E2845" s="1" t="s">
        <v>17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</row>
    <row r="2846" spans="1:11" x14ac:dyDescent="0.2">
      <c r="A2846" s="1" t="s">
        <v>2567</v>
      </c>
      <c r="B2846" s="1" t="s">
        <v>2587</v>
      </c>
      <c r="C2846" s="1" t="str">
        <f>"11210-12F50-K"</f>
        <v>11210-12F50-K</v>
      </c>
      <c r="D2846" s="1" t="str">
        <f>"11210-12F50-K"</f>
        <v>11210-12F50-K</v>
      </c>
      <c r="E2846" s="1" t="s">
        <v>17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</row>
    <row r="2847" spans="1:11" x14ac:dyDescent="0.2">
      <c r="A2847" s="1" t="s">
        <v>2567</v>
      </c>
      <c r="B2847" s="1" t="s">
        <v>2588</v>
      </c>
      <c r="C2847" s="1" t="str">
        <f>"12261"</f>
        <v>12261</v>
      </c>
      <c r="D2847" s="1" t="str">
        <f>"12261"</f>
        <v>12261</v>
      </c>
      <c r="E2847" s="1" t="s">
        <v>17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</row>
    <row r="2848" spans="1:11" x14ac:dyDescent="0.2">
      <c r="A2848" s="1" t="s">
        <v>2567</v>
      </c>
      <c r="B2848" s="1" t="s">
        <v>2589</v>
      </c>
      <c r="C2848" s="1" t="str">
        <f>"8516"</f>
        <v>8516</v>
      </c>
      <c r="D2848" s="1" t="str">
        <f>"8516"</f>
        <v>8516</v>
      </c>
      <c r="E2848" s="1" t="s">
        <v>17</v>
      </c>
      <c r="F2848" s="1">
        <v>5</v>
      </c>
      <c r="G2848" s="1">
        <v>27941</v>
      </c>
      <c r="H2848" s="1">
        <v>139705</v>
      </c>
      <c r="I2848" s="1">
        <v>0</v>
      </c>
      <c r="J2848" s="1">
        <v>5</v>
      </c>
      <c r="K2848" s="1">
        <v>0</v>
      </c>
    </row>
    <row r="2849" spans="1:11" ht="30" x14ac:dyDescent="0.2">
      <c r="A2849" s="1" t="s">
        <v>2567</v>
      </c>
      <c r="B2849" s="1" t="s">
        <v>2590</v>
      </c>
      <c r="C2849" s="1" t="str">
        <f>"DA007"</f>
        <v>DA007</v>
      </c>
      <c r="D2849" s="1" t="str">
        <f>"DA007"</f>
        <v>DA007</v>
      </c>
      <c r="E2849" s="1" t="s">
        <v>17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</row>
    <row r="2850" spans="1:11" ht="30" x14ac:dyDescent="0.2">
      <c r="A2850" s="1" t="s">
        <v>2567</v>
      </c>
      <c r="B2850" s="1" t="s">
        <v>2591</v>
      </c>
      <c r="C2850" s="1" t="str">
        <f>"7823"</f>
        <v>7823</v>
      </c>
      <c r="D2850" s="1" t="str">
        <f>"7823"</f>
        <v>7823</v>
      </c>
      <c r="E2850" s="1" t="s">
        <v>17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</row>
    <row r="2851" spans="1:11" ht="30" x14ac:dyDescent="0.2">
      <c r="A2851" s="1" t="s">
        <v>2567</v>
      </c>
      <c r="B2851" s="1" t="s">
        <v>2592</v>
      </c>
      <c r="C2851" s="1" t="str">
        <f>"54B-E1310-00"</f>
        <v>54B-E1310-00</v>
      </c>
      <c r="D2851" s="1" t="str">
        <f>"54B-E1310-00"</f>
        <v>54B-E1310-00</v>
      </c>
      <c r="E2851" s="1" t="s">
        <v>17</v>
      </c>
      <c r="F2851" s="1">
        <v>3</v>
      </c>
      <c r="G2851" s="1">
        <v>24383.07</v>
      </c>
      <c r="H2851" s="1">
        <v>73149</v>
      </c>
      <c r="I2851" s="1">
        <v>0</v>
      </c>
      <c r="J2851" s="1">
        <v>3</v>
      </c>
      <c r="K2851" s="1">
        <v>0</v>
      </c>
    </row>
    <row r="2852" spans="1:11" ht="30" x14ac:dyDescent="0.2">
      <c r="A2852" s="1" t="s">
        <v>2567</v>
      </c>
      <c r="B2852" s="1" t="s">
        <v>2593</v>
      </c>
      <c r="C2852" s="1" t="str">
        <f>"66298896757160"</f>
        <v>66298896757160</v>
      </c>
      <c r="D2852" s="1" t="str">
        <f>"401079"</f>
        <v>401079</v>
      </c>
      <c r="E2852" s="1" t="s">
        <v>17</v>
      </c>
      <c r="F2852" s="1">
        <v>5</v>
      </c>
      <c r="G2852" s="1">
        <v>22885</v>
      </c>
      <c r="H2852" s="1">
        <v>114425</v>
      </c>
      <c r="I2852" s="1">
        <v>0</v>
      </c>
      <c r="J2852" s="1">
        <v>5</v>
      </c>
      <c r="K2852" s="1">
        <v>0</v>
      </c>
    </row>
    <row r="2853" spans="1:11" ht="30" x14ac:dyDescent="0.2">
      <c r="A2853" s="1" t="s">
        <v>2567</v>
      </c>
      <c r="B2853" s="1" t="s">
        <v>2594</v>
      </c>
      <c r="C2853" s="1" t="str">
        <f>"P400485100063"</f>
        <v>P400485100063</v>
      </c>
      <c r="D2853" s="1" t="str">
        <f>"P400485100063"</f>
        <v>P400485100063</v>
      </c>
      <c r="E2853" s="1" t="s">
        <v>17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</row>
    <row r="2854" spans="1:11" ht="30" x14ac:dyDescent="0.2">
      <c r="A2854" s="1" t="s">
        <v>2567</v>
      </c>
      <c r="B2854" s="1" t="s">
        <v>2595</v>
      </c>
      <c r="C2854" s="1" t="str">
        <f>"66298896801440"</f>
        <v>66298896801440</v>
      </c>
      <c r="D2854" s="1" t="str">
        <f>"401080"</f>
        <v>401080</v>
      </c>
      <c r="E2854" s="1" t="s">
        <v>17</v>
      </c>
      <c r="F2854" s="1">
        <v>2</v>
      </c>
      <c r="G2854" s="1">
        <v>25444</v>
      </c>
      <c r="H2854" s="1">
        <v>50888</v>
      </c>
      <c r="I2854" s="1">
        <v>0</v>
      </c>
      <c r="J2854" s="1">
        <v>2</v>
      </c>
      <c r="K2854" s="1">
        <v>0</v>
      </c>
    </row>
    <row r="2855" spans="1:11" x14ac:dyDescent="0.2">
      <c r="A2855" s="1" t="s">
        <v>2567</v>
      </c>
      <c r="B2855" s="1" t="s">
        <v>2596</v>
      </c>
      <c r="C2855" s="1" t="str">
        <f>"66298896847490"</f>
        <v>66298896847490</v>
      </c>
      <c r="D2855" s="1" t="str">
        <f>"400044"</f>
        <v>400044</v>
      </c>
      <c r="E2855" s="1" t="s">
        <v>17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</row>
    <row r="2856" spans="1:11" x14ac:dyDescent="0.2">
      <c r="A2856" s="1" t="s">
        <v>2567</v>
      </c>
      <c r="B2856" s="1" t="s">
        <v>2597</v>
      </c>
      <c r="C2856" s="1" t="str">
        <f>"8501"</f>
        <v>8501</v>
      </c>
      <c r="D2856" s="1" t="str">
        <f>"8501"</f>
        <v>8501</v>
      </c>
      <c r="E2856" s="1" t="s">
        <v>17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</row>
    <row r="2857" spans="1:11" ht="30" x14ac:dyDescent="0.2">
      <c r="A2857" s="1" t="s">
        <v>2567</v>
      </c>
      <c r="B2857" s="1" t="s">
        <v>2598</v>
      </c>
      <c r="C2857" s="1" t="str">
        <f>"66298896888220"</f>
        <v>66298896888220</v>
      </c>
      <c r="D2857" s="1" t="str">
        <f>"401081"</f>
        <v>401081</v>
      </c>
      <c r="E2857" s="1" t="s">
        <v>17</v>
      </c>
      <c r="F2857" s="1">
        <v>3</v>
      </c>
      <c r="G2857" s="1">
        <v>19682</v>
      </c>
      <c r="H2857" s="1">
        <v>59046</v>
      </c>
      <c r="I2857" s="1">
        <v>0</v>
      </c>
      <c r="J2857" s="1">
        <v>3</v>
      </c>
      <c r="K2857" s="1">
        <v>0</v>
      </c>
    </row>
    <row r="2858" spans="1:11" x14ac:dyDescent="0.2">
      <c r="A2858" s="1" t="s">
        <v>2567</v>
      </c>
      <c r="B2858" s="1" t="s">
        <v>2599</v>
      </c>
      <c r="C2858" s="1" t="str">
        <f>"DA028"</f>
        <v>DA028</v>
      </c>
      <c r="D2858" s="1" t="str">
        <f>"DA028"</f>
        <v>DA028</v>
      </c>
      <c r="E2858" s="1" t="s">
        <v>17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</row>
    <row r="2859" spans="1:11" x14ac:dyDescent="0.2">
      <c r="A2859" s="1" t="s">
        <v>2567</v>
      </c>
      <c r="B2859" s="1" t="s">
        <v>2599</v>
      </c>
      <c r="C2859" s="1" t="str">
        <f>"2428"</f>
        <v>2428</v>
      </c>
      <c r="D2859" s="1" t="str">
        <f>"2428"</f>
        <v>2428</v>
      </c>
      <c r="E2859" s="1" t="s">
        <v>17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</row>
    <row r="2860" spans="1:11" ht="30" x14ac:dyDescent="0.2">
      <c r="A2860" s="1" t="s">
        <v>2567</v>
      </c>
      <c r="B2860" s="1" t="s">
        <v>2600</v>
      </c>
      <c r="C2860" s="1" t="str">
        <f>"66298896929391"</f>
        <v>66298896929391</v>
      </c>
      <c r="D2860" s="1" t="str">
        <f>"400737"</f>
        <v>400737</v>
      </c>
      <c r="E2860" s="1" t="s">
        <v>17</v>
      </c>
      <c r="F2860" s="1">
        <v>1</v>
      </c>
      <c r="G2860" s="1">
        <v>17519</v>
      </c>
      <c r="H2860" s="1">
        <v>17519</v>
      </c>
      <c r="I2860" s="1">
        <v>0</v>
      </c>
      <c r="J2860" s="1">
        <v>1</v>
      </c>
      <c r="K2860" s="1">
        <v>0</v>
      </c>
    </row>
    <row r="2861" spans="1:11" ht="30" x14ac:dyDescent="0.2">
      <c r="A2861" s="1" t="s">
        <v>2567</v>
      </c>
      <c r="B2861" s="1" t="s">
        <v>2601</v>
      </c>
      <c r="C2861" s="1" t="str">
        <f>"66298897054631"</f>
        <v>66298897054631</v>
      </c>
      <c r="D2861" s="1" t="str">
        <f>"400743"</f>
        <v>400743</v>
      </c>
      <c r="E2861" s="1" t="s">
        <v>17</v>
      </c>
      <c r="F2861" s="1">
        <v>1</v>
      </c>
      <c r="G2861" s="1">
        <v>19903</v>
      </c>
      <c r="H2861" s="1">
        <v>19903</v>
      </c>
      <c r="I2861" s="1">
        <v>0</v>
      </c>
      <c r="J2861" s="1">
        <v>1</v>
      </c>
      <c r="K2861" s="1">
        <v>0</v>
      </c>
    </row>
    <row r="2862" spans="1:11" ht="30" x14ac:dyDescent="0.2">
      <c r="A2862" s="1" t="s">
        <v>2567</v>
      </c>
      <c r="B2862" s="1" t="s">
        <v>2602</v>
      </c>
      <c r="C2862" s="1" t="str">
        <f>"66298897004040"</f>
        <v>66298897004040</v>
      </c>
      <c r="D2862" s="1" t="str">
        <f>"DA014"</f>
        <v>DA014</v>
      </c>
      <c r="E2862" s="1" t="s">
        <v>17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</row>
    <row r="2863" spans="1:11" x14ac:dyDescent="0.2">
      <c r="A2863" s="1" t="s">
        <v>2567</v>
      </c>
      <c r="B2863" s="1" t="s">
        <v>2603</v>
      </c>
      <c r="C2863" s="1" t="str">
        <f>"66298897093099"</f>
        <v>66298897093099</v>
      </c>
      <c r="D2863" s="1" t="str">
        <f>"XM-30306-000-K"</f>
        <v>XM-30306-000-K</v>
      </c>
      <c r="E2863" s="1" t="s">
        <v>17</v>
      </c>
      <c r="F2863" s="1">
        <v>1</v>
      </c>
      <c r="G2863" s="1">
        <v>15697</v>
      </c>
      <c r="H2863" s="1">
        <v>15697</v>
      </c>
      <c r="I2863" s="1">
        <v>0</v>
      </c>
      <c r="J2863" s="1">
        <v>1</v>
      </c>
      <c r="K2863" s="1">
        <v>0</v>
      </c>
    </row>
    <row r="2864" spans="1:11" x14ac:dyDescent="0.2">
      <c r="A2864" s="1" t="s">
        <v>2567</v>
      </c>
      <c r="B2864" s="1" t="s">
        <v>2604</v>
      </c>
      <c r="C2864" s="1" t="str">
        <f>"ITF-150"</f>
        <v>ITF-150</v>
      </c>
      <c r="D2864" s="1" t="str">
        <f>"ITF-150"</f>
        <v>ITF-150</v>
      </c>
      <c r="E2864" s="1" t="s">
        <v>17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</row>
    <row r="2865" spans="1:11" x14ac:dyDescent="0.2">
      <c r="A2865" s="1" t="s">
        <v>2567</v>
      </c>
      <c r="B2865" s="1" t="s">
        <v>2605</v>
      </c>
      <c r="C2865" s="1" t="str">
        <f>"10492"</f>
        <v>10492</v>
      </c>
      <c r="D2865" s="1" t="str">
        <f>"10492"</f>
        <v>10492</v>
      </c>
      <c r="E2865" s="1" t="s">
        <v>17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</row>
    <row r="2866" spans="1:11" x14ac:dyDescent="0.2">
      <c r="A2866" s="1" t="s">
        <v>2567</v>
      </c>
      <c r="B2866" s="1" t="s">
        <v>2606</v>
      </c>
      <c r="C2866" s="1" t="str">
        <f>"66298897135588"</f>
        <v>66298897135588</v>
      </c>
      <c r="D2866" s="1" t="str">
        <f>"400746"</f>
        <v>400746</v>
      </c>
      <c r="E2866" s="1" t="s">
        <v>17</v>
      </c>
      <c r="F2866" s="1">
        <v>3</v>
      </c>
      <c r="G2866" s="1">
        <v>17264</v>
      </c>
      <c r="H2866" s="1">
        <v>51792</v>
      </c>
      <c r="I2866" s="1">
        <v>0</v>
      </c>
      <c r="J2866" s="1">
        <v>3</v>
      </c>
      <c r="K2866" s="1">
        <v>0</v>
      </c>
    </row>
    <row r="2867" spans="1:11" ht="30" x14ac:dyDescent="0.2">
      <c r="A2867" s="1" t="s">
        <v>2567</v>
      </c>
      <c r="B2867" s="1" t="s">
        <v>2607</v>
      </c>
      <c r="C2867" s="1" t="str">
        <f>"KIT-HP-PULSAR200"</f>
        <v>KIT-HP-PULSAR200</v>
      </c>
      <c r="D2867" s="1" t="str">
        <f>"KIT-HP-PULSAR200"</f>
        <v>KIT-HP-PULSAR200</v>
      </c>
      <c r="E2867" s="1" t="s">
        <v>17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</row>
    <row r="2868" spans="1:11" x14ac:dyDescent="0.2">
      <c r="A2868" s="1" t="s">
        <v>2567</v>
      </c>
      <c r="B2868" s="1" t="s">
        <v>2608</v>
      </c>
      <c r="C2868" s="1" t="str">
        <f>"66298897183661"</f>
        <v>66298897183661</v>
      </c>
      <c r="D2868" s="1" t="str">
        <f>"400738"</f>
        <v>400738</v>
      </c>
      <c r="E2868" s="1" t="s">
        <v>17</v>
      </c>
      <c r="F2868" s="1">
        <v>4</v>
      </c>
      <c r="G2868" s="1">
        <v>19557</v>
      </c>
      <c r="H2868" s="1">
        <v>78228</v>
      </c>
      <c r="I2868" s="1">
        <v>0</v>
      </c>
      <c r="J2868" s="1">
        <v>4</v>
      </c>
      <c r="K2868" s="1">
        <v>0</v>
      </c>
    </row>
    <row r="2869" spans="1:11" x14ac:dyDescent="0.2">
      <c r="A2869" s="1" t="s">
        <v>2567</v>
      </c>
      <c r="B2869" s="1" t="s">
        <v>2609</v>
      </c>
      <c r="C2869" s="1" t="str">
        <f>"36-JL00-07-K"</f>
        <v>36-JL00-07-K</v>
      </c>
      <c r="D2869" s="1" t="str">
        <f>"36-JL00-07-K"</f>
        <v>36-JL00-07-K</v>
      </c>
      <c r="E2869" s="1" t="s">
        <v>17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</row>
    <row r="2870" spans="1:11" ht="30" x14ac:dyDescent="0.2">
      <c r="A2870" s="1" t="s">
        <v>2567</v>
      </c>
      <c r="B2870" s="1" t="s">
        <v>2610</v>
      </c>
      <c r="C2870" s="1" t="str">
        <f>"66298897227260"</f>
        <v>66298897227260</v>
      </c>
      <c r="D2870" s="1" t="str">
        <f>"1210A-GFY6-C10-K"</f>
        <v>1210A-GFY6-C10-K</v>
      </c>
      <c r="E2870" s="1" t="s">
        <v>17</v>
      </c>
      <c r="F2870" s="1">
        <v>2</v>
      </c>
      <c r="G2870" s="1">
        <v>23375</v>
      </c>
      <c r="H2870" s="1">
        <v>46750</v>
      </c>
      <c r="I2870" s="1">
        <v>0</v>
      </c>
      <c r="J2870" s="1">
        <v>2</v>
      </c>
      <c r="K2870" s="1">
        <v>0</v>
      </c>
    </row>
    <row r="2871" spans="1:11" ht="30" x14ac:dyDescent="0.2">
      <c r="A2871" s="1" t="s">
        <v>2567</v>
      </c>
      <c r="B2871" s="1" t="s">
        <v>2610</v>
      </c>
      <c r="C2871" s="1" t="str">
        <f>"66298897266150"</f>
        <v>66298897266150</v>
      </c>
      <c r="D2871" s="1" t="str">
        <f>"DA019"</f>
        <v>DA019</v>
      </c>
      <c r="E2871" s="1" t="s">
        <v>17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</row>
    <row r="2872" spans="1:11" ht="30" x14ac:dyDescent="0.2">
      <c r="A2872" s="1" t="s">
        <v>2567</v>
      </c>
      <c r="B2872" s="1" t="s">
        <v>2611</v>
      </c>
      <c r="C2872" s="1" t="str">
        <f>"66298897308846"</f>
        <v>66298897308846</v>
      </c>
      <c r="D2872" s="1" t="str">
        <f>"400739"</f>
        <v>400739</v>
      </c>
      <c r="E2872" s="1" t="s">
        <v>17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</row>
    <row r="2873" spans="1:11" ht="30" x14ac:dyDescent="0.2">
      <c r="A2873" s="1" t="s">
        <v>2567</v>
      </c>
      <c r="B2873" s="1" t="s">
        <v>2612</v>
      </c>
      <c r="C2873" s="1" t="str">
        <f>"66298897356999"</f>
        <v>66298897356999</v>
      </c>
      <c r="D2873" s="1" t="str">
        <f>"DA010"</f>
        <v>DA010</v>
      </c>
      <c r="E2873" s="1" t="s">
        <v>17</v>
      </c>
      <c r="F2873" s="1">
        <v>3</v>
      </c>
      <c r="G2873" s="1">
        <v>17055</v>
      </c>
      <c r="H2873" s="1">
        <v>51165</v>
      </c>
      <c r="I2873" s="1">
        <v>0</v>
      </c>
      <c r="J2873" s="1">
        <v>3</v>
      </c>
      <c r="K2873" s="1">
        <v>0</v>
      </c>
    </row>
    <row r="2874" spans="1:11" x14ac:dyDescent="0.2">
      <c r="A2874" s="1" t="s">
        <v>2567</v>
      </c>
      <c r="B2874" s="1" t="s">
        <v>2613</v>
      </c>
      <c r="C2874" s="1" t="str">
        <f>"DA031"</f>
        <v>DA031</v>
      </c>
      <c r="D2874" s="1" t="str">
        <f>"DA031"</f>
        <v>DA031</v>
      </c>
      <c r="E2874" s="1" t="s">
        <v>17</v>
      </c>
      <c r="F2874" s="1">
        <v>2</v>
      </c>
      <c r="G2874" s="1">
        <v>23058</v>
      </c>
      <c r="H2874" s="1">
        <v>46116</v>
      </c>
      <c r="I2874" s="1">
        <v>0</v>
      </c>
      <c r="J2874" s="1">
        <v>2</v>
      </c>
      <c r="K2874" s="1">
        <v>0</v>
      </c>
    </row>
    <row r="2875" spans="1:11" x14ac:dyDescent="0.2">
      <c r="A2875" s="1" t="s">
        <v>2567</v>
      </c>
      <c r="B2875" s="1" t="s">
        <v>2613</v>
      </c>
      <c r="C2875" s="1" t="str">
        <f>"12100-KGA-900-K"</f>
        <v>12100-KGA-900-K</v>
      </c>
      <c r="D2875" s="1" t="str">
        <f>"12100-KGA-900-K"</f>
        <v>12100-KGA-900-K</v>
      </c>
      <c r="E2875" s="1" t="s">
        <v>17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</row>
    <row r="2876" spans="1:11" ht="30" x14ac:dyDescent="0.2">
      <c r="A2876" s="1" t="s">
        <v>2567</v>
      </c>
      <c r="B2876" s="1" t="s">
        <v>2614</v>
      </c>
      <c r="C2876" s="1" t="str">
        <f>"66298897443745"</f>
        <v>66298897443745</v>
      </c>
      <c r="D2876" s="1" t="str">
        <f>"401085"</f>
        <v>401085</v>
      </c>
      <c r="E2876" s="1" t="s">
        <v>17</v>
      </c>
      <c r="F2876" s="1">
        <v>2</v>
      </c>
      <c r="G2876" s="1">
        <v>20118</v>
      </c>
      <c r="H2876" s="1">
        <v>40236</v>
      </c>
      <c r="I2876" s="1">
        <v>0</v>
      </c>
      <c r="J2876" s="1">
        <v>2</v>
      </c>
      <c r="K2876" s="1">
        <v>0</v>
      </c>
    </row>
    <row r="2877" spans="1:11" x14ac:dyDescent="0.2">
      <c r="A2877" s="1" t="s">
        <v>2567</v>
      </c>
      <c r="B2877" s="1" t="s">
        <v>2615</v>
      </c>
      <c r="C2877" s="1" t="str">
        <f>"66298897400617"</f>
        <v>66298897400617</v>
      </c>
      <c r="D2877" s="1" t="str">
        <f>"400048"</f>
        <v>400048</v>
      </c>
      <c r="E2877" s="1" t="s">
        <v>17</v>
      </c>
      <c r="F2877" s="1">
        <v>2</v>
      </c>
      <c r="G2877" s="1">
        <v>13440</v>
      </c>
      <c r="H2877" s="1">
        <v>26880</v>
      </c>
      <c r="I2877" s="1">
        <v>0</v>
      </c>
      <c r="J2877" s="1">
        <v>2</v>
      </c>
      <c r="K2877" s="1">
        <v>0</v>
      </c>
    </row>
    <row r="2878" spans="1:11" ht="30" x14ac:dyDescent="0.2">
      <c r="A2878" s="1" t="s">
        <v>2567</v>
      </c>
      <c r="B2878" s="1" t="s">
        <v>2616</v>
      </c>
      <c r="C2878" s="1" t="str">
        <f>"66298897486145"</f>
        <v>66298897486145</v>
      </c>
      <c r="D2878" s="1" t="str">
        <f>"400745"</f>
        <v>400745</v>
      </c>
      <c r="E2878" s="1" t="s">
        <v>17</v>
      </c>
      <c r="F2878" s="1">
        <v>4</v>
      </c>
      <c r="G2878" s="1">
        <v>13607</v>
      </c>
      <c r="H2878" s="1">
        <v>54428</v>
      </c>
      <c r="I2878" s="1">
        <v>0</v>
      </c>
      <c r="J2878" s="1">
        <v>4</v>
      </c>
      <c r="K2878" s="1">
        <v>0</v>
      </c>
    </row>
    <row r="2879" spans="1:11" x14ac:dyDescent="0.2">
      <c r="A2879" s="1" t="s">
        <v>2567</v>
      </c>
      <c r="B2879" s="1" t="s">
        <v>2617</v>
      </c>
      <c r="C2879" s="1" t="str">
        <f>"66298897529876"</f>
        <v>66298897529876</v>
      </c>
      <c r="D2879" s="1" t="str">
        <f>"400747"</f>
        <v>400747</v>
      </c>
      <c r="E2879" s="1" t="s">
        <v>17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</row>
    <row r="2880" spans="1:11" x14ac:dyDescent="0.2">
      <c r="A2880" s="1" t="s">
        <v>2567</v>
      </c>
      <c r="B2880" s="1" t="s">
        <v>2618</v>
      </c>
      <c r="C2880" s="1" t="str">
        <f>"66298897572360"</f>
        <v>66298897572360</v>
      </c>
      <c r="D2880" s="1" t="str">
        <f>"DA023"</f>
        <v>DA023</v>
      </c>
      <c r="E2880" s="1" t="s">
        <v>17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</row>
    <row r="2881" spans="1:11" x14ac:dyDescent="0.2">
      <c r="A2881" s="1" t="s">
        <v>98</v>
      </c>
      <c r="B2881" s="1" t="s">
        <v>2619</v>
      </c>
      <c r="C2881" s="1" t="str">
        <f>"66298897616538"</f>
        <v>66298897616538</v>
      </c>
      <c r="D2881" s="1" t="str">
        <f>"H215"</f>
        <v>H215</v>
      </c>
      <c r="E2881" s="1" t="s">
        <v>17</v>
      </c>
      <c r="F2881" s="1">
        <v>1</v>
      </c>
      <c r="G2881" s="1">
        <v>14629</v>
      </c>
      <c r="H2881" s="1">
        <v>14629</v>
      </c>
      <c r="I2881" s="1">
        <v>0</v>
      </c>
      <c r="J2881" s="1">
        <v>1</v>
      </c>
      <c r="K2881" s="1">
        <v>0</v>
      </c>
    </row>
    <row r="2882" spans="1:11" x14ac:dyDescent="0.2">
      <c r="A2882" s="1" t="s">
        <v>2004</v>
      </c>
      <c r="B2882" s="1" t="s">
        <v>2620</v>
      </c>
      <c r="C2882" s="1" t="str">
        <f>"67950195435088"</f>
        <v>67950195435088</v>
      </c>
      <c r="D2882" s="1" t="str">
        <f>"DSK-3001"</f>
        <v>DSK-3001</v>
      </c>
      <c r="E2882" s="1" t="s">
        <v>17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</row>
    <row r="2883" spans="1:11" x14ac:dyDescent="0.2">
      <c r="A2883" s="1" t="s">
        <v>2503</v>
      </c>
      <c r="B2883" s="1" t="s">
        <v>2621</v>
      </c>
      <c r="C2883" s="1" t="str">
        <f>"66298897703512"</f>
        <v>66298897703512</v>
      </c>
      <c r="D2883" s="1" t="str">
        <f>"400317"</f>
        <v>400317</v>
      </c>
      <c r="E2883" s="1" t="s">
        <v>17</v>
      </c>
      <c r="F2883" s="1">
        <v>8</v>
      </c>
      <c r="G2883" s="1">
        <v>2309</v>
      </c>
      <c r="H2883" s="1">
        <v>18472</v>
      </c>
      <c r="I2883" s="1">
        <v>0</v>
      </c>
      <c r="J2883" s="1">
        <v>8</v>
      </c>
      <c r="K2883" s="1">
        <v>0</v>
      </c>
    </row>
    <row r="2884" spans="1:11" x14ac:dyDescent="0.2">
      <c r="A2884" s="1" t="s">
        <v>2503</v>
      </c>
      <c r="B2884" s="1" t="s">
        <v>2622</v>
      </c>
      <c r="C2884" s="1" t="str">
        <f>"66298897658287"</f>
        <v>66298897658287</v>
      </c>
      <c r="D2884" s="1" t="str">
        <f>"400325"</f>
        <v>400325</v>
      </c>
      <c r="E2884" s="1" t="s">
        <v>17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</row>
    <row r="2885" spans="1:11" x14ac:dyDescent="0.2">
      <c r="A2885" s="1" t="s">
        <v>2503</v>
      </c>
      <c r="B2885" s="1" t="s">
        <v>2623</v>
      </c>
      <c r="C2885" s="1" t="str">
        <f>"7851"</f>
        <v>7851</v>
      </c>
      <c r="D2885" s="1" t="str">
        <f>"7851"</f>
        <v>7851</v>
      </c>
      <c r="E2885" s="1" t="s">
        <v>17</v>
      </c>
      <c r="F2885" s="1">
        <v>19</v>
      </c>
      <c r="G2885" s="1">
        <v>4991.6000000000004</v>
      </c>
      <c r="H2885" s="1">
        <v>94840</v>
      </c>
      <c r="I2885" s="1">
        <v>0</v>
      </c>
      <c r="J2885" s="1">
        <v>19</v>
      </c>
      <c r="K2885" s="1">
        <v>0</v>
      </c>
    </row>
    <row r="2886" spans="1:11" x14ac:dyDescent="0.2">
      <c r="A2886" s="1" t="s">
        <v>2503</v>
      </c>
      <c r="B2886" s="1" t="s">
        <v>2624</v>
      </c>
      <c r="C2886" s="1" t="str">
        <f>"66298897749581"</f>
        <v>66298897749581</v>
      </c>
      <c r="D2886" s="1" t="str">
        <f>"400318"</f>
        <v>400318</v>
      </c>
      <c r="E2886" s="1" t="s">
        <v>17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</row>
    <row r="2887" spans="1:11" x14ac:dyDescent="0.2">
      <c r="A2887" s="1" t="s">
        <v>2503</v>
      </c>
      <c r="B2887" s="1" t="s">
        <v>2625</v>
      </c>
      <c r="C2887" s="1" t="str">
        <f>"66298897835329"</f>
        <v>66298897835329</v>
      </c>
      <c r="D2887" s="1" t="str">
        <f>"CH006"</f>
        <v>CH006</v>
      </c>
      <c r="E2887" s="1" t="s">
        <v>17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</row>
    <row r="2888" spans="1:11" ht="30" x14ac:dyDescent="0.2">
      <c r="A2888" s="1" t="s">
        <v>2503</v>
      </c>
      <c r="B2888" s="1" t="s">
        <v>2626</v>
      </c>
      <c r="C2888" s="1" t="str">
        <f>"66298897792970"</f>
        <v>66298897792970</v>
      </c>
      <c r="D2888" s="1" t="str">
        <f>"400988"</f>
        <v>400988</v>
      </c>
      <c r="E2888" s="1" t="s">
        <v>17</v>
      </c>
      <c r="F2888" s="1">
        <v>16</v>
      </c>
      <c r="G2888" s="1">
        <v>2262</v>
      </c>
      <c r="H2888" s="1">
        <v>36192</v>
      </c>
      <c r="I2888" s="1">
        <v>0</v>
      </c>
      <c r="J2888" s="1">
        <v>16</v>
      </c>
      <c r="K2888" s="1">
        <v>0</v>
      </c>
    </row>
    <row r="2889" spans="1:11" x14ac:dyDescent="0.2">
      <c r="A2889" s="1" t="s">
        <v>2503</v>
      </c>
      <c r="B2889" s="1" t="s">
        <v>2627</v>
      </c>
      <c r="C2889" s="1" t="str">
        <f>"66298897876070"</f>
        <v>66298897876070</v>
      </c>
      <c r="D2889" s="1" t="str">
        <f>"400987"</f>
        <v>400987</v>
      </c>
      <c r="E2889" s="1" t="s">
        <v>17</v>
      </c>
      <c r="F2889" s="1">
        <v>33</v>
      </c>
      <c r="G2889" s="1">
        <v>2484</v>
      </c>
      <c r="H2889" s="1">
        <v>81972</v>
      </c>
      <c r="I2889" s="1">
        <v>0</v>
      </c>
      <c r="J2889" s="1">
        <v>33</v>
      </c>
      <c r="K2889" s="1">
        <v>0</v>
      </c>
    </row>
    <row r="2890" spans="1:11" x14ac:dyDescent="0.2">
      <c r="A2890" s="1" t="s">
        <v>2503</v>
      </c>
      <c r="B2890" s="1" t="s">
        <v>2628</v>
      </c>
      <c r="C2890" s="1" t="str">
        <f>"66298897920200"</f>
        <v>66298897920200</v>
      </c>
      <c r="D2890" s="1" t="str">
        <f>"400320"</f>
        <v>400320</v>
      </c>
      <c r="E2890" s="1" t="s">
        <v>17</v>
      </c>
      <c r="F2890" s="1">
        <v>20</v>
      </c>
      <c r="G2890" s="1">
        <v>2305</v>
      </c>
      <c r="H2890" s="1">
        <v>46100</v>
      </c>
      <c r="I2890" s="1">
        <v>0</v>
      </c>
      <c r="J2890" s="1">
        <v>20</v>
      </c>
      <c r="K2890" s="1">
        <v>0</v>
      </c>
    </row>
    <row r="2891" spans="1:11" x14ac:dyDescent="0.2">
      <c r="A2891" s="1" t="s">
        <v>2503</v>
      </c>
      <c r="B2891" s="1" t="s">
        <v>2629</v>
      </c>
      <c r="C2891" s="1" t="str">
        <f>"66298897962796"</f>
        <v>66298897962796</v>
      </c>
      <c r="D2891" s="1" t="str">
        <f>"400321"</f>
        <v>400321</v>
      </c>
      <c r="E2891" s="1" t="s">
        <v>17</v>
      </c>
      <c r="F2891" s="1">
        <v>8</v>
      </c>
      <c r="G2891" s="1">
        <v>2270</v>
      </c>
      <c r="H2891" s="1">
        <v>18160</v>
      </c>
      <c r="I2891" s="1">
        <v>0</v>
      </c>
      <c r="J2891" s="1">
        <v>8</v>
      </c>
      <c r="K2891" s="1">
        <v>0</v>
      </c>
    </row>
    <row r="2892" spans="1:11" x14ac:dyDescent="0.2">
      <c r="A2892" s="1" t="s">
        <v>2503</v>
      </c>
      <c r="B2892" s="1" t="s">
        <v>2630</v>
      </c>
      <c r="C2892" s="1" t="str">
        <f>"66298898009744"</f>
        <v>66298898009744</v>
      </c>
      <c r="D2892" s="1" t="str">
        <f>"400322"</f>
        <v>400322</v>
      </c>
      <c r="E2892" s="1" t="s">
        <v>17</v>
      </c>
      <c r="F2892" s="1">
        <v>10</v>
      </c>
      <c r="G2892" s="1">
        <v>1744</v>
      </c>
      <c r="H2892" s="1">
        <v>17440</v>
      </c>
      <c r="I2892" s="1">
        <v>0</v>
      </c>
      <c r="J2892" s="1">
        <v>10</v>
      </c>
      <c r="K2892" s="1">
        <v>0</v>
      </c>
    </row>
    <row r="2893" spans="1:11" x14ac:dyDescent="0.2">
      <c r="A2893" s="1" t="s">
        <v>2503</v>
      </c>
      <c r="B2893" s="1" t="s">
        <v>2631</v>
      </c>
      <c r="C2893" s="1" t="str">
        <f>"66298898058379"</f>
        <v>66298898058379</v>
      </c>
      <c r="D2893" s="1" t="str">
        <f>"400323"</f>
        <v>400323</v>
      </c>
      <c r="E2893" s="1" t="s">
        <v>17</v>
      </c>
      <c r="F2893" s="1">
        <v>3</v>
      </c>
      <c r="G2893" s="1">
        <v>4611</v>
      </c>
      <c r="H2893" s="1">
        <v>13833</v>
      </c>
      <c r="I2893" s="1">
        <v>0</v>
      </c>
      <c r="J2893" s="1">
        <v>3</v>
      </c>
      <c r="K2893" s="1">
        <v>0</v>
      </c>
    </row>
    <row r="2894" spans="1:11" x14ac:dyDescent="0.2">
      <c r="A2894" s="1" t="s">
        <v>2503</v>
      </c>
      <c r="B2894" s="1" t="s">
        <v>2632</v>
      </c>
      <c r="C2894" s="1" t="str">
        <f>"66298898100228"</f>
        <v>66298898100228</v>
      </c>
      <c r="D2894" s="1" t="str">
        <f>"400324"</f>
        <v>400324</v>
      </c>
      <c r="E2894" s="1" t="s">
        <v>17</v>
      </c>
      <c r="F2894" s="1">
        <v>12</v>
      </c>
      <c r="G2894" s="1">
        <v>1720</v>
      </c>
      <c r="H2894" s="1">
        <v>20640</v>
      </c>
      <c r="I2894" s="1">
        <v>0</v>
      </c>
      <c r="J2894" s="1">
        <v>12</v>
      </c>
      <c r="K2894" s="1">
        <v>0</v>
      </c>
    </row>
    <row r="2895" spans="1:11" x14ac:dyDescent="0.2">
      <c r="A2895" s="1" t="s">
        <v>18</v>
      </c>
      <c r="B2895" s="1" t="s">
        <v>2633</v>
      </c>
      <c r="C2895" s="1" t="str">
        <f>"115477"</f>
        <v>115477</v>
      </c>
      <c r="D2895" s="1" t="str">
        <f>"115477"</f>
        <v>115477</v>
      </c>
      <c r="E2895" s="1" t="s">
        <v>17</v>
      </c>
      <c r="F2895" s="1">
        <v>23</v>
      </c>
      <c r="G2895" s="1">
        <v>924</v>
      </c>
      <c r="H2895" s="1">
        <v>21252</v>
      </c>
      <c r="I2895" s="1">
        <v>0</v>
      </c>
      <c r="J2895" s="1">
        <v>23</v>
      </c>
      <c r="K2895" s="1">
        <v>0</v>
      </c>
    </row>
    <row r="2896" spans="1:11" x14ac:dyDescent="0.2">
      <c r="A2896" s="1" t="s">
        <v>98</v>
      </c>
      <c r="B2896" s="1" t="s">
        <v>2634</v>
      </c>
      <c r="C2896" s="1" t="str">
        <f>"66298898144135"</f>
        <v>66298898144135</v>
      </c>
      <c r="D2896" s="1" t="str">
        <f>"H127"</f>
        <v>H127</v>
      </c>
      <c r="E2896" s="1" t="s">
        <v>17</v>
      </c>
      <c r="F2896" s="1">
        <v>7</v>
      </c>
      <c r="G2896" s="1">
        <v>3701</v>
      </c>
      <c r="H2896" s="1">
        <v>25907</v>
      </c>
      <c r="I2896" s="1">
        <v>0</v>
      </c>
      <c r="J2896" s="1">
        <v>7</v>
      </c>
      <c r="K2896" s="1">
        <v>0</v>
      </c>
    </row>
    <row r="2897" spans="1:11" ht="30" x14ac:dyDescent="0.2">
      <c r="A2897" s="1" t="s">
        <v>2565</v>
      </c>
      <c r="B2897" s="1" t="s">
        <v>2635</v>
      </c>
      <c r="C2897" s="1" t="str">
        <f>"10000091383"</f>
        <v>10000091383</v>
      </c>
      <c r="D2897" s="1" t="str">
        <f>"10000091383"</f>
        <v>10000091383</v>
      </c>
      <c r="E2897" s="1" t="s">
        <v>17</v>
      </c>
      <c r="F2897" s="1">
        <v>1</v>
      </c>
      <c r="G2897" s="1">
        <v>14571.43</v>
      </c>
      <c r="H2897" s="1">
        <v>14571</v>
      </c>
      <c r="I2897" s="1">
        <v>0</v>
      </c>
      <c r="J2897" s="1">
        <v>1</v>
      </c>
      <c r="K2897" s="1">
        <v>0</v>
      </c>
    </row>
    <row r="2898" spans="1:11" ht="30" x14ac:dyDescent="0.2">
      <c r="A2898" s="1" t="s">
        <v>2565</v>
      </c>
      <c r="B2898" s="1" t="s">
        <v>2636</v>
      </c>
      <c r="C2898" s="1" t="str">
        <f>"36-JZ00-80-KITH"</f>
        <v>36-JZ00-80-KITH</v>
      </c>
      <c r="D2898" s="1" t="str">
        <f>"36-JZ00-80-KITH"</f>
        <v>36-JZ00-80-KITH</v>
      </c>
      <c r="E2898" s="1" t="s">
        <v>17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</row>
    <row r="2899" spans="1:11" x14ac:dyDescent="0.2">
      <c r="A2899" s="1" t="s">
        <v>2565</v>
      </c>
      <c r="B2899" s="1" t="s">
        <v>2637</v>
      </c>
      <c r="C2899" s="1" t="str">
        <f>"10000091552"</f>
        <v>10000091552</v>
      </c>
      <c r="D2899" s="1" t="str">
        <f>"10000091552"</f>
        <v>10000091552</v>
      </c>
      <c r="E2899" s="1" t="s">
        <v>17</v>
      </c>
      <c r="F2899" s="1">
        <v>1</v>
      </c>
      <c r="G2899" s="1">
        <v>22638.66</v>
      </c>
      <c r="H2899" s="1">
        <v>22639</v>
      </c>
      <c r="I2899" s="1">
        <v>0</v>
      </c>
      <c r="J2899" s="1">
        <v>1</v>
      </c>
      <c r="K2899" s="1">
        <v>0</v>
      </c>
    </row>
    <row r="2900" spans="1:11" x14ac:dyDescent="0.2">
      <c r="A2900" s="1" t="s">
        <v>2565</v>
      </c>
      <c r="B2900" s="1" t="s">
        <v>2638</v>
      </c>
      <c r="C2900" s="1" t="str">
        <f>"10000091551"</f>
        <v>10000091551</v>
      </c>
      <c r="D2900" s="1" t="str">
        <f>"10000091551"</f>
        <v>10000091551</v>
      </c>
      <c r="E2900" s="1" t="s">
        <v>17</v>
      </c>
      <c r="F2900" s="1">
        <v>3</v>
      </c>
      <c r="G2900" s="1">
        <v>18605.04</v>
      </c>
      <c r="H2900" s="1">
        <v>55815</v>
      </c>
      <c r="I2900" s="1">
        <v>0</v>
      </c>
      <c r="J2900" s="1">
        <v>3</v>
      </c>
      <c r="K2900" s="1">
        <v>0</v>
      </c>
    </row>
    <row r="2901" spans="1:11" x14ac:dyDescent="0.2">
      <c r="A2901" s="1" t="s">
        <v>2565</v>
      </c>
      <c r="B2901" s="1" t="s">
        <v>2639</v>
      </c>
      <c r="C2901" s="1" t="str">
        <f>"66298898242506"</f>
        <v>66298898242506</v>
      </c>
      <c r="D2901" s="1" t="str">
        <f>"41200-K70-600KIT"</f>
        <v>41200-K70-600KIT</v>
      </c>
      <c r="E2901" s="1" t="s">
        <v>17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</row>
    <row r="2902" spans="1:11" ht="30" x14ac:dyDescent="0.2">
      <c r="A2902" s="1" t="s">
        <v>2565</v>
      </c>
      <c r="B2902" s="1" t="s">
        <v>2640</v>
      </c>
      <c r="C2902" s="1" t="str">
        <f>"10000091459"</f>
        <v>10000091459</v>
      </c>
      <c r="D2902" s="1" t="str">
        <f>"10000091459"</f>
        <v>10000091459</v>
      </c>
      <c r="E2902" s="1" t="s">
        <v>17</v>
      </c>
      <c r="F2902" s="1">
        <v>3</v>
      </c>
      <c r="G2902" s="1">
        <v>15731.09</v>
      </c>
      <c r="H2902" s="1">
        <v>47193</v>
      </c>
      <c r="I2902" s="1">
        <v>0</v>
      </c>
      <c r="J2902" s="1">
        <v>3</v>
      </c>
      <c r="K2902" s="1">
        <v>0</v>
      </c>
    </row>
    <row r="2903" spans="1:11" ht="30" x14ac:dyDescent="0.2">
      <c r="A2903" s="1" t="s">
        <v>2565</v>
      </c>
      <c r="B2903" s="1" t="s">
        <v>2641</v>
      </c>
      <c r="C2903" s="1" t="str">
        <f>"10000091338"</f>
        <v>10000091338</v>
      </c>
      <c r="D2903" s="1" t="str">
        <f>"10000091338"</f>
        <v>10000091338</v>
      </c>
      <c r="E2903" s="1" t="s">
        <v>17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</row>
    <row r="2904" spans="1:11" x14ac:dyDescent="0.2">
      <c r="A2904" s="1" t="s">
        <v>2565</v>
      </c>
      <c r="B2904" s="1" t="s">
        <v>2642</v>
      </c>
      <c r="C2904" s="1" t="str">
        <f>"12308"</f>
        <v>12308</v>
      </c>
      <c r="D2904" s="1" t="str">
        <f>"12308"</f>
        <v>12308</v>
      </c>
      <c r="E2904" s="1" t="s">
        <v>17</v>
      </c>
      <c r="F2904" s="1">
        <v>1</v>
      </c>
      <c r="G2904" s="1">
        <v>14364.71</v>
      </c>
      <c r="H2904" s="1">
        <v>14365</v>
      </c>
      <c r="I2904" s="1">
        <v>0</v>
      </c>
      <c r="J2904" s="1">
        <v>1</v>
      </c>
      <c r="K2904" s="1">
        <v>0</v>
      </c>
    </row>
    <row r="2905" spans="1:11" ht="30" x14ac:dyDescent="0.2">
      <c r="A2905" s="1" t="s">
        <v>2565</v>
      </c>
      <c r="B2905" s="1" t="s">
        <v>2643</v>
      </c>
      <c r="C2905" s="1" t="str">
        <f>"41200-KVX-900-KI"</f>
        <v>41200-KVX-900-KI</v>
      </c>
      <c r="D2905" s="1" t="str">
        <f>"41200-KVX-900-KI"</f>
        <v>41200-KVX-900-KI</v>
      </c>
      <c r="E2905" s="1" t="s">
        <v>17</v>
      </c>
      <c r="F2905" s="1">
        <v>1</v>
      </c>
      <c r="G2905" s="1">
        <v>14509</v>
      </c>
      <c r="H2905" s="1">
        <v>14509</v>
      </c>
      <c r="I2905" s="1">
        <v>0</v>
      </c>
      <c r="J2905" s="1">
        <v>1</v>
      </c>
      <c r="K2905" s="1">
        <v>0</v>
      </c>
    </row>
    <row r="2906" spans="1:11" ht="30" x14ac:dyDescent="0.2">
      <c r="A2906" s="1" t="s">
        <v>2565</v>
      </c>
      <c r="B2906" s="1" t="s">
        <v>2644</v>
      </c>
      <c r="C2906" s="1" t="str">
        <f>"66298898286614"</f>
        <v>66298898286614</v>
      </c>
      <c r="D2906" s="1" t="str">
        <f>"41200-KPN-A00KIT"</f>
        <v>41200-KPN-A00KIT</v>
      </c>
      <c r="E2906" s="1" t="s">
        <v>17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</row>
    <row r="2907" spans="1:11" ht="30" x14ac:dyDescent="0.2">
      <c r="A2907" s="1" t="s">
        <v>2565</v>
      </c>
      <c r="B2907" s="1" t="s">
        <v>2645</v>
      </c>
      <c r="C2907" s="1" t="str">
        <f>"41200-KSP-B00-KITH"</f>
        <v>41200-KSP-B00-KITH</v>
      </c>
      <c r="D2907" s="1" t="str">
        <f>"41200-KSP-B00-KITH"</f>
        <v>41200-KSP-B00-KITH</v>
      </c>
      <c r="E2907" s="1" t="s">
        <v>17</v>
      </c>
      <c r="F2907" s="1">
        <v>5</v>
      </c>
      <c r="G2907" s="1">
        <v>15864.2</v>
      </c>
      <c r="H2907" s="1">
        <v>79321</v>
      </c>
      <c r="I2907" s="1">
        <v>0</v>
      </c>
      <c r="J2907" s="1">
        <v>5</v>
      </c>
      <c r="K2907" s="1">
        <v>0</v>
      </c>
    </row>
    <row r="2908" spans="1:11" ht="30" x14ac:dyDescent="0.2">
      <c r="A2908" s="1" t="s">
        <v>2565</v>
      </c>
      <c r="B2908" s="1" t="s">
        <v>2646</v>
      </c>
      <c r="C2908" s="1" t="str">
        <f>"41201-KVE-900KITH"</f>
        <v>41201-KVE-900KITH</v>
      </c>
      <c r="D2908" s="1" t="str">
        <f>"41201-KVE-900KITH"</f>
        <v>41201-KVE-900KITH</v>
      </c>
      <c r="E2908" s="1" t="s">
        <v>17</v>
      </c>
      <c r="F2908" s="1">
        <v>2</v>
      </c>
      <c r="G2908" s="1">
        <v>15814</v>
      </c>
      <c r="H2908" s="1">
        <v>31628</v>
      </c>
      <c r="I2908" s="1">
        <v>0</v>
      </c>
      <c r="J2908" s="1">
        <v>2</v>
      </c>
      <c r="K2908" s="1">
        <v>0</v>
      </c>
    </row>
    <row r="2909" spans="1:11" x14ac:dyDescent="0.2">
      <c r="A2909" s="1" t="s">
        <v>2565</v>
      </c>
      <c r="B2909" s="1" t="s">
        <v>2647</v>
      </c>
      <c r="C2909" s="1" t="str">
        <f>"41201-KYJ-900-KITH"</f>
        <v>41201-KYJ-900-KITH</v>
      </c>
      <c r="D2909" s="1" t="str">
        <f>"41201-KYJ-900-KITH"</f>
        <v>41201-KYJ-900-KITH</v>
      </c>
      <c r="E2909" s="1" t="s">
        <v>17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</row>
    <row r="2910" spans="1:11" x14ac:dyDescent="0.2">
      <c r="A2910" s="1" t="s">
        <v>2565</v>
      </c>
      <c r="B2910" s="1" t="s">
        <v>2648</v>
      </c>
      <c r="C2910" s="1" t="str">
        <f>"10000091441"</f>
        <v>10000091441</v>
      </c>
      <c r="D2910" s="1" t="str">
        <f>"10000091441"</f>
        <v>10000091441</v>
      </c>
      <c r="E2910" s="1" t="s">
        <v>17</v>
      </c>
      <c r="F2910" s="1">
        <v>2</v>
      </c>
      <c r="G2910" s="1">
        <v>19251.14</v>
      </c>
      <c r="H2910" s="1">
        <v>38502</v>
      </c>
      <c r="I2910" s="1">
        <v>0</v>
      </c>
      <c r="J2910" s="1">
        <v>2</v>
      </c>
      <c r="K2910" s="1">
        <v>0</v>
      </c>
    </row>
    <row r="2911" spans="1:11" x14ac:dyDescent="0.2">
      <c r="A2911" s="1" t="s">
        <v>2565</v>
      </c>
      <c r="B2911" s="1" t="s">
        <v>2649</v>
      </c>
      <c r="C2911" s="1" t="str">
        <f>"10000091182"</f>
        <v>10000091182</v>
      </c>
      <c r="D2911" s="1" t="str">
        <f>"10000091182"</f>
        <v>10000091182</v>
      </c>
      <c r="E2911" s="1" t="s">
        <v>17</v>
      </c>
      <c r="F2911" s="1">
        <v>1</v>
      </c>
      <c r="G2911" s="1">
        <v>20521.009999999998</v>
      </c>
      <c r="H2911" s="1">
        <v>20521</v>
      </c>
      <c r="I2911" s="1">
        <v>0</v>
      </c>
      <c r="J2911" s="1">
        <v>1</v>
      </c>
      <c r="K2911" s="1">
        <v>0</v>
      </c>
    </row>
    <row r="2912" spans="1:11" x14ac:dyDescent="0.2">
      <c r="A2912" s="1" t="s">
        <v>2565</v>
      </c>
      <c r="B2912" s="1" t="s">
        <v>2650</v>
      </c>
      <c r="C2912" s="1" t="str">
        <f>"66298898385566"</f>
        <v>66298898385566</v>
      </c>
      <c r="D2912" s="1" t="str">
        <f>"41201-383-0045-K"</f>
        <v>41201-383-0045-K</v>
      </c>
      <c r="E2912" s="1" t="s">
        <v>17</v>
      </c>
      <c r="F2912" s="1">
        <v>3</v>
      </c>
      <c r="G2912" s="1">
        <v>10666</v>
      </c>
      <c r="H2912" s="1">
        <v>31998</v>
      </c>
      <c r="I2912" s="1">
        <v>0</v>
      </c>
      <c r="J2912" s="1">
        <v>3</v>
      </c>
      <c r="K2912" s="1">
        <v>0</v>
      </c>
    </row>
    <row r="2913" spans="1:11" x14ac:dyDescent="0.2">
      <c r="A2913" s="1" t="s">
        <v>2565</v>
      </c>
      <c r="B2913" s="1" t="s">
        <v>2651</v>
      </c>
      <c r="C2913" s="1" t="str">
        <f>"66298898843468"</f>
        <v>66298898843468</v>
      </c>
      <c r="D2913" s="1" t="str">
        <f>"KIT-TRAS-14/38"</f>
        <v>KIT-TRAS-14/38</v>
      </c>
      <c r="E2913" s="1" t="s">
        <v>17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</row>
    <row r="2914" spans="1:11" x14ac:dyDescent="0.2">
      <c r="A2914" s="1" t="s">
        <v>2565</v>
      </c>
      <c r="B2914" s="1" t="s">
        <v>2652</v>
      </c>
      <c r="C2914" s="1" t="str">
        <f>"66298898428323"</f>
        <v>66298898428323</v>
      </c>
      <c r="D2914" s="1" t="str">
        <f>"41201-383-3635-K"</f>
        <v>41201-383-3635-K</v>
      </c>
      <c r="E2914" s="1" t="s">
        <v>17</v>
      </c>
      <c r="F2914" s="1">
        <v>3</v>
      </c>
      <c r="G2914" s="1">
        <v>9572</v>
      </c>
      <c r="H2914" s="1">
        <v>28716</v>
      </c>
      <c r="I2914" s="1">
        <v>0</v>
      </c>
      <c r="J2914" s="1">
        <v>3</v>
      </c>
      <c r="K2914" s="1">
        <v>0</v>
      </c>
    </row>
    <row r="2915" spans="1:11" ht="30" x14ac:dyDescent="0.2">
      <c r="A2915" s="1" t="s">
        <v>2565</v>
      </c>
      <c r="B2915" s="1" t="s">
        <v>2653</v>
      </c>
      <c r="C2915" s="1" t="str">
        <f>"41201-383-0035-KITH"</f>
        <v>41201-383-0035-KITH</v>
      </c>
      <c r="D2915" s="1" t="str">
        <f>"41201-383-0035-KITH"</f>
        <v>41201-383-0035-KITH</v>
      </c>
      <c r="E2915" s="1" t="s">
        <v>17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</row>
    <row r="2916" spans="1:11" x14ac:dyDescent="0.2">
      <c r="A2916" s="1" t="s">
        <v>2565</v>
      </c>
      <c r="B2916" s="1" t="s">
        <v>2654</v>
      </c>
      <c r="C2916" s="1" t="str">
        <f>"66298898518450"</f>
        <v>66298898518450</v>
      </c>
      <c r="D2916" s="1" t="str">
        <f>"41201-383-3637-K"</f>
        <v>41201-383-3637-K</v>
      </c>
      <c r="E2916" s="1" t="s">
        <v>17</v>
      </c>
      <c r="F2916" s="1">
        <v>4</v>
      </c>
      <c r="G2916" s="1">
        <v>11250</v>
      </c>
      <c r="H2916" s="1">
        <v>45000</v>
      </c>
      <c r="I2916" s="1">
        <v>0</v>
      </c>
      <c r="J2916" s="1">
        <v>4</v>
      </c>
      <c r="K2916" s="1">
        <v>0</v>
      </c>
    </row>
    <row r="2917" spans="1:11" x14ac:dyDescent="0.2">
      <c r="A2917" s="1" t="s">
        <v>2565</v>
      </c>
      <c r="B2917" s="1" t="s">
        <v>2655</v>
      </c>
      <c r="C2917" s="1" t="str">
        <f>"66298898471315"</f>
        <v>66298898471315</v>
      </c>
      <c r="D2917" s="1" t="str">
        <f>"41201-383-0037-K"</f>
        <v>41201-383-0037-K</v>
      </c>
      <c r="E2917" s="1" t="s">
        <v>17</v>
      </c>
      <c r="F2917" s="1">
        <v>3</v>
      </c>
      <c r="G2917" s="1">
        <v>10196</v>
      </c>
      <c r="H2917" s="1">
        <v>30588</v>
      </c>
      <c r="I2917" s="1">
        <v>0</v>
      </c>
      <c r="J2917" s="1">
        <v>3</v>
      </c>
      <c r="K2917" s="1">
        <v>0</v>
      </c>
    </row>
    <row r="2918" spans="1:11" x14ac:dyDescent="0.2">
      <c r="A2918" s="1" t="s">
        <v>2565</v>
      </c>
      <c r="B2918" s="1" t="s">
        <v>2656</v>
      </c>
      <c r="C2918" s="1" t="str">
        <f>"66298898560492"</f>
        <v>66298898560492</v>
      </c>
      <c r="D2918" s="1" t="str">
        <f>"41201-383-0038-K"</f>
        <v>41201-383-0038-K</v>
      </c>
      <c r="E2918" s="1" t="s">
        <v>17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</row>
    <row r="2919" spans="1:11" x14ac:dyDescent="0.2">
      <c r="A2919" s="1" t="s">
        <v>2565</v>
      </c>
      <c r="B2919" s="1" t="s">
        <v>2657</v>
      </c>
      <c r="C2919" s="1" t="str">
        <f>"66298898605378"</f>
        <v>66298898605378</v>
      </c>
      <c r="D2919" s="1" t="str">
        <f>"41201-383-3643-K"</f>
        <v>41201-383-3643-K</v>
      </c>
      <c r="E2919" s="1" t="s">
        <v>17</v>
      </c>
      <c r="F2919" s="1">
        <v>1</v>
      </c>
      <c r="G2919" s="1">
        <v>9596</v>
      </c>
      <c r="H2919" s="1">
        <v>9596</v>
      </c>
      <c r="I2919" s="1">
        <v>0</v>
      </c>
      <c r="J2919" s="1">
        <v>1</v>
      </c>
      <c r="K2919" s="1">
        <v>0</v>
      </c>
    </row>
    <row r="2920" spans="1:11" x14ac:dyDescent="0.2">
      <c r="A2920" s="1" t="s">
        <v>2565</v>
      </c>
      <c r="B2920" s="1" t="s">
        <v>2658</v>
      </c>
      <c r="C2920" s="1" t="str">
        <f>"66298898654832"</f>
        <v>66298898654832</v>
      </c>
      <c r="D2920" s="1" t="str">
        <f>"41201-383-1638-K"</f>
        <v>41201-383-1638-K</v>
      </c>
      <c r="E2920" s="1" t="s">
        <v>17</v>
      </c>
      <c r="F2920" s="1">
        <v>2</v>
      </c>
      <c r="G2920" s="1">
        <v>8565</v>
      </c>
      <c r="H2920" s="1">
        <v>17130</v>
      </c>
      <c r="I2920" s="1">
        <v>0</v>
      </c>
      <c r="J2920" s="1">
        <v>2</v>
      </c>
      <c r="K2920" s="1">
        <v>0</v>
      </c>
    </row>
    <row r="2921" spans="1:11" x14ac:dyDescent="0.2">
      <c r="A2921" s="1" t="s">
        <v>2565</v>
      </c>
      <c r="B2921" s="1" t="s">
        <v>2659</v>
      </c>
      <c r="C2921" s="1" t="str">
        <f>"66298898699792"</f>
        <v>66298898699792</v>
      </c>
      <c r="D2921" s="1" t="str">
        <f>"41201-383-1639-K"</f>
        <v>41201-383-1639-K</v>
      </c>
      <c r="E2921" s="1" t="s">
        <v>17</v>
      </c>
      <c r="F2921" s="1">
        <v>2</v>
      </c>
      <c r="G2921" s="1">
        <v>8676</v>
      </c>
      <c r="H2921" s="1">
        <v>17352</v>
      </c>
      <c r="I2921" s="1">
        <v>0</v>
      </c>
      <c r="J2921" s="1">
        <v>2</v>
      </c>
      <c r="K2921" s="1">
        <v>0</v>
      </c>
    </row>
    <row r="2922" spans="1:11" x14ac:dyDescent="0.2">
      <c r="A2922" s="1" t="s">
        <v>2565</v>
      </c>
      <c r="B2922" s="1" t="s">
        <v>2660</v>
      </c>
      <c r="C2922" s="1" t="str">
        <f>"66298898744523"</f>
        <v>66298898744523</v>
      </c>
      <c r="D2922" s="1" t="str">
        <f>"41201-383-1739KI"</f>
        <v>41201-383-1739KI</v>
      </c>
      <c r="E2922" s="1" t="s">
        <v>17</v>
      </c>
      <c r="F2922" s="1">
        <v>3</v>
      </c>
      <c r="G2922" s="1">
        <v>9834</v>
      </c>
      <c r="H2922" s="1">
        <v>29502</v>
      </c>
      <c r="I2922" s="1">
        <v>0</v>
      </c>
      <c r="J2922" s="1">
        <v>3</v>
      </c>
      <c r="K2922" s="1">
        <v>0</v>
      </c>
    </row>
    <row r="2923" spans="1:11" x14ac:dyDescent="0.2">
      <c r="A2923" s="1" t="s">
        <v>2565</v>
      </c>
      <c r="B2923" s="1" t="s">
        <v>2661</v>
      </c>
      <c r="C2923" s="1" t="str">
        <f>"66298898786270"</f>
        <v>66298898786270</v>
      </c>
      <c r="D2923" s="1" t="str">
        <f>"PP-20400-000-KIT"</f>
        <v>PP-20400-000-KIT</v>
      </c>
      <c r="E2923" s="1" t="s">
        <v>17</v>
      </c>
      <c r="F2923" s="1">
        <v>4</v>
      </c>
      <c r="G2923" s="1">
        <v>11705.5</v>
      </c>
      <c r="H2923" s="1">
        <v>46822</v>
      </c>
      <c r="I2923" s="1">
        <v>0</v>
      </c>
      <c r="J2923" s="1">
        <v>4</v>
      </c>
      <c r="K2923" s="1">
        <v>0</v>
      </c>
    </row>
    <row r="2924" spans="1:11" ht="30" x14ac:dyDescent="0.2">
      <c r="A2924" s="1" t="s">
        <v>2565</v>
      </c>
      <c r="B2924" s="1" t="s">
        <v>2662</v>
      </c>
      <c r="C2924" s="1" t="str">
        <f>"41201-KGA-900-KI"</f>
        <v>41201-KGA-900-KI</v>
      </c>
      <c r="D2924" s="1" t="str">
        <f>"41201-KGA-900-KI"</f>
        <v>41201-KGA-900-KI</v>
      </c>
      <c r="E2924" s="1" t="s">
        <v>17</v>
      </c>
      <c r="F2924" s="1">
        <v>3</v>
      </c>
      <c r="G2924" s="1">
        <v>12143</v>
      </c>
      <c r="H2924" s="1">
        <v>36429</v>
      </c>
      <c r="I2924" s="1">
        <v>0</v>
      </c>
      <c r="J2924" s="1">
        <v>3</v>
      </c>
      <c r="K2924" s="1">
        <v>0</v>
      </c>
    </row>
    <row r="2925" spans="1:11" x14ac:dyDescent="0.2">
      <c r="A2925" s="1" t="s">
        <v>2565</v>
      </c>
      <c r="B2925" s="1" t="s">
        <v>2663</v>
      </c>
      <c r="C2925" s="1" t="str">
        <f>"41201-KRF-B40-KITH"</f>
        <v>41201-KRF-B40-KITH</v>
      </c>
      <c r="D2925" s="1" t="str">
        <f>"41201-KRF-B40-KITH"</f>
        <v>41201-KRF-B40-KITH</v>
      </c>
      <c r="E2925" s="1" t="s">
        <v>17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</row>
    <row r="2926" spans="1:11" ht="30" x14ac:dyDescent="0.2">
      <c r="A2926" s="1" t="s">
        <v>2565</v>
      </c>
      <c r="B2926" s="1" t="s">
        <v>2664</v>
      </c>
      <c r="C2926" s="1" t="str">
        <f>"10000091476"</f>
        <v>10000091476</v>
      </c>
      <c r="D2926" s="1" t="str">
        <f>"10000091476"</f>
        <v>10000091476</v>
      </c>
      <c r="E2926" s="1" t="s">
        <v>17</v>
      </c>
      <c r="F2926" s="1">
        <v>1</v>
      </c>
      <c r="G2926" s="1">
        <v>44420.17</v>
      </c>
      <c r="H2926" s="1">
        <v>44420</v>
      </c>
      <c r="I2926" s="1">
        <v>0</v>
      </c>
      <c r="J2926" s="1">
        <v>1</v>
      </c>
      <c r="K2926" s="1">
        <v>0</v>
      </c>
    </row>
    <row r="2927" spans="1:11" ht="30" x14ac:dyDescent="0.2">
      <c r="A2927" s="1" t="s">
        <v>2565</v>
      </c>
      <c r="B2927" s="1" t="s">
        <v>2665</v>
      </c>
      <c r="C2927" s="1" t="str">
        <f>"64511-42A01-KITH-OR"</f>
        <v>64511-42A01-KITH-OR</v>
      </c>
      <c r="D2927" s="1" t="str">
        <f>"64511-42A01-KITH-OR"</f>
        <v>64511-42A01-KITH-OR</v>
      </c>
      <c r="E2927" s="1" t="s">
        <v>17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</row>
    <row r="2928" spans="1:11" x14ac:dyDescent="0.2">
      <c r="A2928" s="1" t="s">
        <v>2565</v>
      </c>
      <c r="B2928" s="1" t="s">
        <v>2666</v>
      </c>
      <c r="C2928" s="1" t="str">
        <f>"64511-42A01-KITH"</f>
        <v>64511-42A01-KITH</v>
      </c>
      <c r="D2928" s="1" t="str">
        <f>"64511-42A01-KITH"</f>
        <v>64511-42A01-KITH</v>
      </c>
      <c r="E2928" s="1" t="s">
        <v>17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</row>
    <row r="2929" spans="1:11" x14ac:dyDescent="0.2">
      <c r="A2929" s="1" t="s">
        <v>2565</v>
      </c>
      <c r="B2929" s="1" t="s">
        <v>2667</v>
      </c>
      <c r="C2929" s="1" t="str">
        <f>"10000091619"</f>
        <v>10000091619</v>
      </c>
      <c r="D2929" s="1" t="str">
        <f>"10000091619"</f>
        <v>10000091619</v>
      </c>
      <c r="E2929" s="1" t="s">
        <v>17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</row>
    <row r="2930" spans="1:11" ht="30" x14ac:dyDescent="0.2">
      <c r="A2930" s="1" t="s">
        <v>2565</v>
      </c>
      <c r="B2930" s="1" t="s">
        <v>2668</v>
      </c>
      <c r="C2930" s="1" t="str">
        <f>"64511-45F00-KIT"</f>
        <v>64511-45F00-KIT</v>
      </c>
      <c r="D2930" s="1" t="str">
        <f>"64511-45F00-KIT"</f>
        <v>64511-45F00-KIT</v>
      </c>
      <c r="E2930" s="1" t="s">
        <v>17</v>
      </c>
      <c r="F2930" s="1">
        <v>2</v>
      </c>
      <c r="G2930" s="1">
        <v>14299</v>
      </c>
      <c r="H2930" s="1">
        <v>28598</v>
      </c>
      <c r="I2930" s="1">
        <v>0</v>
      </c>
      <c r="J2930" s="1">
        <v>2</v>
      </c>
      <c r="K2930" s="1">
        <v>0</v>
      </c>
    </row>
    <row r="2931" spans="1:11" ht="30" x14ac:dyDescent="0.2">
      <c r="A2931" s="1" t="s">
        <v>2565</v>
      </c>
      <c r="B2931" s="1" t="s">
        <v>2669</v>
      </c>
      <c r="C2931" s="1" t="str">
        <f>"10000091465"</f>
        <v>10000091465</v>
      </c>
      <c r="D2931" s="1" t="str">
        <f>"10000091465"</f>
        <v>10000091465</v>
      </c>
      <c r="E2931" s="1" t="s">
        <v>17</v>
      </c>
      <c r="F2931" s="1">
        <v>3</v>
      </c>
      <c r="G2931" s="1">
        <v>14672.27</v>
      </c>
      <c r="H2931" s="1">
        <v>44017</v>
      </c>
      <c r="I2931" s="1">
        <v>0</v>
      </c>
      <c r="J2931" s="1">
        <v>3</v>
      </c>
      <c r="K2931" s="1">
        <v>0</v>
      </c>
    </row>
    <row r="2932" spans="1:11" ht="30" x14ac:dyDescent="0.2">
      <c r="A2932" s="1" t="s">
        <v>2565</v>
      </c>
      <c r="B2932" s="1" t="s">
        <v>2670</v>
      </c>
      <c r="C2932" s="1" t="str">
        <f>"10000091196"</f>
        <v>10000091196</v>
      </c>
      <c r="D2932" s="1" t="str">
        <f>"10000091196"</f>
        <v>10000091196</v>
      </c>
      <c r="E2932" s="1" t="s">
        <v>17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</row>
    <row r="2933" spans="1:11" x14ac:dyDescent="0.2">
      <c r="A2933" s="1" t="s">
        <v>2565</v>
      </c>
      <c r="B2933" s="1" t="s">
        <v>2671</v>
      </c>
      <c r="C2933" s="1" t="str">
        <f>"66298899038620"</f>
        <v>66298899038620</v>
      </c>
      <c r="D2933" s="1" t="str">
        <f>"45D-F5440-00-KIT"</f>
        <v>45D-F5440-00-KIT</v>
      </c>
      <c r="E2933" s="1" t="s">
        <v>17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</row>
    <row r="2934" spans="1:11" x14ac:dyDescent="0.2">
      <c r="A2934" s="1" t="s">
        <v>2565</v>
      </c>
      <c r="B2934" s="1" t="s">
        <v>2672</v>
      </c>
      <c r="C2934" s="1" t="str">
        <f>"10000071909"</f>
        <v>10000071909</v>
      </c>
      <c r="D2934" s="1" t="str">
        <f>"10000071909"</f>
        <v>10000071909</v>
      </c>
      <c r="E2934" s="1" t="s">
        <v>17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</row>
    <row r="2935" spans="1:11" ht="30" x14ac:dyDescent="0.2">
      <c r="A2935" s="1" t="s">
        <v>2565</v>
      </c>
      <c r="B2935" s="1" t="s">
        <v>2673</v>
      </c>
      <c r="C2935" s="1" t="str">
        <f>"64511-34J10-KITH"</f>
        <v>64511-34J10-KITH</v>
      </c>
      <c r="D2935" s="1" t="str">
        <f>"64511-34J10-KITH"</f>
        <v>64511-34J10-KITH</v>
      </c>
      <c r="E2935" s="1" t="s">
        <v>17</v>
      </c>
      <c r="F2935" s="1">
        <v>2</v>
      </c>
      <c r="G2935" s="1">
        <v>14327</v>
      </c>
      <c r="H2935" s="1">
        <v>28654</v>
      </c>
      <c r="I2935" s="1">
        <v>0</v>
      </c>
      <c r="J2935" s="1">
        <v>2</v>
      </c>
      <c r="K2935" s="1">
        <v>0</v>
      </c>
    </row>
    <row r="2936" spans="1:11" ht="30" x14ac:dyDescent="0.2">
      <c r="A2936" s="1" t="s">
        <v>2565</v>
      </c>
      <c r="B2936" s="1" t="s">
        <v>2673</v>
      </c>
      <c r="C2936" s="1" t="str">
        <f>"10000091387"</f>
        <v>10000091387</v>
      </c>
      <c r="D2936" s="1" t="str">
        <f>"10000091387"</f>
        <v>10000091387</v>
      </c>
      <c r="E2936" s="1" t="s">
        <v>17</v>
      </c>
      <c r="F2936" s="1">
        <v>1</v>
      </c>
      <c r="G2936" s="1">
        <v>15277.31</v>
      </c>
      <c r="H2936" s="1">
        <v>15277</v>
      </c>
      <c r="I2936" s="1">
        <v>0</v>
      </c>
      <c r="J2936" s="1">
        <v>1</v>
      </c>
      <c r="K2936" s="1">
        <v>0</v>
      </c>
    </row>
    <row r="2937" spans="1:11" x14ac:dyDescent="0.2">
      <c r="A2937" s="1" t="s">
        <v>2565</v>
      </c>
      <c r="B2937" s="1" t="s">
        <v>2674</v>
      </c>
      <c r="C2937" s="1" t="str">
        <f>"64511-0534-115-KITH"</f>
        <v>64511-0534-115-KITH</v>
      </c>
      <c r="D2937" s="1" t="str">
        <f>"64511-0534-115-KITH"</f>
        <v>64511-0534-115-KITH</v>
      </c>
      <c r="E2937" s="1" t="s">
        <v>17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</row>
    <row r="2938" spans="1:11" ht="30" x14ac:dyDescent="0.2">
      <c r="A2938" s="1" t="s">
        <v>2565</v>
      </c>
      <c r="B2938" s="1" t="s">
        <v>2675</v>
      </c>
      <c r="C2938" s="1" t="str">
        <f>"64511-05338-KITH"</f>
        <v>64511-05338-KITH</v>
      </c>
      <c r="D2938" s="1" t="str">
        <f>"64511-05338-KITH"</f>
        <v>64511-05338-KITH</v>
      </c>
      <c r="E2938" s="1" t="s">
        <v>17</v>
      </c>
      <c r="F2938" s="1">
        <v>3</v>
      </c>
      <c r="G2938" s="1">
        <v>10004</v>
      </c>
      <c r="H2938" s="1">
        <v>30012</v>
      </c>
      <c r="I2938" s="1">
        <v>0</v>
      </c>
      <c r="J2938" s="1">
        <v>3</v>
      </c>
      <c r="K2938" s="1">
        <v>0</v>
      </c>
    </row>
    <row r="2939" spans="1:11" x14ac:dyDescent="0.2">
      <c r="A2939" s="1" t="s">
        <v>2565</v>
      </c>
      <c r="B2939" s="1" t="s">
        <v>2676</v>
      </c>
      <c r="C2939" s="1" t="str">
        <f>"64511-05310-15-K"</f>
        <v>64511-05310-15-K</v>
      </c>
      <c r="D2939" s="1" t="str">
        <f>"64511-05310-15-K"</f>
        <v>64511-05310-15-K</v>
      </c>
      <c r="E2939" s="1" t="s">
        <v>17</v>
      </c>
      <c r="F2939" s="1">
        <v>2</v>
      </c>
      <c r="G2939" s="1">
        <v>12157</v>
      </c>
      <c r="H2939" s="1">
        <v>24314</v>
      </c>
      <c r="I2939" s="1">
        <v>0</v>
      </c>
      <c r="J2939" s="1">
        <v>2</v>
      </c>
      <c r="K2939" s="1">
        <v>0</v>
      </c>
    </row>
    <row r="2940" spans="1:11" x14ac:dyDescent="0.2">
      <c r="A2940" s="1" t="s">
        <v>2565</v>
      </c>
      <c r="B2940" s="1" t="s">
        <v>2677</v>
      </c>
      <c r="C2940" s="1" t="str">
        <f>"64511-0533-815-KITH"</f>
        <v>64511-0533-815-KITH</v>
      </c>
      <c r="D2940" s="1" t="str">
        <f>"64511-0533-815-KITH"</f>
        <v>64511-0533-815-KITH</v>
      </c>
      <c r="E2940" s="1" t="s">
        <v>17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</row>
    <row r="2941" spans="1:11" x14ac:dyDescent="0.2">
      <c r="A2941" s="1" t="s">
        <v>2565</v>
      </c>
      <c r="B2941" s="1" t="s">
        <v>2678</v>
      </c>
      <c r="C2941" s="1" t="str">
        <f>"64511-05341-KITH"</f>
        <v>64511-05341-KITH</v>
      </c>
      <c r="D2941" s="1" t="str">
        <f>"64511-05341-KITH"</f>
        <v>64511-05341-KITH</v>
      </c>
      <c r="E2941" s="1" t="s">
        <v>17</v>
      </c>
      <c r="F2941" s="1">
        <v>2</v>
      </c>
      <c r="G2941" s="1">
        <v>15289</v>
      </c>
      <c r="H2941" s="1">
        <v>30578</v>
      </c>
      <c r="I2941" s="1">
        <v>0</v>
      </c>
      <c r="J2941" s="1">
        <v>2</v>
      </c>
      <c r="K2941" s="1">
        <v>0</v>
      </c>
    </row>
    <row r="2942" spans="1:11" x14ac:dyDescent="0.2">
      <c r="A2942" s="1" t="s">
        <v>2565</v>
      </c>
      <c r="B2942" s="1" t="s">
        <v>2679</v>
      </c>
      <c r="C2942" s="1" t="str">
        <f>"66298899168962"</f>
        <v>66298899168962</v>
      </c>
      <c r="D2942" s="1" t="str">
        <f>"64511-05310-KIT"</f>
        <v>64511-05310-KIT</v>
      </c>
      <c r="E2942" s="1" t="s">
        <v>17</v>
      </c>
      <c r="F2942" s="1">
        <v>1</v>
      </c>
      <c r="G2942" s="1">
        <v>9580</v>
      </c>
      <c r="H2942" s="1">
        <v>9580</v>
      </c>
      <c r="I2942" s="1">
        <v>0</v>
      </c>
      <c r="J2942" s="1">
        <v>1</v>
      </c>
      <c r="K2942" s="1">
        <v>0</v>
      </c>
    </row>
    <row r="2943" spans="1:11" x14ac:dyDescent="0.2">
      <c r="A2943" s="1" t="s">
        <v>2565</v>
      </c>
      <c r="B2943" s="1" t="s">
        <v>2680</v>
      </c>
      <c r="C2943" s="1" t="str">
        <f>"64511-30H00-KITH"</f>
        <v>64511-30H00-KITH</v>
      </c>
      <c r="D2943" s="1" t="str">
        <f>"64511-30H00-KITH"</f>
        <v>64511-30H00-KITH</v>
      </c>
      <c r="E2943" s="1" t="s">
        <v>17</v>
      </c>
      <c r="F2943" s="1">
        <v>2</v>
      </c>
      <c r="G2943" s="1">
        <v>10178</v>
      </c>
      <c r="H2943" s="1">
        <v>20356</v>
      </c>
      <c r="I2943" s="1">
        <v>0</v>
      </c>
      <c r="J2943" s="1">
        <v>2</v>
      </c>
      <c r="K2943" s="1">
        <v>0</v>
      </c>
    </row>
    <row r="2944" spans="1:11" ht="30" x14ac:dyDescent="0.2">
      <c r="A2944" s="1" t="s">
        <v>2565</v>
      </c>
      <c r="B2944" s="1" t="s">
        <v>2681</v>
      </c>
      <c r="C2944" s="1" t="str">
        <f>"64511-01D04-KITH"</f>
        <v>64511-01D04-KITH</v>
      </c>
      <c r="D2944" s="1" t="str">
        <f>"64511-01D04-KITH"</f>
        <v>64511-01D04-KITH</v>
      </c>
      <c r="E2944" s="1" t="s">
        <v>17</v>
      </c>
      <c r="F2944" s="1">
        <v>3</v>
      </c>
      <c r="G2944" s="1">
        <v>16259</v>
      </c>
      <c r="H2944" s="1">
        <v>48777</v>
      </c>
      <c r="I2944" s="1">
        <v>0</v>
      </c>
      <c r="J2944" s="1">
        <v>3</v>
      </c>
      <c r="K2944" s="1">
        <v>0</v>
      </c>
    </row>
    <row r="2945" spans="1:11" ht="30" x14ac:dyDescent="0.2">
      <c r="A2945" s="1" t="s">
        <v>2565</v>
      </c>
      <c r="B2945" s="1" t="s">
        <v>2682</v>
      </c>
      <c r="C2945" s="1" t="str">
        <f>"64511-48H10-K/OR"</f>
        <v>64511-48H10-K/OR</v>
      </c>
      <c r="D2945" s="1" t="str">
        <f>"64511-48H10-K/OR"</f>
        <v>64511-48H10-K/OR</v>
      </c>
      <c r="E2945" s="1" t="s">
        <v>17</v>
      </c>
      <c r="F2945" s="1">
        <v>3</v>
      </c>
      <c r="G2945" s="1">
        <v>36102</v>
      </c>
      <c r="H2945" s="1">
        <v>108306</v>
      </c>
      <c r="I2945" s="1">
        <v>0</v>
      </c>
      <c r="J2945" s="1">
        <v>3</v>
      </c>
      <c r="K2945" s="1">
        <v>0</v>
      </c>
    </row>
    <row r="2946" spans="1:11" x14ac:dyDescent="0.2">
      <c r="A2946" s="1" t="s">
        <v>2565</v>
      </c>
      <c r="B2946" s="1" t="s">
        <v>2683</v>
      </c>
      <c r="C2946" s="1" t="str">
        <f>"64511-48040-KITJ"</f>
        <v>64511-48040-KITJ</v>
      </c>
      <c r="D2946" s="1" t="str">
        <f>"64511-48040-KITJ"</f>
        <v>64511-48040-KITJ</v>
      </c>
      <c r="E2946" s="1" t="s">
        <v>17</v>
      </c>
      <c r="F2946" s="1">
        <v>3</v>
      </c>
      <c r="G2946" s="1">
        <v>9403</v>
      </c>
      <c r="H2946" s="1">
        <v>28209</v>
      </c>
      <c r="I2946" s="1">
        <v>0</v>
      </c>
      <c r="J2946" s="1">
        <v>3</v>
      </c>
      <c r="K2946" s="1">
        <v>0</v>
      </c>
    </row>
    <row r="2947" spans="1:11" x14ac:dyDescent="0.2">
      <c r="A2947" s="1" t="s">
        <v>2565</v>
      </c>
      <c r="B2947" s="1" t="s">
        <v>2684</v>
      </c>
      <c r="C2947" s="1" t="str">
        <f>"64511-48048-KITH"</f>
        <v>64511-48048-KITH</v>
      </c>
      <c r="D2947" s="1" t="str">
        <f>"64511-48048-KITH"</f>
        <v>64511-48048-KITH</v>
      </c>
      <c r="E2947" s="1" t="s">
        <v>17</v>
      </c>
      <c r="F2947" s="1">
        <v>4</v>
      </c>
      <c r="G2947" s="1">
        <v>11010</v>
      </c>
      <c r="H2947" s="1">
        <v>44040</v>
      </c>
      <c r="I2947" s="1">
        <v>0</v>
      </c>
      <c r="J2947" s="1">
        <v>4</v>
      </c>
      <c r="K2947" s="1">
        <v>0</v>
      </c>
    </row>
    <row r="2948" spans="1:11" x14ac:dyDescent="0.2">
      <c r="A2948" s="1" t="s">
        <v>2565</v>
      </c>
      <c r="B2948" s="1" t="s">
        <v>2685</v>
      </c>
      <c r="C2948" s="1" t="str">
        <f>"10000091505"</f>
        <v>10000091505</v>
      </c>
      <c r="D2948" s="1" t="str">
        <f>"10000091505"</f>
        <v>10000091505</v>
      </c>
      <c r="E2948" s="1" t="s">
        <v>17</v>
      </c>
      <c r="F2948" s="1">
        <v>1</v>
      </c>
      <c r="G2948" s="1">
        <v>13411.76</v>
      </c>
      <c r="H2948" s="1">
        <v>13412</v>
      </c>
      <c r="I2948" s="1">
        <v>0</v>
      </c>
      <c r="J2948" s="1">
        <v>1</v>
      </c>
      <c r="K2948" s="1">
        <v>0</v>
      </c>
    </row>
    <row r="2949" spans="1:11" ht="30" x14ac:dyDescent="0.2">
      <c r="A2949" s="1" t="s">
        <v>2565</v>
      </c>
      <c r="B2949" s="1" t="s">
        <v>2686</v>
      </c>
      <c r="C2949" s="1" t="str">
        <f>"66298899471489"</f>
        <v>66298899471489</v>
      </c>
      <c r="D2949" s="1" t="str">
        <f>"EVO-20400-000KH"</f>
        <v>EVO-20400-000KH</v>
      </c>
      <c r="E2949" s="1" t="s">
        <v>17</v>
      </c>
      <c r="F2949" s="1">
        <v>3</v>
      </c>
      <c r="G2949" s="1">
        <v>13438</v>
      </c>
      <c r="H2949" s="1">
        <v>40314</v>
      </c>
      <c r="I2949" s="1">
        <v>0</v>
      </c>
      <c r="J2949" s="1">
        <v>3</v>
      </c>
      <c r="K2949" s="1">
        <v>0</v>
      </c>
    </row>
    <row r="2950" spans="1:11" x14ac:dyDescent="0.2">
      <c r="A2950" s="1" t="s">
        <v>2565</v>
      </c>
      <c r="B2950" s="1" t="s">
        <v>2687</v>
      </c>
      <c r="C2950" s="1" t="str">
        <f>"66298899512622"</f>
        <v>66298899512622</v>
      </c>
      <c r="D2950" s="1" t="str">
        <f>"SL-20400-000-KIT"</f>
        <v>SL-20400-000-KIT</v>
      </c>
      <c r="E2950" s="1" t="s">
        <v>17</v>
      </c>
      <c r="F2950" s="1">
        <v>3</v>
      </c>
      <c r="G2950" s="1">
        <v>8750</v>
      </c>
      <c r="H2950" s="1">
        <v>26250</v>
      </c>
      <c r="I2950" s="1">
        <v>0</v>
      </c>
      <c r="J2950" s="1">
        <v>3</v>
      </c>
      <c r="K2950" s="1">
        <v>0</v>
      </c>
    </row>
    <row r="2951" spans="1:11" x14ac:dyDescent="0.2">
      <c r="A2951" s="1" t="s">
        <v>2565</v>
      </c>
      <c r="B2951" s="1" t="s">
        <v>2688</v>
      </c>
      <c r="C2951" s="1" t="str">
        <f>"66298899559232"</f>
        <v>66298899559232</v>
      </c>
      <c r="D2951" s="1" t="str">
        <f>"41201-383-1543KI"</f>
        <v>41201-383-1543KI</v>
      </c>
      <c r="E2951" s="1" t="s">
        <v>17</v>
      </c>
      <c r="F2951" s="1">
        <v>4</v>
      </c>
      <c r="G2951" s="1">
        <v>9740</v>
      </c>
      <c r="H2951" s="1">
        <v>38960</v>
      </c>
      <c r="I2951" s="1">
        <v>0</v>
      </c>
      <c r="J2951" s="1">
        <v>4</v>
      </c>
      <c r="K2951" s="1">
        <v>0</v>
      </c>
    </row>
    <row r="2952" spans="1:11" x14ac:dyDescent="0.2">
      <c r="A2952" s="1" t="s">
        <v>2565</v>
      </c>
      <c r="B2952" s="1" t="s">
        <v>2689</v>
      </c>
      <c r="C2952" s="1" t="str">
        <f>"27600H3EY20H000"</f>
        <v>27600H3EY20H000</v>
      </c>
      <c r="D2952" s="1" t="str">
        <f>"27600H3EY20H000"</f>
        <v>27600H3EY20H000</v>
      </c>
      <c r="E2952" s="1" t="s">
        <v>17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</row>
    <row r="2953" spans="1:11" x14ac:dyDescent="0.2">
      <c r="A2953" s="1" t="s">
        <v>2565</v>
      </c>
      <c r="B2953" s="1" t="s">
        <v>2690</v>
      </c>
      <c r="C2953" s="1" t="str">
        <f>"64511-05310-15-KITH"</f>
        <v>64511-05310-15-KITH</v>
      </c>
      <c r="D2953" s="1" t="str">
        <f>"64511-05310-15-KITH"</f>
        <v>64511-05310-15-KITH</v>
      </c>
      <c r="E2953" s="1" t="s">
        <v>17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</row>
    <row r="2954" spans="1:11" ht="30" x14ac:dyDescent="0.2">
      <c r="A2954" s="1" t="s">
        <v>2565</v>
      </c>
      <c r="B2954" s="1" t="s">
        <v>2691</v>
      </c>
      <c r="C2954" s="1" t="str">
        <f>"SM-20400-000-KIT"</f>
        <v>SM-20400-000-KIT</v>
      </c>
      <c r="D2954" s="1" t="str">
        <f>"SM-20400-000-KIT"</f>
        <v>SM-20400-000-KIT</v>
      </c>
      <c r="E2954" s="1" t="s">
        <v>17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</row>
    <row r="2955" spans="1:11" ht="30" x14ac:dyDescent="0.2">
      <c r="A2955" s="1" t="s">
        <v>2565</v>
      </c>
      <c r="B2955" s="1" t="s">
        <v>2692</v>
      </c>
      <c r="C2955" s="1" t="str">
        <f>"66298899602557"</f>
        <v>66298899602557</v>
      </c>
      <c r="D2955" s="1" t="str">
        <f>"XN-20400-999-KIT"</f>
        <v>XN-20400-999-KIT</v>
      </c>
      <c r="E2955" s="1" t="s">
        <v>17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</row>
    <row r="2956" spans="1:11" x14ac:dyDescent="0.2">
      <c r="A2956" s="1" t="s">
        <v>2565</v>
      </c>
      <c r="B2956" s="1" t="s">
        <v>2693</v>
      </c>
      <c r="C2956" s="1" t="str">
        <f>"XN-20400-0015-KITH"</f>
        <v>XN-20400-0015-KITH</v>
      </c>
      <c r="D2956" s="1" t="str">
        <f>"XN-20400-0015-KITH"</f>
        <v>XN-20400-0015-KITH</v>
      </c>
      <c r="E2956" s="1" t="s">
        <v>17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</row>
    <row r="2957" spans="1:11" ht="30" x14ac:dyDescent="0.2">
      <c r="A2957" s="1" t="s">
        <v>2565</v>
      </c>
      <c r="B2957" s="1" t="s">
        <v>2694</v>
      </c>
      <c r="C2957" s="1" t="str">
        <f>"12295"</f>
        <v>12295</v>
      </c>
      <c r="D2957" s="1" t="str">
        <f>"12295"</f>
        <v>12295</v>
      </c>
      <c r="E2957" s="1" t="s">
        <v>17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</row>
    <row r="2958" spans="1:11" x14ac:dyDescent="0.2">
      <c r="A2958" s="1" t="s">
        <v>2565</v>
      </c>
      <c r="B2958" s="1" t="s">
        <v>2695</v>
      </c>
      <c r="C2958" s="1" t="str">
        <f>"66298899684026"</f>
        <v>66298899684026</v>
      </c>
      <c r="D2958" s="1" t="str">
        <f>"50002058-KITH"</f>
        <v>50002058-KITH</v>
      </c>
      <c r="E2958" s="1" t="s">
        <v>17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</row>
    <row r="2959" spans="1:11" x14ac:dyDescent="0.2">
      <c r="A2959" s="1" t="s">
        <v>2565</v>
      </c>
      <c r="B2959" s="1" t="s">
        <v>2695</v>
      </c>
      <c r="C2959" s="1" t="str">
        <f>"10000091471"</f>
        <v>10000091471</v>
      </c>
      <c r="D2959" s="1" t="str">
        <f>"10000091471"</f>
        <v>10000091471</v>
      </c>
      <c r="E2959" s="1" t="s">
        <v>17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</row>
    <row r="2960" spans="1:11" x14ac:dyDescent="0.2">
      <c r="A2960" s="1" t="s">
        <v>2565</v>
      </c>
      <c r="B2960" s="1" t="s">
        <v>2696</v>
      </c>
      <c r="C2960" s="1" t="str">
        <f>"41201-383-0040-K"</f>
        <v>41201-383-0040-K</v>
      </c>
      <c r="D2960" s="1" t="str">
        <f>"41201-383-0040-K"</f>
        <v>41201-383-0040-K</v>
      </c>
      <c r="E2960" s="1" t="s">
        <v>17</v>
      </c>
      <c r="F2960" s="1">
        <v>1</v>
      </c>
      <c r="G2960" s="1">
        <v>8998</v>
      </c>
      <c r="H2960" s="1">
        <v>8998</v>
      </c>
      <c r="I2960" s="1">
        <v>0</v>
      </c>
      <c r="J2960" s="1">
        <v>1</v>
      </c>
      <c r="K2960" s="1">
        <v>0</v>
      </c>
    </row>
    <row r="2961" spans="1:11" ht="30" x14ac:dyDescent="0.2">
      <c r="A2961" s="1" t="s">
        <v>2565</v>
      </c>
      <c r="B2961" s="1" t="s">
        <v>2697</v>
      </c>
      <c r="C2961" s="1" t="str">
        <f>"41201-KVE-915KIT"</f>
        <v>41201-KVE-915KIT</v>
      </c>
      <c r="D2961" s="1" t="str">
        <f>"41201-KVE-915KIT"</f>
        <v>41201-KVE-915KIT</v>
      </c>
      <c r="E2961" s="1" t="s">
        <v>17</v>
      </c>
      <c r="F2961" s="1">
        <v>3</v>
      </c>
      <c r="G2961" s="1">
        <v>7972</v>
      </c>
      <c r="H2961" s="1">
        <v>23916</v>
      </c>
      <c r="I2961" s="1">
        <v>0</v>
      </c>
      <c r="J2961" s="1">
        <v>3</v>
      </c>
      <c r="K2961" s="1">
        <v>0</v>
      </c>
    </row>
    <row r="2962" spans="1:11" x14ac:dyDescent="0.2">
      <c r="A2962" s="1" t="s">
        <v>2565</v>
      </c>
      <c r="B2962" s="1" t="s">
        <v>2698</v>
      </c>
      <c r="C2962" s="1" t="str">
        <f>"27600H40Y00H000"</f>
        <v>27600H40Y00H000</v>
      </c>
      <c r="D2962" s="1" t="str">
        <f>"27600H40Y00H000"</f>
        <v>27600H40Y00H000</v>
      </c>
      <c r="E2962" s="1" t="s">
        <v>17</v>
      </c>
      <c r="F2962" s="1">
        <v>3</v>
      </c>
      <c r="G2962" s="1">
        <v>37500.03</v>
      </c>
      <c r="H2962" s="1">
        <v>112500</v>
      </c>
      <c r="I2962" s="1">
        <v>0</v>
      </c>
      <c r="J2962" s="1">
        <v>3</v>
      </c>
      <c r="K2962" s="1">
        <v>0</v>
      </c>
    </row>
    <row r="2963" spans="1:11" ht="30" x14ac:dyDescent="0.2">
      <c r="A2963" s="1" t="s">
        <v>2565</v>
      </c>
      <c r="B2963" s="1" t="s">
        <v>2699</v>
      </c>
      <c r="C2963" s="1" t="str">
        <f>"10000071848"</f>
        <v>10000071848</v>
      </c>
      <c r="D2963" s="1" t="str">
        <f>"10000071848"</f>
        <v>10000071848</v>
      </c>
      <c r="E2963" s="1" t="s">
        <v>17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</row>
    <row r="2964" spans="1:11" ht="30" x14ac:dyDescent="0.2">
      <c r="A2964" s="1" t="s">
        <v>2565</v>
      </c>
      <c r="B2964" s="1" t="s">
        <v>2700</v>
      </c>
      <c r="C2964" s="1" t="str">
        <f>"41201-KSM-900-KITH"</f>
        <v>41201-KSM-900-KITH</v>
      </c>
      <c r="D2964" s="1" t="str">
        <f>"41201-KSM-900-KITH"</f>
        <v>41201-KSM-900-KITH</v>
      </c>
      <c r="E2964" s="1" t="s">
        <v>17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</row>
    <row r="2965" spans="1:11" ht="30" x14ac:dyDescent="0.2">
      <c r="A2965" s="1" t="s">
        <v>2565</v>
      </c>
      <c r="B2965" s="1" t="s">
        <v>2701</v>
      </c>
      <c r="C2965" s="1" t="str">
        <f>"64511-05310-16-KITH"</f>
        <v>64511-05310-16-KITH</v>
      </c>
      <c r="D2965" s="1" t="str">
        <f>"64511-05310-16-KITH"</f>
        <v>64511-05310-16-KITH</v>
      </c>
      <c r="E2965" s="1" t="s">
        <v>17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</row>
    <row r="2966" spans="1:11" ht="30" x14ac:dyDescent="0.2">
      <c r="A2966" s="1" t="s">
        <v>2565</v>
      </c>
      <c r="B2966" s="1" t="s">
        <v>2702</v>
      </c>
      <c r="C2966" s="1" t="str">
        <f>"66298899806225"</f>
        <v>66298899806225</v>
      </c>
      <c r="D2966" s="1" t="str">
        <f>"36-JE00-07-KITH"</f>
        <v>36-JE00-07-KITH</v>
      </c>
      <c r="E2966" s="1" t="s">
        <v>17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</row>
    <row r="2967" spans="1:11" x14ac:dyDescent="0.2">
      <c r="A2967" s="1" t="s">
        <v>2565</v>
      </c>
      <c r="B2967" s="1" t="s">
        <v>2703</v>
      </c>
      <c r="C2967" s="1" t="str">
        <f>"10000091501"</f>
        <v>10000091501</v>
      </c>
      <c r="D2967" s="1" t="str">
        <f>"10000091501"</f>
        <v>10000091501</v>
      </c>
      <c r="E2967" s="1" t="s">
        <v>17</v>
      </c>
      <c r="F2967" s="1">
        <v>2</v>
      </c>
      <c r="G2967" s="1">
        <v>15176.47</v>
      </c>
      <c r="H2967" s="1">
        <v>30353</v>
      </c>
      <c r="I2967" s="1">
        <v>0</v>
      </c>
      <c r="J2967" s="1">
        <v>2</v>
      </c>
      <c r="K2967" s="1">
        <v>0</v>
      </c>
    </row>
    <row r="2968" spans="1:11" x14ac:dyDescent="0.2">
      <c r="A2968" s="1" t="s">
        <v>2565</v>
      </c>
      <c r="B2968" s="1" t="s">
        <v>2704</v>
      </c>
      <c r="C2968" s="1" t="str">
        <f>"10000091396"</f>
        <v>10000091396</v>
      </c>
      <c r="D2968" s="1" t="str">
        <f>"10000091396"</f>
        <v>10000091396</v>
      </c>
      <c r="E2968" s="1" t="s">
        <v>17</v>
      </c>
      <c r="F2968" s="1">
        <v>1</v>
      </c>
      <c r="G2968" s="1">
        <v>17705.88</v>
      </c>
      <c r="H2968" s="1">
        <v>17706</v>
      </c>
      <c r="I2968" s="1">
        <v>0</v>
      </c>
      <c r="J2968" s="1">
        <v>1</v>
      </c>
      <c r="K2968" s="1">
        <v>0</v>
      </c>
    </row>
    <row r="2969" spans="1:11" ht="30" x14ac:dyDescent="0.2">
      <c r="A2969" s="1" t="s">
        <v>2565</v>
      </c>
      <c r="B2969" s="1" t="s">
        <v>2705</v>
      </c>
      <c r="C2969" s="1" t="str">
        <f>"36-JF00-06-KITH"</f>
        <v>36-JF00-06-KITH</v>
      </c>
      <c r="D2969" s="1" t="str">
        <f>"36-JF00-06-KITH"</f>
        <v>36-JF00-06-KITH</v>
      </c>
      <c r="E2969" s="1" t="s">
        <v>17</v>
      </c>
      <c r="F2969" s="1">
        <v>1</v>
      </c>
      <c r="G2969" s="1">
        <v>17198</v>
      </c>
      <c r="H2969" s="1">
        <v>17198</v>
      </c>
      <c r="I2969" s="1">
        <v>0</v>
      </c>
      <c r="J2969" s="1">
        <v>1</v>
      </c>
      <c r="K2969" s="1">
        <v>0</v>
      </c>
    </row>
    <row r="2970" spans="1:11" x14ac:dyDescent="0.2">
      <c r="A2970" s="1" t="s">
        <v>2565</v>
      </c>
      <c r="B2970" s="1" t="s">
        <v>2706</v>
      </c>
      <c r="C2970" s="1" t="str">
        <f>"66298899849666"</f>
        <v>66298899849666</v>
      </c>
      <c r="D2970" s="1" t="str">
        <f>"36-DK00-36-KITH"</f>
        <v>36-DK00-36-KITH</v>
      </c>
      <c r="E2970" s="1" t="s">
        <v>17</v>
      </c>
      <c r="F2970" s="1">
        <v>4</v>
      </c>
      <c r="G2970" s="1">
        <v>15737</v>
      </c>
      <c r="H2970" s="1">
        <v>62948</v>
      </c>
      <c r="I2970" s="1">
        <v>0</v>
      </c>
      <c r="J2970" s="1">
        <v>4</v>
      </c>
      <c r="K2970" s="1">
        <v>0</v>
      </c>
    </row>
    <row r="2971" spans="1:11" x14ac:dyDescent="0.2">
      <c r="A2971" s="1" t="s">
        <v>2565</v>
      </c>
      <c r="B2971" s="1" t="s">
        <v>2706</v>
      </c>
      <c r="C2971" s="1" t="str">
        <f>"66298899855346"</f>
        <v>66298899855346</v>
      </c>
      <c r="D2971" s="1" t="str">
        <f>"DX-1510-23-KITH"</f>
        <v>DX-1510-23-KITH</v>
      </c>
      <c r="E2971" s="1" t="s">
        <v>17</v>
      </c>
      <c r="F2971" s="1">
        <v>4</v>
      </c>
      <c r="G2971" s="1">
        <v>9812</v>
      </c>
      <c r="H2971" s="1">
        <v>39248</v>
      </c>
      <c r="I2971" s="1">
        <v>0</v>
      </c>
      <c r="J2971" s="1">
        <v>4</v>
      </c>
      <c r="K2971" s="1">
        <v>0</v>
      </c>
    </row>
    <row r="2972" spans="1:11" ht="30" x14ac:dyDescent="0.2">
      <c r="A2972" s="1" t="s">
        <v>2565</v>
      </c>
      <c r="B2972" s="1" t="s">
        <v>2707</v>
      </c>
      <c r="C2972" s="1" t="str">
        <f>"66298899909046"</f>
        <v>66298899909046</v>
      </c>
      <c r="D2972" s="1" t="str">
        <f>"DJ-1510-18-KITH"</f>
        <v>DJ-1510-18-KITH</v>
      </c>
      <c r="E2972" s="1" t="s">
        <v>17</v>
      </c>
      <c r="F2972" s="1">
        <v>3</v>
      </c>
      <c r="G2972" s="1">
        <v>11749</v>
      </c>
      <c r="H2972" s="1">
        <v>35247</v>
      </c>
      <c r="I2972" s="1">
        <v>0</v>
      </c>
      <c r="J2972" s="1">
        <v>3</v>
      </c>
      <c r="K2972" s="1">
        <v>0</v>
      </c>
    </row>
    <row r="2973" spans="1:11" x14ac:dyDescent="0.2">
      <c r="A2973" s="1" t="s">
        <v>2565</v>
      </c>
      <c r="B2973" s="1" t="s">
        <v>2708</v>
      </c>
      <c r="C2973" s="1" t="str">
        <f>"10000091391"</f>
        <v>10000091391</v>
      </c>
      <c r="D2973" s="1" t="str">
        <f>"10000091391"</f>
        <v>10000091391</v>
      </c>
      <c r="E2973" s="1" t="s">
        <v>17</v>
      </c>
      <c r="F2973" s="1">
        <v>1</v>
      </c>
      <c r="G2973" s="1">
        <v>26873.95</v>
      </c>
      <c r="H2973" s="1">
        <v>26874</v>
      </c>
      <c r="I2973" s="1">
        <v>0</v>
      </c>
      <c r="J2973" s="1">
        <v>1</v>
      </c>
      <c r="K2973" s="1">
        <v>0</v>
      </c>
    </row>
    <row r="2974" spans="1:11" x14ac:dyDescent="0.2">
      <c r="A2974" s="1" t="s">
        <v>2565</v>
      </c>
      <c r="B2974" s="1" t="s">
        <v>2709</v>
      </c>
      <c r="C2974" s="1" t="str">
        <f>"66298899948017"</f>
        <v>66298899948017</v>
      </c>
      <c r="D2974" s="1" t="str">
        <f>"36-DK00-40-KITH"</f>
        <v>36-DK00-40-KITH</v>
      </c>
      <c r="E2974" s="1" t="s">
        <v>17</v>
      </c>
      <c r="F2974" s="1">
        <v>2</v>
      </c>
      <c r="G2974" s="1">
        <v>17327</v>
      </c>
      <c r="H2974" s="1">
        <v>34654</v>
      </c>
      <c r="I2974" s="1">
        <v>0</v>
      </c>
      <c r="J2974" s="1">
        <v>2</v>
      </c>
      <c r="K2974" s="1">
        <v>0</v>
      </c>
    </row>
    <row r="2975" spans="1:11" x14ac:dyDescent="0.2">
      <c r="A2975" s="1" t="s">
        <v>2565</v>
      </c>
      <c r="B2975" s="1" t="s">
        <v>2710</v>
      </c>
      <c r="C2975" s="1" t="str">
        <f>"10000091381"</f>
        <v>10000091381</v>
      </c>
      <c r="D2975" s="1" t="str">
        <f>"10000091381"</f>
        <v>10000091381</v>
      </c>
      <c r="E2975" s="1" t="s">
        <v>17</v>
      </c>
      <c r="F2975" s="1">
        <v>2</v>
      </c>
      <c r="G2975" s="1">
        <v>10033.61</v>
      </c>
      <c r="H2975" s="1">
        <v>20067</v>
      </c>
      <c r="I2975" s="1">
        <v>0</v>
      </c>
      <c r="J2975" s="1">
        <v>2</v>
      </c>
      <c r="K2975" s="1">
        <v>0</v>
      </c>
    </row>
    <row r="2976" spans="1:11" ht="30" x14ac:dyDescent="0.2">
      <c r="A2976" s="1" t="s">
        <v>2565</v>
      </c>
      <c r="B2976" s="1" t="s">
        <v>2711</v>
      </c>
      <c r="C2976" s="1" t="str">
        <f>"64511-05310-0016-KITH"</f>
        <v>64511-05310-0016-KITH</v>
      </c>
      <c r="D2976" s="1" t="str">
        <f>"64511-05310-0016-KITH"</f>
        <v>64511-05310-0016-KITH</v>
      </c>
      <c r="E2976" s="1" t="s">
        <v>17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</row>
    <row r="2977" spans="1:11" x14ac:dyDescent="0.2">
      <c r="A2977" s="1" t="s">
        <v>2565</v>
      </c>
      <c r="B2977" s="1" t="s">
        <v>2712</v>
      </c>
      <c r="C2977" s="1" t="str">
        <f>"66298899990620"</f>
        <v>66298899990620</v>
      </c>
      <c r="D2977" s="1" t="str">
        <f>"41201-KVC-915KIT"</f>
        <v>41201-KVC-915KIT</v>
      </c>
      <c r="E2977" s="1" t="s">
        <v>17</v>
      </c>
      <c r="F2977" s="1">
        <v>2</v>
      </c>
      <c r="G2977" s="1">
        <v>9972</v>
      </c>
      <c r="H2977" s="1">
        <v>19944</v>
      </c>
      <c r="I2977" s="1">
        <v>0</v>
      </c>
      <c r="J2977" s="1">
        <v>2</v>
      </c>
      <c r="K2977" s="1">
        <v>0</v>
      </c>
    </row>
    <row r="2978" spans="1:11" x14ac:dyDescent="0.2">
      <c r="A2978" s="1" t="s">
        <v>2565</v>
      </c>
      <c r="B2978" s="1" t="s">
        <v>2712</v>
      </c>
      <c r="C2978" s="1" t="str">
        <f>"66298899996424"</f>
        <v>66298899996424</v>
      </c>
      <c r="D2978" s="1" t="str">
        <f>"41201-KVC-900KIT"</f>
        <v>41201-KVC-900KIT</v>
      </c>
      <c r="E2978" s="1" t="s">
        <v>17</v>
      </c>
      <c r="F2978" s="1">
        <v>1</v>
      </c>
      <c r="G2978" s="1">
        <v>9441</v>
      </c>
      <c r="H2978" s="1">
        <v>9441</v>
      </c>
      <c r="I2978" s="1">
        <v>0</v>
      </c>
      <c r="J2978" s="1">
        <v>1</v>
      </c>
      <c r="K2978" s="1">
        <v>0</v>
      </c>
    </row>
    <row r="2979" spans="1:11" x14ac:dyDescent="0.2">
      <c r="A2979" s="1" t="s">
        <v>2565</v>
      </c>
      <c r="B2979" s="1" t="s">
        <v>2713</v>
      </c>
      <c r="C2979" s="1" t="str">
        <f>"66298900050635"</f>
        <v>66298900050635</v>
      </c>
      <c r="D2979" s="1" t="str">
        <f>"5GE-F5437-00-KIT"</f>
        <v>5GE-F5437-00-KIT</v>
      </c>
      <c r="E2979" s="1" t="s">
        <v>17</v>
      </c>
      <c r="F2979" s="1">
        <v>2</v>
      </c>
      <c r="G2979" s="1">
        <v>6889</v>
      </c>
      <c r="H2979" s="1">
        <v>13778</v>
      </c>
      <c r="I2979" s="1">
        <v>0</v>
      </c>
      <c r="J2979" s="1">
        <v>2</v>
      </c>
      <c r="K2979" s="1">
        <v>0</v>
      </c>
    </row>
    <row r="2980" spans="1:11" ht="30" x14ac:dyDescent="0.2">
      <c r="A2980" s="1" t="s">
        <v>2565</v>
      </c>
      <c r="B2980" s="1" t="s">
        <v>2714</v>
      </c>
      <c r="C2980" s="1" t="str">
        <f>"N9111560-KITH"</f>
        <v>N9111560-KITH</v>
      </c>
      <c r="D2980" s="1" t="str">
        <f>"N9111560-KITH"</f>
        <v>N9111560-KITH</v>
      </c>
      <c r="E2980" s="1" t="s">
        <v>17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</row>
    <row r="2981" spans="1:11" ht="30" x14ac:dyDescent="0.2">
      <c r="A2981" s="1" t="s">
        <v>2565</v>
      </c>
      <c r="B2981" s="1" t="s">
        <v>2715</v>
      </c>
      <c r="C2981" s="1" t="str">
        <f>"N8323690-KIT"</f>
        <v>N8323690-KIT</v>
      </c>
      <c r="D2981" s="1" t="str">
        <f>"N8323690-KIT"</f>
        <v>N8323690-KIT</v>
      </c>
      <c r="E2981" s="1" t="s">
        <v>17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</row>
    <row r="2982" spans="1:11" x14ac:dyDescent="0.2">
      <c r="A2982" s="1" t="s">
        <v>2565</v>
      </c>
      <c r="B2982" s="1" t="s">
        <v>2716</v>
      </c>
      <c r="C2982" s="1" t="str">
        <f>"66298900091241"</f>
        <v>66298900091241</v>
      </c>
      <c r="D2982" s="1" t="str">
        <f>"TX-20400-000-KIT"</f>
        <v>TX-20400-000-KIT</v>
      </c>
      <c r="E2982" s="1" t="s">
        <v>17</v>
      </c>
      <c r="F2982" s="1">
        <v>2</v>
      </c>
      <c r="G2982" s="1">
        <v>11890</v>
      </c>
      <c r="H2982" s="1">
        <v>23780</v>
      </c>
      <c r="I2982" s="1">
        <v>0</v>
      </c>
      <c r="J2982" s="1">
        <v>2</v>
      </c>
      <c r="K2982" s="1">
        <v>0</v>
      </c>
    </row>
    <row r="2983" spans="1:11" x14ac:dyDescent="0.2">
      <c r="A2983" s="1" t="s">
        <v>2565</v>
      </c>
      <c r="B2983" s="1" t="s">
        <v>2717</v>
      </c>
      <c r="C2983" s="1" t="str">
        <f>"66298900132692"</f>
        <v>66298900132692</v>
      </c>
      <c r="D2983" s="1" t="str">
        <f>"TX-20400-017-KIT"</f>
        <v>TX-20400-017-KIT</v>
      </c>
      <c r="E2983" s="1" t="s">
        <v>17</v>
      </c>
      <c r="F2983" s="1">
        <v>3</v>
      </c>
      <c r="G2983" s="1">
        <v>16790</v>
      </c>
      <c r="H2983" s="1">
        <v>50370</v>
      </c>
      <c r="I2983" s="1">
        <v>0</v>
      </c>
      <c r="J2983" s="1">
        <v>3</v>
      </c>
      <c r="K2983" s="1">
        <v>0</v>
      </c>
    </row>
    <row r="2984" spans="1:11" ht="30" x14ac:dyDescent="0.2">
      <c r="A2984" s="1" t="s">
        <v>2565</v>
      </c>
      <c r="B2984" s="1" t="s">
        <v>2718</v>
      </c>
      <c r="C2984" s="1" t="str">
        <f>"41200-K43-900-KITH"</f>
        <v>41200-K43-900-KITH</v>
      </c>
      <c r="D2984" s="1" t="str">
        <f>"41200-K43-900-KITH"</f>
        <v>41200-K43-900-KITH</v>
      </c>
      <c r="E2984" s="1" t="s">
        <v>17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</row>
    <row r="2985" spans="1:11" x14ac:dyDescent="0.2">
      <c r="A2985" s="1" t="s">
        <v>2565</v>
      </c>
      <c r="B2985" s="1" t="s">
        <v>2719</v>
      </c>
      <c r="C2985" s="1" t="str">
        <f>"66298900176462"</f>
        <v>66298900176462</v>
      </c>
      <c r="D2985" s="1" t="str">
        <f>"41200-437-670KIT"</f>
        <v>41200-437-670KIT</v>
      </c>
      <c r="E2985" s="1" t="s">
        <v>17</v>
      </c>
      <c r="F2985" s="1">
        <v>3</v>
      </c>
      <c r="G2985" s="1">
        <v>13400</v>
      </c>
      <c r="H2985" s="1">
        <v>40200</v>
      </c>
      <c r="I2985" s="1">
        <v>0</v>
      </c>
      <c r="J2985" s="1">
        <v>3</v>
      </c>
      <c r="K2985" s="1">
        <v>0</v>
      </c>
    </row>
    <row r="2986" spans="1:11" x14ac:dyDescent="0.2">
      <c r="A2986" s="1" t="s">
        <v>2565</v>
      </c>
      <c r="B2986" s="1" t="s">
        <v>2720</v>
      </c>
      <c r="C2986" s="1" t="str">
        <f>"66298900221936"</f>
        <v>66298900221936</v>
      </c>
      <c r="D2986" s="1" t="str">
        <f>"41200-427-670-KI"</f>
        <v>41200-427-670-KI</v>
      </c>
      <c r="E2986" s="1" t="s">
        <v>17</v>
      </c>
      <c r="F2986" s="1">
        <v>3</v>
      </c>
      <c r="G2986" s="1">
        <v>12236</v>
      </c>
      <c r="H2986" s="1">
        <v>36708</v>
      </c>
      <c r="I2986" s="1">
        <v>0</v>
      </c>
      <c r="J2986" s="1">
        <v>3</v>
      </c>
      <c r="K2986" s="1">
        <v>0</v>
      </c>
    </row>
    <row r="2987" spans="1:11" x14ac:dyDescent="0.2">
      <c r="A2987" s="1" t="s">
        <v>2565</v>
      </c>
      <c r="B2987" s="1" t="s">
        <v>2721</v>
      </c>
      <c r="C2987" s="1" t="str">
        <f>"66298900261145"</f>
        <v>66298900261145</v>
      </c>
      <c r="D2987" s="1" t="str">
        <f>"41200-KFC-900KIT"</f>
        <v>41200-KFC-900KIT</v>
      </c>
      <c r="E2987" s="1" t="s">
        <v>17</v>
      </c>
      <c r="F2987" s="1">
        <v>3</v>
      </c>
      <c r="G2987" s="1">
        <v>12385</v>
      </c>
      <c r="H2987" s="1">
        <v>37155</v>
      </c>
      <c r="I2987" s="1">
        <v>0</v>
      </c>
      <c r="J2987" s="1">
        <v>3</v>
      </c>
      <c r="K2987" s="1">
        <v>0</v>
      </c>
    </row>
    <row r="2988" spans="1:11" x14ac:dyDescent="0.2">
      <c r="A2988" s="1" t="s">
        <v>2565</v>
      </c>
      <c r="B2988" s="1" t="s">
        <v>2722</v>
      </c>
      <c r="C2988" s="1" t="str">
        <f>"10000091175"</f>
        <v>10000091175</v>
      </c>
      <c r="D2988" s="1" t="str">
        <f>"10000091175"</f>
        <v>10000091175</v>
      </c>
      <c r="E2988" s="1" t="s">
        <v>17</v>
      </c>
      <c r="F2988" s="1">
        <v>3</v>
      </c>
      <c r="G2988" s="1">
        <v>16084.03</v>
      </c>
      <c r="H2988" s="1">
        <v>48252</v>
      </c>
      <c r="I2988" s="1">
        <v>0</v>
      </c>
      <c r="J2988" s="1">
        <v>3</v>
      </c>
      <c r="K2988" s="1">
        <v>0</v>
      </c>
    </row>
    <row r="2989" spans="1:11" x14ac:dyDescent="0.2">
      <c r="A2989" s="1" t="s">
        <v>2565</v>
      </c>
      <c r="B2989" s="1" t="s">
        <v>2723</v>
      </c>
      <c r="C2989" s="1" t="str">
        <f>"66298900307202"</f>
        <v>66298900307202</v>
      </c>
      <c r="D2989" s="1" t="str">
        <f>"41200-KBB-900KIT"</f>
        <v>41200-KBB-900KIT</v>
      </c>
      <c r="E2989" s="1" t="s">
        <v>17</v>
      </c>
      <c r="F2989" s="1">
        <v>2</v>
      </c>
      <c r="G2989" s="1">
        <v>14383</v>
      </c>
      <c r="H2989" s="1">
        <v>28766</v>
      </c>
      <c r="I2989" s="1">
        <v>0</v>
      </c>
      <c r="J2989" s="1">
        <v>2</v>
      </c>
      <c r="K2989" s="1">
        <v>0</v>
      </c>
    </row>
    <row r="2990" spans="1:11" x14ac:dyDescent="0.2">
      <c r="A2990" s="1" t="s">
        <v>2565</v>
      </c>
      <c r="B2990" s="1" t="s">
        <v>2724</v>
      </c>
      <c r="C2990" s="1" t="str">
        <f>"66298900691637"</f>
        <v>66298900691637</v>
      </c>
      <c r="D2990" s="1" t="str">
        <f>"41201-KPE-900KIT"</f>
        <v>41201-KPE-900KIT</v>
      </c>
      <c r="E2990" s="1" t="s">
        <v>17</v>
      </c>
      <c r="F2990" s="1">
        <v>2</v>
      </c>
      <c r="G2990" s="1">
        <v>14663</v>
      </c>
      <c r="H2990" s="1">
        <v>29326</v>
      </c>
      <c r="I2990" s="1">
        <v>0</v>
      </c>
      <c r="J2990" s="1">
        <v>2</v>
      </c>
      <c r="K2990" s="1">
        <v>0</v>
      </c>
    </row>
    <row r="2991" spans="1:11" x14ac:dyDescent="0.2">
      <c r="A2991" s="1" t="s">
        <v>2565</v>
      </c>
      <c r="B2991" s="1" t="s">
        <v>2725</v>
      </c>
      <c r="C2991" s="1" t="str">
        <f>"10000091051"</f>
        <v>10000091051</v>
      </c>
      <c r="D2991" s="1" t="str">
        <f>"10000091051"</f>
        <v>10000091051</v>
      </c>
      <c r="E2991" s="1" t="s">
        <v>17</v>
      </c>
      <c r="F2991" s="1">
        <v>1</v>
      </c>
      <c r="G2991" s="1">
        <v>24907.56</v>
      </c>
      <c r="H2991" s="1">
        <v>24908</v>
      </c>
      <c r="I2991" s="1">
        <v>0</v>
      </c>
      <c r="J2991" s="1">
        <v>1</v>
      </c>
      <c r="K2991" s="1">
        <v>0</v>
      </c>
    </row>
    <row r="2992" spans="1:11" x14ac:dyDescent="0.2">
      <c r="A2992" s="1" t="s">
        <v>2565</v>
      </c>
      <c r="B2992" s="1" t="s">
        <v>2726</v>
      </c>
      <c r="C2992" s="1" t="str">
        <f>"66298900729332"</f>
        <v>66298900729332</v>
      </c>
      <c r="D2992" s="1" t="str">
        <f>"4VW-F5445-11-KIT"</f>
        <v>4VW-F5445-11-KIT</v>
      </c>
      <c r="E2992" s="1" t="s">
        <v>17</v>
      </c>
      <c r="F2992" s="1">
        <v>3</v>
      </c>
      <c r="G2992" s="1">
        <v>10634</v>
      </c>
      <c r="H2992" s="1">
        <v>31902</v>
      </c>
      <c r="I2992" s="1">
        <v>0</v>
      </c>
      <c r="J2992" s="1">
        <v>3</v>
      </c>
      <c r="K2992" s="1">
        <v>0</v>
      </c>
    </row>
    <row r="2993" spans="1:11" x14ac:dyDescent="0.2">
      <c r="A2993" s="1" t="s">
        <v>2565</v>
      </c>
      <c r="B2993" s="1" t="s">
        <v>2727</v>
      </c>
      <c r="C2993" s="1" t="str">
        <f>"3B2-F5450-20-KITH"</f>
        <v>3B2-F5450-20-KITH</v>
      </c>
      <c r="D2993" s="1" t="str">
        <f>"3B2-F5450-20-KITH"</f>
        <v>3B2-F5450-20-KITH</v>
      </c>
      <c r="E2993" s="1" t="s">
        <v>17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</row>
    <row r="2994" spans="1:11" x14ac:dyDescent="0.2">
      <c r="A2994" s="1" t="s">
        <v>2565</v>
      </c>
      <c r="B2994" s="1" t="s">
        <v>2727</v>
      </c>
      <c r="C2994" s="1" t="str">
        <f>"12307"</f>
        <v>12307</v>
      </c>
      <c r="D2994" s="1" t="str">
        <f>"12307"</f>
        <v>12307</v>
      </c>
      <c r="E2994" s="1" t="s">
        <v>17</v>
      </c>
      <c r="F2994" s="1">
        <v>1</v>
      </c>
      <c r="G2994" s="1">
        <v>14364.71</v>
      </c>
      <c r="H2994" s="1">
        <v>14365</v>
      </c>
      <c r="I2994" s="1">
        <v>0</v>
      </c>
      <c r="J2994" s="1">
        <v>1</v>
      </c>
      <c r="K2994" s="1">
        <v>0</v>
      </c>
    </row>
    <row r="2995" spans="1:11" x14ac:dyDescent="0.2">
      <c r="A2995" s="1" t="s">
        <v>2565</v>
      </c>
      <c r="B2995" s="1" t="s">
        <v>2728</v>
      </c>
      <c r="C2995" s="1" t="str">
        <f>"12297"</f>
        <v>12297</v>
      </c>
      <c r="D2995" s="1" t="str">
        <f>"12297"</f>
        <v>12297</v>
      </c>
      <c r="E2995" s="1" t="s">
        <v>17</v>
      </c>
      <c r="F2995" s="1">
        <v>2</v>
      </c>
      <c r="G2995" s="1">
        <v>26290</v>
      </c>
      <c r="H2995" s="1">
        <v>52580</v>
      </c>
      <c r="I2995" s="1">
        <v>0</v>
      </c>
      <c r="J2995" s="1">
        <v>2</v>
      </c>
      <c r="K2995" s="1">
        <v>0</v>
      </c>
    </row>
    <row r="2996" spans="1:11" x14ac:dyDescent="0.2">
      <c r="A2996" s="1" t="s">
        <v>2565</v>
      </c>
      <c r="B2996" s="1" t="s">
        <v>2729</v>
      </c>
      <c r="C2996" s="1" t="str">
        <f>"10000091161"</f>
        <v>10000091161</v>
      </c>
      <c r="D2996" s="1" t="str">
        <f>"10000091161"</f>
        <v>10000091161</v>
      </c>
      <c r="E2996" s="1" t="s">
        <v>17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</row>
    <row r="2997" spans="1:11" x14ac:dyDescent="0.2">
      <c r="A2997" s="1" t="s">
        <v>2565</v>
      </c>
      <c r="B2997" s="1" t="s">
        <v>2730</v>
      </c>
      <c r="C2997" s="1" t="str">
        <f>"66298900774980"</f>
        <v>66298900774980</v>
      </c>
      <c r="D2997" s="1" t="str">
        <f>"1ED-F5440-00-KIT"</f>
        <v>1ED-F5440-00-KIT</v>
      </c>
      <c r="E2997" s="1" t="s">
        <v>17</v>
      </c>
      <c r="F2997" s="1">
        <v>6</v>
      </c>
      <c r="G2997" s="1">
        <v>20083.330000000002</v>
      </c>
      <c r="H2997" s="1">
        <v>120500</v>
      </c>
      <c r="I2997" s="1">
        <v>0</v>
      </c>
      <c r="J2997" s="1">
        <v>6</v>
      </c>
      <c r="K2997" s="1">
        <v>0</v>
      </c>
    </row>
    <row r="2998" spans="1:11" x14ac:dyDescent="0.2">
      <c r="A2998" s="1" t="s">
        <v>2565</v>
      </c>
      <c r="B2998" s="1" t="s">
        <v>2730</v>
      </c>
      <c r="C2998" s="1" t="str">
        <f>"66298900781872"</f>
        <v>66298900781872</v>
      </c>
      <c r="D2998" s="1" t="str">
        <f>"4B4-F5446-20-KIT"</f>
        <v>4B4-F5446-20-KIT</v>
      </c>
      <c r="E2998" s="1" t="s">
        <v>17</v>
      </c>
      <c r="F2998" s="1">
        <v>2</v>
      </c>
      <c r="G2998" s="1">
        <v>11858</v>
      </c>
      <c r="H2998" s="1">
        <v>23716</v>
      </c>
      <c r="I2998" s="1">
        <v>0</v>
      </c>
      <c r="J2998" s="1">
        <v>2</v>
      </c>
      <c r="K2998" s="1">
        <v>0</v>
      </c>
    </row>
    <row r="2999" spans="1:11" x14ac:dyDescent="0.2">
      <c r="A2999" s="1" t="s">
        <v>2565</v>
      </c>
      <c r="B2999" s="1" t="s">
        <v>2731</v>
      </c>
      <c r="C2999" s="1" t="str">
        <f>"66298900877522"</f>
        <v>66298900877522</v>
      </c>
      <c r="D2999" s="1" t="str">
        <f>"22P-F5445-00-KIT"</f>
        <v>22P-F5445-00-KIT</v>
      </c>
      <c r="E2999" s="1" t="s">
        <v>17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</row>
    <row r="3000" spans="1:11" x14ac:dyDescent="0.2">
      <c r="A3000" s="1" t="s">
        <v>2565</v>
      </c>
      <c r="B3000" s="1" t="s">
        <v>2732</v>
      </c>
      <c r="C3000" s="1" t="str">
        <f>"66298900834470"</f>
        <v>66298900834470</v>
      </c>
      <c r="D3000" s="1" t="str">
        <f>"5VL-F5445-00KIT"</f>
        <v>5VL-F5445-00KIT</v>
      </c>
      <c r="E3000" s="1" t="s">
        <v>17</v>
      </c>
      <c r="F3000" s="1">
        <v>1</v>
      </c>
      <c r="G3000" s="1">
        <v>11492</v>
      </c>
      <c r="H3000" s="1">
        <v>11492</v>
      </c>
      <c r="I3000" s="1">
        <v>0</v>
      </c>
      <c r="J3000" s="1">
        <v>1</v>
      </c>
      <c r="K3000" s="1">
        <v>0</v>
      </c>
    </row>
    <row r="3001" spans="1:11" x14ac:dyDescent="0.2">
      <c r="A3001" s="1" t="s">
        <v>2565</v>
      </c>
      <c r="B3001" s="1" t="s">
        <v>2733</v>
      </c>
      <c r="C3001" s="1" t="str">
        <f>"10000071907"</f>
        <v>10000071907</v>
      </c>
      <c r="D3001" s="1" t="str">
        <f>"10000071907"</f>
        <v>10000071907</v>
      </c>
      <c r="E3001" s="1" t="s">
        <v>17</v>
      </c>
      <c r="F3001" s="1">
        <v>2</v>
      </c>
      <c r="G3001" s="1">
        <v>14067.23</v>
      </c>
      <c r="H3001" s="1">
        <v>28134</v>
      </c>
      <c r="I3001" s="1">
        <v>0</v>
      </c>
      <c r="J3001" s="1">
        <v>2</v>
      </c>
      <c r="K3001" s="1">
        <v>0</v>
      </c>
    </row>
    <row r="3002" spans="1:11" x14ac:dyDescent="0.2">
      <c r="A3002" s="1" t="s">
        <v>2565</v>
      </c>
      <c r="B3002" s="1" t="s">
        <v>2734</v>
      </c>
      <c r="C3002" s="1" t="str">
        <f>"5PC-F5443-00-KITH"</f>
        <v>5PC-F5443-00-KITH</v>
      </c>
      <c r="D3002" s="1" t="str">
        <f>"5PC-F5443-00-KITH"</f>
        <v>5PC-F5443-00-KITH</v>
      </c>
      <c r="E3002" s="1" t="s">
        <v>17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</row>
    <row r="3003" spans="1:11" ht="30" x14ac:dyDescent="0.2">
      <c r="A3003" s="1" t="s">
        <v>2565</v>
      </c>
      <c r="B3003" s="1" t="s">
        <v>2735</v>
      </c>
      <c r="C3003" s="1" t="str">
        <f>"5C9-F5444-00-KITH"</f>
        <v>5C9-F5444-00-KITH</v>
      </c>
      <c r="D3003" s="1" t="str">
        <f>"5C9-F5444-00-KITH"</f>
        <v>5C9-F5444-00-KITH</v>
      </c>
      <c r="E3003" s="1" t="s">
        <v>17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</row>
    <row r="3004" spans="1:11" ht="30" x14ac:dyDescent="0.2">
      <c r="A3004" s="1" t="s">
        <v>2565</v>
      </c>
      <c r="B3004" s="1" t="s">
        <v>2736</v>
      </c>
      <c r="C3004" s="1" t="str">
        <f>"66298900922408"</f>
        <v>66298900922408</v>
      </c>
      <c r="D3004" s="1" t="str">
        <f>"12B-F5445-20KITH"</f>
        <v>12B-F5445-20KITH</v>
      </c>
      <c r="E3004" s="1" t="s">
        <v>17</v>
      </c>
      <c r="F3004" s="1">
        <v>1</v>
      </c>
      <c r="G3004" s="1">
        <v>18083</v>
      </c>
      <c r="H3004" s="1">
        <v>18083</v>
      </c>
      <c r="I3004" s="1">
        <v>0</v>
      </c>
      <c r="J3004" s="1">
        <v>1</v>
      </c>
      <c r="K3004" s="1">
        <v>0</v>
      </c>
    </row>
    <row r="3005" spans="1:11" x14ac:dyDescent="0.2">
      <c r="A3005" s="1" t="s">
        <v>2565</v>
      </c>
      <c r="B3005" s="1" t="s">
        <v>2737</v>
      </c>
      <c r="C3005" s="1" t="str">
        <f>"10000091310"</f>
        <v>10000091310</v>
      </c>
      <c r="D3005" s="1" t="str">
        <f>"10000091310"</f>
        <v>10000091310</v>
      </c>
      <c r="E3005" s="1" t="s">
        <v>17</v>
      </c>
      <c r="F3005" s="1">
        <v>4</v>
      </c>
      <c r="G3005" s="1">
        <v>17202.62</v>
      </c>
      <c r="H3005" s="1">
        <v>68810</v>
      </c>
      <c r="I3005" s="1">
        <v>0</v>
      </c>
      <c r="J3005" s="1">
        <v>4</v>
      </c>
      <c r="K3005" s="1">
        <v>0</v>
      </c>
    </row>
    <row r="3006" spans="1:11" x14ac:dyDescent="0.2">
      <c r="A3006" s="1" t="s">
        <v>2565</v>
      </c>
      <c r="B3006" s="1" t="s">
        <v>2738</v>
      </c>
      <c r="C3006" s="1" t="str">
        <f>"10000091188"</f>
        <v>10000091188</v>
      </c>
      <c r="D3006" s="1" t="str">
        <f>"10000091188"</f>
        <v>10000091188</v>
      </c>
      <c r="E3006" s="1" t="s">
        <v>17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</row>
    <row r="3007" spans="1:11" x14ac:dyDescent="0.2">
      <c r="A3007" s="1" t="s">
        <v>2565</v>
      </c>
      <c r="B3007" s="1" t="s">
        <v>2739</v>
      </c>
      <c r="C3007" s="1" t="str">
        <f>"66298900963743"</f>
        <v>66298900963743</v>
      </c>
      <c r="D3007" s="1" t="str">
        <f>"1WD-F5443-00KITH"</f>
        <v>1WD-F5443-00KITH</v>
      </c>
      <c r="E3007" s="1" t="s">
        <v>17</v>
      </c>
      <c r="F3007" s="1">
        <v>2</v>
      </c>
      <c r="G3007" s="1">
        <v>42960</v>
      </c>
      <c r="H3007" s="1">
        <v>85920</v>
      </c>
      <c r="I3007" s="1">
        <v>0</v>
      </c>
      <c r="J3007" s="1">
        <v>2</v>
      </c>
      <c r="K3007" s="1">
        <v>0</v>
      </c>
    </row>
    <row r="3008" spans="1:11" x14ac:dyDescent="0.2">
      <c r="A3008" s="1" t="s">
        <v>18</v>
      </c>
      <c r="B3008" s="1" t="s">
        <v>2740</v>
      </c>
      <c r="C3008" s="1" t="str">
        <f>"100814"</f>
        <v>100814</v>
      </c>
      <c r="D3008" s="1" t="str">
        <f>"100814"</f>
        <v>100814</v>
      </c>
      <c r="E3008" s="1" t="s">
        <v>17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</row>
    <row r="3009" spans="1:11" x14ac:dyDescent="0.2">
      <c r="A3009" s="1" t="s">
        <v>98</v>
      </c>
      <c r="B3009" s="1" t="s">
        <v>2741</v>
      </c>
      <c r="C3009" s="1" t="str">
        <f>"66298901004784"</f>
        <v>66298901004784</v>
      </c>
      <c r="D3009" s="1" t="str">
        <f>"83726"</f>
        <v>83726</v>
      </c>
      <c r="E3009" s="1" t="s">
        <v>17</v>
      </c>
      <c r="F3009" s="1">
        <v>2</v>
      </c>
      <c r="G3009" s="1">
        <v>530</v>
      </c>
      <c r="H3009" s="1">
        <v>1060</v>
      </c>
      <c r="I3009" s="1">
        <v>0</v>
      </c>
      <c r="J3009" s="1">
        <v>2</v>
      </c>
      <c r="K3009" s="1">
        <v>0</v>
      </c>
    </row>
    <row r="3010" spans="1:11" x14ac:dyDescent="0.2">
      <c r="A3010" s="1" t="s">
        <v>98</v>
      </c>
      <c r="B3010" s="1" t="s">
        <v>2742</v>
      </c>
      <c r="C3010" s="1" t="str">
        <f>"66298901043372"</f>
        <v>66298901043372</v>
      </c>
      <c r="D3010" s="1" t="str">
        <f>"84894"</f>
        <v>84894</v>
      </c>
      <c r="E3010" s="1" t="s">
        <v>17</v>
      </c>
      <c r="F3010" s="1">
        <v>5</v>
      </c>
      <c r="G3010" s="1">
        <v>283</v>
      </c>
      <c r="H3010" s="1">
        <v>1415</v>
      </c>
      <c r="I3010" s="1">
        <v>0</v>
      </c>
      <c r="J3010" s="1">
        <v>5</v>
      </c>
      <c r="K3010" s="1">
        <v>0</v>
      </c>
    </row>
    <row r="3011" spans="1:11" x14ac:dyDescent="0.2">
      <c r="A3011" s="1" t="s">
        <v>15</v>
      </c>
      <c r="B3011" s="1" t="s">
        <v>2743</v>
      </c>
      <c r="C3011" s="1" t="str">
        <f>"99670"</f>
        <v>99670</v>
      </c>
      <c r="D3011" s="1" t="str">
        <f>"99670"</f>
        <v>99670</v>
      </c>
      <c r="E3011" s="1" t="s">
        <v>17</v>
      </c>
      <c r="F3011" s="1">
        <v>8</v>
      </c>
      <c r="G3011" s="1">
        <v>1643</v>
      </c>
      <c r="H3011" s="1">
        <v>13144</v>
      </c>
      <c r="I3011" s="1">
        <v>0</v>
      </c>
      <c r="J3011" s="1">
        <v>8</v>
      </c>
      <c r="K3011" s="1">
        <v>0</v>
      </c>
    </row>
    <row r="3012" spans="1:11" x14ac:dyDescent="0.2">
      <c r="A3012" s="1" t="s">
        <v>15</v>
      </c>
      <c r="B3012" s="1" t="s">
        <v>2744</v>
      </c>
      <c r="C3012" s="1" t="str">
        <f>"66298901086136"</f>
        <v>66298901086136</v>
      </c>
      <c r="D3012" s="1" t="str">
        <f>"702001"</f>
        <v>702001</v>
      </c>
      <c r="E3012" s="1" t="s">
        <v>17</v>
      </c>
      <c r="F3012" s="1">
        <v>1</v>
      </c>
      <c r="G3012" s="1">
        <v>803</v>
      </c>
      <c r="H3012" s="1">
        <v>803</v>
      </c>
      <c r="I3012" s="1">
        <v>0</v>
      </c>
      <c r="J3012" s="1">
        <v>1</v>
      </c>
      <c r="K3012" s="1">
        <v>0</v>
      </c>
    </row>
    <row r="3013" spans="1:11" x14ac:dyDescent="0.2">
      <c r="A3013" s="1" t="s">
        <v>15</v>
      </c>
      <c r="B3013" s="1" t="s">
        <v>2745</v>
      </c>
      <c r="C3013" s="1" t="str">
        <f>"LIMP-MEGA"</f>
        <v>LIMP-MEGA</v>
      </c>
      <c r="D3013" s="1" t="str">
        <f>"LIMP-MEGA"</f>
        <v>LIMP-MEGA</v>
      </c>
      <c r="E3013" s="1" t="s">
        <v>17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</row>
    <row r="3014" spans="1:11" x14ac:dyDescent="0.2">
      <c r="A3014" s="1" t="s">
        <v>15</v>
      </c>
      <c r="B3014" s="1" t="s">
        <v>2746</v>
      </c>
      <c r="C3014" s="1" t="str">
        <f>"11601"</f>
        <v>11601</v>
      </c>
      <c r="D3014" s="1" t="str">
        <f>"11601"</f>
        <v>11601</v>
      </c>
      <c r="E3014" s="1" t="s">
        <v>17</v>
      </c>
      <c r="F3014" s="1">
        <v>206</v>
      </c>
      <c r="G3014" s="1">
        <v>2350</v>
      </c>
      <c r="H3014" s="1">
        <v>484100</v>
      </c>
      <c r="I3014" s="1">
        <v>0</v>
      </c>
      <c r="J3014" s="1">
        <v>206</v>
      </c>
      <c r="K3014" s="1">
        <v>0</v>
      </c>
    </row>
    <row r="3015" spans="1:11" x14ac:dyDescent="0.2">
      <c r="A3015" s="1" t="s">
        <v>15</v>
      </c>
      <c r="B3015" s="1" t="s">
        <v>2747</v>
      </c>
      <c r="C3015" s="1" t="str">
        <f>"CONT-MEGA"</f>
        <v>CONT-MEGA</v>
      </c>
      <c r="D3015" s="1" t="str">
        <f>"CONT-MEGA"</f>
        <v>CONT-MEGA</v>
      </c>
      <c r="E3015" s="1" t="s">
        <v>17</v>
      </c>
      <c r="F3015" s="1">
        <v>8</v>
      </c>
      <c r="G3015" s="1">
        <v>1597.08</v>
      </c>
      <c r="H3015" s="1">
        <v>12777</v>
      </c>
      <c r="I3015" s="1">
        <v>0</v>
      </c>
      <c r="J3015" s="1">
        <v>8</v>
      </c>
      <c r="K3015" s="1">
        <v>0</v>
      </c>
    </row>
    <row r="3016" spans="1:11" x14ac:dyDescent="0.2">
      <c r="A3016" s="1" t="s">
        <v>15</v>
      </c>
      <c r="B3016" s="1" t="s">
        <v>2748</v>
      </c>
      <c r="C3016" s="1" t="str">
        <f>"REX-3906"</f>
        <v>REX-3906</v>
      </c>
      <c r="D3016" s="1" t="str">
        <f>"REX-3906"</f>
        <v>REX-3906</v>
      </c>
      <c r="E3016" s="1" t="s">
        <v>17</v>
      </c>
      <c r="F3016" s="1">
        <v>0</v>
      </c>
      <c r="G3016" s="1">
        <v>0</v>
      </c>
      <c r="H3016" s="1">
        <v>0</v>
      </c>
      <c r="I3016" s="1">
        <v>1</v>
      </c>
      <c r="J3016" s="1">
        <v>-1</v>
      </c>
      <c r="K3016" s="1">
        <v>0</v>
      </c>
    </row>
    <row r="3017" spans="1:11" x14ac:dyDescent="0.2">
      <c r="A3017" s="1" t="s">
        <v>15</v>
      </c>
      <c r="B3017" s="1" t="s">
        <v>2749</v>
      </c>
      <c r="C3017" s="1" t="str">
        <f>"11602"</f>
        <v>11602</v>
      </c>
      <c r="D3017" s="1" t="str">
        <f>"11602"</f>
        <v>11602</v>
      </c>
      <c r="E3017" s="1" t="s">
        <v>17</v>
      </c>
      <c r="F3017" s="1">
        <v>46</v>
      </c>
      <c r="G3017" s="1">
        <v>2800</v>
      </c>
      <c r="H3017" s="1">
        <v>128800</v>
      </c>
      <c r="I3017" s="1">
        <v>0</v>
      </c>
      <c r="J3017" s="1">
        <v>46</v>
      </c>
      <c r="K3017" s="1">
        <v>0</v>
      </c>
    </row>
    <row r="3018" spans="1:11" x14ac:dyDescent="0.2">
      <c r="A3018" s="1" t="s">
        <v>15</v>
      </c>
      <c r="B3018" s="1" t="s">
        <v>2750</v>
      </c>
      <c r="C3018" s="1" t="str">
        <f>"66298901124242"</f>
        <v>66298901124242</v>
      </c>
      <c r="D3018" s="1" t="str">
        <f>"800658"</f>
        <v>800658</v>
      </c>
      <c r="E3018" s="1" t="s">
        <v>17</v>
      </c>
      <c r="F3018" s="1">
        <v>13</v>
      </c>
      <c r="G3018" s="1">
        <v>9827</v>
      </c>
      <c r="H3018" s="1">
        <v>127751</v>
      </c>
      <c r="I3018" s="1">
        <v>0</v>
      </c>
      <c r="J3018" s="1">
        <v>13</v>
      </c>
      <c r="K3018" s="1">
        <v>0</v>
      </c>
    </row>
    <row r="3019" spans="1:11" x14ac:dyDescent="0.2">
      <c r="A3019" s="1" t="s">
        <v>15</v>
      </c>
      <c r="B3019" s="1" t="s">
        <v>2751</v>
      </c>
      <c r="C3019" s="1" t="str">
        <f>"66298901169434"</f>
        <v>66298901169434</v>
      </c>
      <c r="D3019" s="1" t="str">
        <f>"702046"</f>
        <v>702046</v>
      </c>
      <c r="E3019" s="1" t="s">
        <v>17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</row>
    <row r="3020" spans="1:11" x14ac:dyDescent="0.2">
      <c r="A3020" s="1" t="s">
        <v>15</v>
      </c>
      <c r="B3020" s="1" t="s">
        <v>2752</v>
      </c>
      <c r="C3020" s="1" t="str">
        <f>"11604"</f>
        <v>11604</v>
      </c>
      <c r="D3020" s="1" t="str">
        <f>"11604"</f>
        <v>11604</v>
      </c>
      <c r="E3020" s="1" t="s">
        <v>17</v>
      </c>
      <c r="F3020" s="1">
        <v>19</v>
      </c>
      <c r="G3020" s="1">
        <v>2706</v>
      </c>
      <c r="H3020" s="1">
        <v>51414</v>
      </c>
      <c r="I3020" s="1">
        <v>0</v>
      </c>
      <c r="J3020" s="1">
        <v>19</v>
      </c>
      <c r="K3020" s="1">
        <v>0</v>
      </c>
    </row>
    <row r="3021" spans="1:11" x14ac:dyDescent="0.2">
      <c r="A3021" s="1" t="s">
        <v>15</v>
      </c>
      <c r="B3021" s="1" t="s">
        <v>2753</v>
      </c>
      <c r="C3021" s="1" t="str">
        <f>"66298901211340"</f>
        <v>66298901211340</v>
      </c>
      <c r="D3021" s="1" t="str">
        <f>"99683"</f>
        <v>99683</v>
      </c>
      <c r="E3021" s="1" t="s">
        <v>17</v>
      </c>
      <c r="F3021" s="1">
        <v>1</v>
      </c>
      <c r="G3021" s="1">
        <v>1832</v>
      </c>
      <c r="H3021" s="1">
        <v>1832</v>
      </c>
      <c r="I3021" s="1">
        <v>0</v>
      </c>
      <c r="J3021" s="1">
        <v>1</v>
      </c>
      <c r="K3021" s="1">
        <v>0</v>
      </c>
    </row>
    <row r="3022" spans="1:11" x14ac:dyDescent="0.2">
      <c r="A3022" s="1" t="s">
        <v>15</v>
      </c>
      <c r="B3022" s="1" t="s">
        <v>2754</v>
      </c>
      <c r="C3022" s="1" t="str">
        <f>"11632"</f>
        <v>11632</v>
      </c>
      <c r="D3022" s="1" t="str">
        <f>"11632"</f>
        <v>11632</v>
      </c>
      <c r="E3022" s="1" t="s">
        <v>17</v>
      </c>
      <c r="F3022" s="1">
        <v>46</v>
      </c>
      <c r="G3022" s="1">
        <v>3014</v>
      </c>
      <c r="H3022" s="1">
        <v>138644</v>
      </c>
      <c r="I3022" s="1">
        <v>0</v>
      </c>
      <c r="J3022" s="1">
        <v>46</v>
      </c>
      <c r="K3022" s="1">
        <v>0</v>
      </c>
    </row>
    <row r="3023" spans="1:11" x14ac:dyDescent="0.2">
      <c r="A3023" s="1" t="s">
        <v>15</v>
      </c>
      <c r="B3023" s="1" t="s">
        <v>2755</v>
      </c>
      <c r="C3023" s="1" t="str">
        <f>"11964"</f>
        <v>11964</v>
      </c>
      <c r="D3023" s="1" t="str">
        <f>"11964"</f>
        <v>11964</v>
      </c>
      <c r="E3023" s="1" t="s">
        <v>17</v>
      </c>
      <c r="F3023" s="1">
        <v>3</v>
      </c>
      <c r="G3023" s="1">
        <v>3202</v>
      </c>
      <c r="H3023" s="1">
        <v>9606</v>
      </c>
      <c r="I3023" s="1">
        <v>0</v>
      </c>
      <c r="J3023" s="1">
        <v>3</v>
      </c>
      <c r="K3023" s="1">
        <v>0</v>
      </c>
    </row>
    <row r="3024" spans="1:11" ht="30" x14ac:dyDescent="0.2">
      <c r="A3024" s="1" t="s">
        <v>15</v>
      </c>
      <c r="B3024" s="1" t="s">
        <v>2756</v>
      </c>
      <c r="C3024" s="1" t="str">
        <f>"11963"</f>
        <v>11963</v>
      </c>
      <c r="D3024" s="1" t="str">
        <f>"11963"</f>
        <v>11963</v>
      </c>
      <c r="E3024" s="1" t="s">
        <v>17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</row>
    <row r="3025" spans="1:11" ht="30" x14ac:dyDescent="0.2">
      <c r="A3025" s="1" t="s">
        <v>15</v>
      </c>
      <c r="B3025" s="1" t="s">
        <v>2757</v>
      </c>
      <c r="C3025" s="1" t="str">
        <f>"66298901251588"</f>
        <v>66298901251588</v>
      </c>
      <c r="D3025" s="1" t="str">
        <f>"1571"</f>
        <v>1571</v>
      </c>
      <c r="E3025" s="1" t="s">
        <v>17</v>
      </c>
      <c r="F3025" s="1">
        <v>5</v>
      </c>
      <c r="G3025" s="1">
        <v>7341</v>
      </c>
      <c r="H3025" s="1">
        <v>36705</v>
      </c>
      <c r="I3025" s="1">
        <v>0</v>
      </c>
      <c r="J3025" s="1">
        <v>5</v>
      </c>
      <c r="K3025" s="1">
        <v>0</v>
      </c>
    </row>
    <row r="3026" spans="1:11" x14ac:dyDescent="0.2">
      <c r="A3026" s="1" t="s">
        <v>15</v>
      </c>
      <c r="B3026" s="1" t="s">
        <v>2758</v>
      </c>
      <c r="C3026" s="1" t="str">
        <f>"66298901288717"</f>
        <v>66298901288717</v>
      </c>
      <c r="D3026" s="1" t="str">
        <f>"6010162"</f>
        <v>6010162</v>
      </c>
      <c r="E3026" s="1" t="s">
        <v>17</v>
      </c>
      <c r="F3026" s="1">
        <v>6</v>
      </c>
      <c r="G3026" s="1">
        <v>4290</v>
      </c>
      <c r="H3026" s="1">
        <v>25740</v>
      </c>
      <c r="I3026" s="1">
        <v>0</v>
      </c>
      <c r="J3026" s="1">
        <v>6</v>
      </c>
      <c r="K3026" s="1">
        <v>0</v>
      </c>
    </row>
    <row r="3027" spans="1:11" ht="30" x14ac:dyDescent="0.2">
      <c r="A3027" s="1" t="s">
        <v>15</v>
      </c>
      <c r="B3027" s="1" t="s">
        <v>2759</v>
      </c>
      <c r="C3027" s="1" t="str">
        <f>"66298901330636"</f>
        <v>66298901330636</v>
      </c>
      <c r="D3027" s="1" t="str">
        <f>"6010163"</f>
        <v>6010163</v>
      </c>
      <c r="E3027" s="1" t="s">
        <v>17</v>
      </c>
      <c r="F3027" s="1">
        <v>12</v>
      </c>
      <c r="G3027" s="1">
        <v>4690</v>
      </c>
      <c r="H3027" s="1">
        <v>56280</v>
      </c>
      <c r="I3027" s="1">
        <v>0</v>
      </c>
      <c r="J3027" s="1">
        <v>12</v>
      </c>
      <c r="K3027" s="1">
        <v>0</v>
      </c>
    </row>
    <row r="3028" spans="1:11" x14ac:dyDescent="0.2">
      <c r="A3028" s="1" t="s">
        <v>15</v>
      </c>
      <c r="B3028" s="1" t="s">
        <v>2760</v>
      </c>
      <c r="C3028" s="1" t="str">
        <f>"3093"</f>
        <v>3093</v>
      </c>
      <c r="D3028" s="1" t="str">
        <f>"3093"</f>
        <v>3093</v>
      </c>
      <c r="E3028" s="1" t="s">
        <v>17</v>
      </c>
      <c r="F3028" s="1">
        <v>5</v>
      </c>
      <c r="G3028" s="1">
        <v>5799.8</v>
      </c>
      <c r="H3028" s="1">
        <v>28999</v>
      </c>
      <c r="I3028" s="1">
        <v>0</v>
      </c>
      <c r="J3028" s="1">
        <v>5</v>
      </c>
      <c r="K3028" s="1">
        <v>0</v>
      </c>
    </row>
    <row r="3029" spans="1:11" x14ac:dyDescent="0.2">
      <c r="A3029" s="1" t="s">
        <v>15</v>
      </c>
      <c r="B3029" s="1" t="s">
        <v>2761</v>
      </c>
      <c r="C3029" s="1" t="str">
        <f>"3092"</f>
        <v>3092</v>
      </c>
      <c r="D3029" s="1" t="str">
        <f>"3092"</f>
        <v>3092</v>
      </c>
      <c r="E3029" s="1" t="s">
        <v>17</v>
      </c>
      <c r="F3029" s="1">
        <v>22</v>
      </c>
      <c r="G3029" s="1">
        <v>5799.8</v>
      </c>
      <c r="H3029" s="1">
        <v>127596</v>
      </c>
      <c r="I3029" s="1">
        <v>0</v>
      </c>
      <c r="J3029" s="1">
        <v>22</v>
      </c>
      <c r="K3029" s="1">
        <v>0</v>
      </c>
    </row>
    <row r="3030" spans="1:11" x14ac:dyDescent="0.2">
      <c r="A3030" s="1" t="s">
        <v>15</v>
      </c>
      <c r="B3030" s="1" t="s">
        <v>2762</v>
      </c>
      <c r="C3030" s="1" t="str">
        <f>"66298901369193"</f>
        <v>66298901369193</v>
      </c>
      <c r="D3030" s="1" t="str">
        <f>"6010119"</f>
        <v>6010119</v>
      </c>
      <c r="E3030" s="1" t="s">
        <v>17</v>
      </c>
      <c r="F3030" s="1">
        <v>10</v>
      </c>
      <c r="G3030" s="1">
        <v>5980</v>
      </c>
      <c r="H3030" s="1">
        <v>59800</v>
      </c>
      <c r="I3030" s="1">
        <v>0</v>
      </c>
      <c r="J3030" s="1">
        <v>10</v>
      </c>
      <c r="K3030" s="1">
        <v>0</v>
      </c>
    </row>
    <row r="3031" spans="1:11" x14ac:dyDescent="0.2">
      <c r="A3031" s="1" t="s">
        <v>15</v>
      </c>
      <c r="B3031" s="1" t="s">
        <v>2763</v>
      </c>
      <c r="C3031" s="1" t="str">
        <f>"6010120"</f>
        <v>6010120</v>
      </c>
      <c r="D3031" s="1" t="str">
        <f>"6010120"</f>
        <v>6010120</v>
      </c>
      <c r="E3031" s="1" t="s">
        <v>17</v>
      </c>
      <c r="F3031" s="1">
        <v>12</v>
      </c>
      <c r="G3031" s="1">
        <v>8600</v>
      </c>
      <c r="H3031" s="1">
        <v>103200</v>
      </c>
      <c r="I3031" s="1">
        <v>0</v>
      </c>
      <c r="J3031" s="1">
        <v>12</v>
      </c>
      <c r="K3031" s="1">
        <v>0</v>
      </c>
    </row>
    <row r="3032" spans="1:11" x14ac:dyDescent="0.2">
      <c r="A3032" s="1" t="s">
        <v>15</v>
      </c>
      <c r="B3032" s="1" t="s">
        <v>2764</v>
      </c>
      <c r="C3032" s="1" t="str">
        <f>"66298901454643"</f>
        <v>66298901454643</v>
      </c>
      <c r="D3032" s="1" t="str">
        <f>"701A96"</f>
        <v>701A96</v>
      </c>
      <c r="E3032" s="1" t="s">
        <v>17</v>
      </c>
      <c r="F3032" s="1">
        <v>20</v>
      </c>
      <c r="G3032" s="1">
        <v>4790</v>
      </c>
      <c r="H3032" s="1">
        <v>95800</v>
      </c>
      <c r="I3032" s="1">
        <v>0</v>
      </c>
      <c r="J3032" s="1">
        <v>20</v>
      </c>
      <c r="K3032" s="1">
        <v>0</v>
      </c>
    </row>
    <row r="3033" spans="1:11" x14ac:dyDescent="0.2">
      <c r="A3033" s="1" t="s">
        <v>15</v>
      </c>
      <c r="B3033" s="1" t="s">
        <v>2765</v>
      </c>
      <c r="C3033" s="1" t="str">
        <f>"11683"</f>
        <v>11683</v>
      </c>
      <c r="D3033" s="1" t="str">
        <f>"11683"</f>
        <v>11683</v>
      </c>
      <c r="E3033" s="1" t="s">
        <v>17</v>
      </c>
      <c r="F3033" s="1">
        <v>9</v>
      </c>
      <c r="G3033" s="1">
        <v>1250</v>
      </c>
      <c r="H3033" s="1">
        <v>11250</v>
      </c>
      <c r="I3033" s="1">
        <v>0</v>
      </c>
      <c r="J3033" s="1">
        <v>9</v>
      </c>
      <c r="K3033" s="1">
        <v>0</v>
      </c>
    </row>
    <row r="3034" spans="1:11" x14ac:dyDescent="0.2">
      <c r="A3034" s="1" t="s">
        <v>15</v>
      </c>
      <c r="B3034" s="1" t="s">
        <v>2766</v>
      </c>
      <c r="C3034" s="1" t="str">
        <f>"11685"</f>
        <v>11685</v>
      </c>
      <c r="D3034" s="1" t="str">
        <f>"11685"</f>
        <v>11685</v>
      </c>
      <c r="E3034" s="1" t="s">
        <v>17</v>
      </c>
      <c r="F3034" s="1">
        <v>42</v>
      </c>
      <c r="G3034" s="1">
        <v>1500</v>
      </c>
      <c r="H3034" s="1">
        <v>63000</v>
      </c>
      <c r="I3034" s="1">
        <v>0</v>
      </c>
      <c r="J3034" s="1">
        <v>42</v>
      </c>
      <c r="K3034" s="1">
        <v>0</v>
      </c>
    </row>
    <row r="3035" spans="1:11" x14ac:dyDescent="0.2">
      <c r="A3035" s="1" t="s">
        <v>15</v>
      </c>
      <c r="B3035" s="1" t="s">
        <v>2767</v>
      </c>
      <c r="C3035" s="1" t="str">
        <f>"66298901497357"</f>
        <v>66298901497357</v>
      </c>
      <c r="D3035" s="1" t="str">
        <f>"800312"</f>
        <v>800312</v>
      </c>
      <c r="E3035" s="1" t="s">
        <v>17</v>
      </c>
      <c r="F3035" s="1">
        <v>3</v>
      </c>
      <c r="G3035" s="1">
        <v>5458</v>
      </c>
      <c r="H3035" s="1">
        <v>16374</v>
      </c>
      <c r="I3035" s="1">
        <v>0</v>
      </c>
      <c r="J3035" s="1">
        <v>3</v>
      </c>
      <c r="K3035" s="1">
        <v>0</v>
      </c>
    </row>
    <row r="3036" spans="1:11" x14ac:dyDescent="0.2">
      <c r="A3036" s="1" t="s">
        <v>15</v>
      </c>
      <c r="B3036" s="1" t="s">
        <v>2768</v>
      </c>
      <c r="C3036" s="1" t="str">
        <f>"66298901543799"</f>
        <v>66298901543799</v>
      </c>
      <c r="D3036" s="1" t="str">
        <f>"3091"</f>
        <v>3091</v>
      </c>
      <c r="E3036" s="1" t="s">
        <v>17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</row>
    <row r="3037" spans="1:11" x14ac:dyDescent="0.2">
      <c r="A3037" s="1" t="s">
        <v>2769</v>
      </c>
      <c r="B3037" s="1" t="s">
        <v>2770</v>
      </c>
      <c r="C3037" s="1" t="str">
        <f>"66298901585441"</f>
        <v>66298901585441</v>
      </c>
      <c r="D3037" s="1" t="str">
        <f>"82125"</f>
        <v>82125</v>
      </c>
      <c r="E3037" s="1" t="s">
        <v>17</v>
      </c>
      <c r="F3037" s="1">
        <v>1</v>
      </c>
      <c r="G3037" s="1">
        <v>15214</v>
      </c>
      <c r="H3037" s="1">
        <v>15214</v>
      </c>
      <c r="I3037" s="1">
        <v>0</v>
      </c>
      <c r="J3037" s="1">
        <v>1</v>
      </c>
      <c r="K3037" s="1">
        <v>0</v>
      </c>
    </row>
    <row r="3038" spans="1:11" x14ac:dyDescent="0.2">
      <c r="A3038" s="1" t="s">
        <v>2769</v>
      </c>
      <c r="B3038" s="1" t="s">
        <v>2771</v>
      </c>
      <c r="C3038" s="1" t="str">
        <f>"66298901627128"</f>
        <v>66298901627128</v>
      </c>
      <c r="D3038" s="1" t="str">
        <f>"54111H2C001HA99"</f>
        <v>54111H2C001HA99</v>
      </c>
      <c r="E3038" s="1" t="s">
        <v>17</v>
      </c>
      <c r="F3038" s="1">
        <v>1</v>
      </c>
      <c r="G3038" s="1">
        <v>58065</v>
      </c>
      <c r="H3038" s="1">
        <v>58065</v>
      </c>
      <c r="I3038" s="1">
        <v>0</v>
      </c>
      <c r="J3038" s="1">
        <v>1</v>
      </c>
      <c r="K3038" s="1">
        <v>0</v>
      </c>
    </row>
    <row r="3039" spans="1:11" x14ac:dyDescent="0.2">
      <c r="A3039" s="1" t="s">
        <v>2769</v>
      </c>
      <c r="B3039" s="1" t="s">
        <v>2772</v>
      </c>
      <c r="C3039" s="1" t="str">
        <f>"66298901665785"</f>
        <v>66298901665785</v>
      </c>
      <c r="D3039" s="1" t="str">
        <f>"82126"</f>
        <v>82126</v>
      </c>
      <c r="E3039" s="1" t="s">
        <v>17</v>
      </c>
      <c r="F3039" s="1">
        <v>3</v>
      </c>
      <c r="G3039" s="1">
        <v>27223</v>
      </c>
      <c r="H3039" s="1">
        <v>81669</v>
      </c>
      <c r="I3039" s="1">
        <v>0</v>
      </c>
      <c r="J3039" s="1">
        <v>3</v>
      </c>
      <c r="K3039" s="1">
        <v>0</v>
      </c>
    </row>
    <row r="3040" spans="1:11" x14ac:dyDescent="0.2">
      <c r="A3040" s="1" t="s">
        <v>2769</v>
      </c>
      <c r="B3040" s="1" t="s">
        <v>2773</v>
      </c>
      <c r="C3040" s="1" t="str">
        <f>"66298901713336"</f>
        <v>66298901713336</v>
      </c>
      <c r="D3040" s="1" t="str">
        <f>"B15030148"</f>
        <v>B15030148</v>
      </c>
      <c r="E3040" s="1" t="s">
        <v>17</v>
      </c>
      <c r="F3040" s="1">
        <v>1</v>
      </c>
      <c r="G3040" s="1">
        <v>75373</v>
      </c>
      <c r="H3040" s="1">
        <v>75373</v>
      </c>
      <c r="I3040" s="1">
        <v>0</v>
      </c>
      <c r="J3040" s="1">
        <v>1</v>
      </c>
      <c r="K3040" s="1">
        <v>0</v>
      </c>
    </row>
    <row r="3041" spans="1:11" x14ac:dyDescent="0.2">
      <c r="A3041" s="1" t="s">
        <v>2774</v>
      </c>
      <c r="B3041" s="1" t="s">
        <v>2775</v>
      </c>
      <c r="C3041" s="1" t="str">
        <f>"66298901760541"</f>
        <v>66298901760541</v>
      </c>
      <c r="D3041" s="1" t="str">
        <f>"H188"</f>
        <v>H188</v>
      </c>
      <c r="E3041" s="1" t="s">
        <v>17</v>
      </c>
      <c r="F3041" s="1">
        <v>1</v>
      </c>
      <c r="G3041" s="1">
        <v>3701</v>
      </c>
      <c r="H3041" s="1">
        <v>3701</v>
      </c>
      <c r="I3041" s="1">
        <v>0</v>
      </c>
      <c r="J3041" s="1">
        <v>1</v>
      </c>
      <c r="K3041" s="1">
        <v>0</v>
      </c>
    </row>
    <row r="3042" spans="1:11" x14ac:dyDescent="0.2">
      <c r="A3042" s="1" t="s">
        <v>2774</v>
      </c>
      <c r="B3042" s="1" t="s">
        <v>2776</v>
      </c>
      <c r="C3042" s="1" t="str">
        <f>"49CC28"</f>
        <v>49CC28</v>
      </c>
      <c r="D3042" s="1" t="str">
        <f>"49CC28"</f>
        <v>49CC28</v>
      </c>
      <c r="E3042" s="1" t="s">
        <v>17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</row>
    <row r="3043" spans="1:11" x14ac:dyDescent="0.2">
      <c r="A3043" s="1" t="s">
        <v>2774</v>
      </c>
      <c r="B3043" s="1" t="s">
        <v>2777</v>
      </c>
      <c r="C3043" s="1" t="str">
        <f>"66298901805081"</f>
        <v>66298901805081</v>
      </c>
      <c r="D3043" s="1" t="str">
        <f>"B091"</f>
        <v>B091</v>
      </c>
      <c r="E3043" s="1" t="s">
        <v>17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</row>
    <row r="3044" spans="1:11" x14ac:dyDescent="0.2">
      <c r="A3044" s="1" t="s">
        <v>2774</v>
      </c>
      <c r="B3044" s="1" t="s">
        <v>2778</v>
      </c>
      <c r="C3044" s="1" t="str">
        <f>"66298901845498"</f>
        <v>66298901845498</v>
      </c>
      <c r="D3044" s="1" t="str">
        <f>"XB006"</f>
        <v>XB006</v>
      </c>
      <c r="E3044" s="1" t="s">
        <v>17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</row>
    <row r="3045" spans="1:11" x14ac:dyDescent="0.2">
      <c r="A3045" s="1" t="s">
        <v>2774</v>
      </c>
      <c r="B3045" s="1" t="s">
        <v>2779</v>
      </c>
      <c r="C3045" s="1" t="str">
        <f>"66298901930718"</f>
        <v>66298901930718</v>
      </c>
      <c r="D3045" s="1" t="str">
        <f>"400546"</f>
        <v>400546</v>
      </c>
      <c r="E3045" s="1" t="s">
        <v>17</v>
      </c>
      <c r="F3045" s="1">
        <v>5</v>
      </c>
      <c r="G3045" s="1">
        <v>1695</v>
      </c>
      <c r="H3045" s="1">
        <v>8475</v>
      </c>
      <c r="I3045" s="1">
        <v>0</v>
      </c>
      <c r="J3045" s="1">
        <v>5</v>
      </c>
      <c r="K3045" s="1">
        <v>0</v>
      </c>
    </row>
    <row r="3046" spans="1:11" x14ac:dyDescent="0.2">
      <c r="A3046" s="1" t="s">
        <v>2774</v>
      </c>
      <c r="B3046" s="1" t="s">
        <v>2780</v>
      </c>
      <c r="C3046" s="1" t="str">
        <f>"66298901888788"</f>
        <v>66298901888788</v>
      </c>
      <c r="D3046" s="1" t="str">
        <f>"XB005"</f>
        <v>XB005</v>
      </c>
      <c r="E3046" s="1" t="s">
        <v>17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</row>
    <row r="3047" spans="1:11" x14ac:dyDescent="0.2">
      <c r="A3047" s="1" t="s">
        <v>2774</v>
      </c>
      <c r="B3047" s="1" t="s">
        <v>2781</v>
      </c>
      <c r="C3047" s="1" t="str">
        <f>"XB001"</f>
        <v>XB001</v>
      </c>
      <c r="D3047" s="1" t="str">
        <f>"XB001"</f>
        <v>XB001</v>
      </c>
      <c r="E3047" s="1" t="s">
        <v>17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</row>
    <row r="3048" spans="1:11" x14ac:dyDescent="0.2">
      <c r="A3048" s="1" t="s">
        <v>2774</v>
      </c>
      <c r="B3048" s="1" t="s">
        <v>2782</v>
      </c>
      <c r="C3048" s="1" t="str">
        <f>"XB009"</f>
        <v>XB009</v>
      </c>
      <c r="D3048" s="1" t="str">
        <f>"XB009"</f>
        <v>XB009</v>
      </c>
      <c r="E3048" s="1" t="s">
        <v>17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</row>
    <row r="3049" spans="1:11" x14ac:dyDescent="0.2">
      <c r="A3049" s="1" t="s">
        <v>2774</v>
      </c>
      <c r="B3049" s="1" t="s">
        <v>2783</v>
      </c>
      <c r="C3049" s="1" t="str">
        <f>"66298901969173"</f>
        <v>66298901969173</v>
      </c>
      <c r="D3049" s="1" t="str">
        <f>"XB003"</f>
        <v>XB003</v>
      </c>
      <c r="E3049" s="1" t="s">
        <v>17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</row>
    <row r="3050" spans="1:11" x14ac:dyDescent="0.2">
      <c r="A3050" s="1" t="s">
        <v>2774</v>
      </c>
      <c r="B3050" s="1" t="s">
        <v>2784</v>
      </c>
      <c r="C3050" s="1" t="str">
        <f>"66298902011913"</f>
        <v>66298902011913</v>
      </c>
      <c r="D3050" s="1" t="str">
        <f>"XB011"</f>
        <v>XB011</v>
      </c>
      <c r="E3050" s="1" t="s">
        <v>17</v>
      </c>
      <c r="F3050" s="1">
        <v>2</v>
      </c>
      <c r="G3050" s="1">
        <v>1572</v>
      </c>
      <c r="H3050" s="1">
        <v>3144</v>
      </c>
      <c r="I3050" s="1">
        <v>0</v>
      </c>
      <c r="J3050" s="1">
        <v>2</v>
      </c>
      <c r="K3050" s="1">
        <v>0</v>
      </c>
    </row>
    <row r="3051" spans="1:11" x14ac:dyDescent="0.2">
      <c r="A3051" s="1" t="s">
        <v>2774</v>
      </c>
      <c r="B3051" s="1" t="s">
        <v>2784</v>
      </c>
      <c r="C3051" s="1" t="str">
        <f>"66298902019288"</f>
        <v>66298902019288</v>
      </c>
      <c r="D3051" s="1" t="str">
        <f>"XB010"</f>
        <v>XB010</v>
      </c>
      <c r="E3051" s="1" t="s">
        <v>17</v>
      </c>
      <c r="F3051" s="1">
        <v>1</v>
      </c>
      <c r="G3051" s="1">
        <v>1516</v>
      </c>
      <c r="H3051" s="1">
        <v>1516</v>
      </c>
      <c r="I3051" s="1">
        <v>0</v>
      </c>
      <c r="J3051" s="1">
        <v>1</v>
      </c>
      <c r="K3051" s="1">
        <v>0</v>
      </c>
    </row>
    <row r="3052" spans="1:11" x14ac:dyDescent="0.2">
      <c r="A3052" s="1" t="s">
        <v>2774</v>
      </c>
      <c r="B3052" s="1" t="s">
        <v>2784</v>
      </c>
      <c r="C3052" s="1" t="str">
        <f>"XB007"</f>
        <v>XB007</v>
      </c>
      <c r="D3052" s="1" t="str">
        <f>"XB007"</f>
        <v>XB007</v>
      </c>
      <c r="E3052" s="1" t="s">
        <v>17</v>
      </c>
      <c r="F3052" s="1">
        <v>1</v>
      </c>
      <c r="G3052" s="1">
        <v>798</v>
      </c>
      <c r="H3052" s="1">
        <v>798</v>
      </c>
      <c r="I3052" s="1">
        <v>0</v>
      </c>
      <c r="J3052" s="1">
        <v>1</v>
      </c>
      <c r="K3052" s="1">
        <v>0</v>
      </c>
    </row>
    <row r="3053" spans="1:11" x14ac:dyDescent="0.2">
      <c r="A3053" s="1" t="s">
        <v>2774</v>
      </c>
      <c r="B3053" s="1" t="s">
        <v>2785</v>
      </c>
      <c r="C3053" s="1" t="str">
        <f>"66298902074401"</f>
        <v>66298902074401</v>
      </c>
      <c r="D3053" s="1" t="str">
        <f>"B091A"</f>
        <v>B091A</v>
      </c>
      <c r="E3053" s="1" t="s">
        <v>17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</row>
    <row r="3054" spans="1:11" x14ac:dyDescent="0.2">
      <c r="A3054" s="1" t="s">
        <v>2774</v>
      </c>
      <c r="B3054" s="1" t="s">
        <v>2786</v>
      </c>
      <c r="C3054" s="1" t="str">
        <f>"66298902111577"</f>
        <v>66298902111577</v>
      </c>
      <c r="D3054" s="1" t="str">
        <f>"H021"</f>
        <v>H021</v>
      </c>
      <c r="E3054" s="1" t="s">
        <v>17</v>
      </c>
      <c r="F3054" s="1">
        <v>4</v>
      </c>
      <c r="G3054" s="1">
        <v>1220.4000000000001</v>
      </c>
      <c r="H3054" s="1">
        <v>4882</v>
      </c>
      <c r="I3054" s="1">
        <v>0</v>
      </c>
      <c r="J3054" s="1">
        <v>4</v>
      </c>
      <c r="K3054" s="1">
        <v>0</v>
      </c>
    </row>
    <row r="3055" spans="1:11" x14ac:dyDescent="0.2">
      <c r="A3055" s="1" t="s">
        <v>2774</v>
      </c>
      <c r="B3055" s="1" t="s">
        <v>2787</v>
      </c>
      <c r="C3055" s="1" t="str">
        <f>"66298902173789"</f>
        <v>66298902173789</v>
      </c>
      <c r="D3055" s="1" t="str">
        <f>"H029"</f>
        <v>H029</v>
      </c>
      <c r="E3055" s="1" t="s">
        <v>17</v>
      </c>
      <c r="F3055" s="1">
        <v>3</v>
      </c>
      <c r="G3055" s="1">
        <v>3320</v>
      </c>
      <c r="H3055" s="1">
        <v>9960</v>
      </c>
      <c r="I3055" s="1">
        <v>0</v>
      </c>
      <c r="J3055" s="1">
        <v>3</v>
      </c>
      <c r="K3055" s="1">
        <v>0</v>
      </c>
    </row>
    <row r="3056" spans="1:11" x14ac:dyDescent="0.2">
      <c r="A3056" s="1" t="s">
        <v>2774</v>
      </c>
      <c r="B3056" s="1" t="s">
        <v>2787</v>
      </c>
      <c r="C3056" s="1" t="str">
        <f>"66298902182002"</f>
        <v>66298902182002</v>
      </c>
      <c r="D3056" s="1" t="str">
        <f>"H027"</f>
        <v>H027</v>
      </c>
      <c r="E3056" s="1" t="s">
        <v>17</v>
      </c>
      <c r="F3056" s="1">
        <v>3</v>
      </c>
      <c r="G3056" s="1">
        <v>8584</v>
      </c>
      <c r="H3056" s="1">
        <v>25752</v>
      </c>
      <c r="I3056" s="1">
        <v>0</v>
      </c>
      <c r="J3056" s="1">
        <v>3</v>
      </c>
      <c r="K3056" s="1">
        <v>0</v>
      </c>
    </row>
    <row r="3057" spans="1:11" x14ac:dyDescent="0.2">
      <c r="A3057" s="1" t="s">
        <v>2774</v>
      </c>
      <c r="B3057" s="1" t="s">
        <v>2788</v>
      </c>
      <c r="C3057" s="1" t="str">
        <f>"66298902240011"</f>
        <v>66298902240011</v>
      </c>
      <c r="D3057" s="1" t="str">
        <f>"H100"</f>
        <v>H100</v>
      </c>
      <c r="E3057" s="1" t="s">
        <v>17</v>
      </c>
      <c r="F3057" s="1">
        <v>1</v>
      </c>
      <c r="G3057" s="1">
        <v>2744</v>
      </c>
      <c r="H3057" s="1">
        <v>2744</v>
      </c>
      <c r="I3057" s="1">
        <v>0</v>
      </c>
      <c r="J3057" s="1">
        <v>1</v>
      </c>
      <c r="K3057" s="1">
        <v>0</v>
      </c>
    </row>
    <row r="3058" spans="1:11" x14ac:dyDescent="0.2">
      <c r="A3058" s="1" t="s">
        <v>2774</v>
      </c>
      <c r="B3058" s="1" t="s">
        <v>2788</v>
      </c>
      <c r="C3058" s="1" t="str">
        <f>"66298902247503"</f>
        <v>66298902247503</v>
      </c>
      <c r="D3058" s="1" t="str">
        <f>"H099"</f>
        <v>H099</v>
      </c>
      <c r="E3058" s="1" t="s">
        <v>17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</row>
    <row r="3059" spans="1:11" x14ac:dyDescent="0.2">
      <c r="A3059" s="1" t="s">
        <v>2774</v>
      </c>
      <c r="B3059" s="1" t="s">
        <v>2789</v>
      </c>
      <c r="C3059" s="1" t="str">
        <f>"66298902307888"</f>
        <v>66298902307888</v>
      </c>
      <c r="D3059" s="1" t="str">
        <f>"H056"</f>
        <v>H056</v>
      </c>
      <c r="E3059" s="1" t="s">
        <v>17</v>
      </c>
      <c r="F3059" s="1">
        <v>2</v>
      </c>
      <c r="G3059" s="1">
        <v>4883</v>
      </c>
      <c r="H3059" s="1">
        <v>9766</v>
      </c>
      <c r="I3059" s="1">
        <v>0</v>
      </c>
      <c r="J3059" s="1">
        <v>2</v>
      </c>
      <c r="K3059" s="1">
        <v>0</v>
      </c>
    </row>
    <row r="3060" spans="1:11" x14ac:dyDescent="0.2">
      <c r="A3060" s="1" t="s">
        <v>2774</v>
      </c>
      <c r="B3060" s="1" t="s">
        <v>2790</v>
      </c>
      <c r="C3060" s="1" t="str">
        <f>"66298902353997"</f>
        <v>66298902353997</v>
      </c>
      <c r="D3060" s="1" t="str">
        <f>"H161"</f>
        <v>H161</v>
      </c>
      <c r="E3060" s="1" t="s">
        <v>17</v>
      </c>
      <c r="F3060" s="1">
        <v>3</v>
      </c>
      <c r="G3060" s="1">
        <v>6371</v>
      </c>
      <c r="H3060" s="1">
        <v>19113</v>
      </c>
      <c r="I3060" s="1">
        <v>0</v>
      </c>
      <c r="J3060" s="1">
        <v>3</v>
      </c>
      <c r="K3060" s="1">
        <v>0</v>
      </c>
    </row>
    <row r="3061" spans="1:11" x14ac:dyDescent="0.2">
      <c r="A3061" s="1" t="s">
        <v>2774</v>
      </c>
      <c r="B3061" s="1" t="s">
        <v>2791</v>
      </c>
      <c r="C3061" s="1" t="str">
        <f>"66298902394138"</f>
        <v>66298902394138</v>
      </c>
      <c r="D3061" s="1" t="str">
        <f>"H083"</f>
        <v>H083</v>
      </c>
      <c r="E3061" s="1" t="s">
        <v>17</v>
      </c>
      <c r="F3061" s="1">
        <v>1</v>
      </c>
      <c r="G3061" s="1">
        <v>2930</v>
      </c>
      <c r="H3061" s="1">
        <v>2930</v>
      </c>
      <c r="I3061" s="1">
        <v>0</v>
      </c>
      <c r="J3061" s="1">
        <v>1</v>
      </c>
      <c r="K3061" s="1">
        <v>0</v>
      </c>
    </row>
    <row r="3062" spans="1:11" x14ac:dyDescent="0.2">
      <c r="A3062" s="1" t="s">
        <v>2774</v>
      </c>
      <c r="B3062" s="1" t="s">
        <v>2792</v>
      </c>
      <c r="C3062" s="1" t="str">
        <f>"66298902431574"</f>
        <v>66298902431574</v>
      </c>
      <c r="D3062" s="1" t="str">
        <f>"H084"</f>
        <v>H084</v>
      </c>
      <c r="E3062" s="1" t="s">
        <v>17</v>
      </c>
      <c r="F3062" s="1">
        <v>6</v>
      </c>
      <c r="G3062" s="1">
        <v>3116</v>
      </c>
      <c r="H3062" s="1">
        <v>18696</v>
      </c>
      <c r="I3062" s="1">
        <v>0</v>
      </c>
      <c r="J3062" s="1">
        <v>6</v>
      </c>
      <c r="K3062" s="1">
        <v>0</v>
      </c>
    </row>
    <row r="3063" spans="1:11" x14ac:dyDescent="0.2">
      <c r="A3063" s="1" t="s">
        <v>2774</v>
      </c>
      <c r="B3063" s="1" t="s">
        <v>2793</v>
      </c>
      <c r="C3063" s="1" t="str">
        <f>"66298902473846"</f>
        <v>66298902473846</v>
      </c>
      <c r="D3063" s="1" t="str">
        <f>"H086"</f>
        <v>H086</v>
      </c>
      <c r="E3063" s="1" t="s">
        <v>17</v>
      </c>
      <c r="F3063" s="1">
        <v>1</v>
      </c>
      <c r="G3063" s="1">
        <v>3311</v>
      </c>
      <c r="H3063" s="1">
        <v>3311</v>
      </c>
      <c r="I3063" s="1">
        <v>0</v>
      </c>
      <c r="J3063" s="1">
        <v>1</v>
      </c>
      <c r="K3063" s="1">
        <v>0</v>
      </c>
    </row>
    <row r="3064" spans="1:11" x14ac:dyDescent="0.2">
      <c r="A3064" s="1" t="s">
        <v>2774</v>
      </c>
      <c r="B3064" s="1" t="s">
        <v>2794</v>
      </c>
      <c r="C3064" s="1" t="str">
        <f>"66298902515957"</f>
        <v>66298902515957</v>
      </c>
      <c r="D3064" s="1" t="str">
        <f>"H087"</f>
        <v>H087</v>
      </c>
      <c r="E3064" s="1" t="s">
        <v>17</v>
      </c>
      <c r="F3064" s="1">
        <v>3</v>
      </c>
      <c r="G3064" s="1">
        <v>3560</v>
      </c>
      <c r="H3064" s="1">
        <v>10680</v>
      </c>
      <c r="I3064" s="1">
        <v>0</v>
      </c>
      <c r="J3064" s="1">
        <v>3</v>
      </c>
      <c r="K3064" s="1">
        <v>0</v>
      </c>
    </row>
    <row r="3065" spans="1:11" x14ac:dyDescent="0.2">
      <c r="A3065" s="1" t="s">
        <v>2774</v>
      </c>
      <c r="B3065" s="1" t="s">
        <v>2795</v>
      </c>
      <c r="C3065" s="1" t="str">
        <f>"66298902555881"</f>
        <v>66298902555881</v>
      </c>
      <c r="D3065" s="1" t="str">
        <f>"H082"</f>
        <v>H082</v>
      </c>
      <c r="E3065" s="1" t="s">
        <v>17</v>
      </c>
      <c r="F3065" s="1">
        <v>1</v>
      </c>
      <c r="G3065" s="1">
        <v>2744</v>
      </c>
      <c r="H3065" s="1">
        <v>2744</v>
      </c>
      <c r="I3065" s="1">
        <v>0</v>
      </c>
      <c r="J3065" s="1">
        <v>1</v>
      </c>
      <c r="K3065" s="1">
        <v>0</v>
      </c>
    </row>
    <row r="3066" spans="1:11" x14ac:dyDescent="0.2">
      <c r="A3066" s="1" t="s">
        <v>2774</v>
      </c>
      <c r="B3066" s="1" t="s">
        <v>2796</v>
      </c>
      <c r="C3066" s="1" t="str">
        <f>"66298902599911"</f>
        <v>66298902599911</v>
      </c>
      <c r="D3066" s="1" t="str">
        <f>"H076"</f>
        <v>H076</v>
      </c>
      <c r="E3066" s="1" t="s">
        <v>17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</row>
    <row r="3067" spans="1:11" x14ac:dyDescent="0.2">
      <c r="A3067" s="1" t="s">
        <v>18</v>
      </c>
      <c r="B3067" s="1" t="s">
        <v>2797</v>
      </c>
      <c r="C3067" s="1" t="str">
        <f>"66298902647192"</f>
        <v>66298902647192</v>
      </c>
      <c r="D3067" s="1" t="str">
        <f>"R058"</f>
        <v>R058</v>
      </c>
      <c r="E3067" s="1" t="s">
        <v>17</v>
      </c>
      <c r="F3067" s="1">
        <v>6</v>
      </c>
      <c r="G3067" s="1">
        <v>828</v>
      </c>
      <c r="H3067" s="1">
        <v>4968</v>
      </c>
      <c r="I3067" s="1">
        <v>0</v>
      </c>
      <c r="J3067" s="1">
        <v>6</v>
      </c>
      <c r="K3067" s="1">
        <v>0</v>
      </c>
    </row>
    <row r="3068" spans="1:11" x14ac:dyDescent="0.2">
      <c r="A3068" s="1" t="s">
        <v>15</v>
      </c>
      <c r="B3068" s="1" t="s">
        <v>2798</v>
      </c>
      <c r="C3068" s="1" t="str">
        <f>"15AFE5"</f>
        <v>15AFE5</v>
      </c>
      <c r="D3068" s="1" t="str">
        <f>"15AFE5"</f>
        <v>15AFE5</v>
      </c>
      <c r="E3068" s="1" t="s">
        <v>17</v>
      </c>
      <c r="F3068" s="1">
        <v>11</v>
      </c>
      <c r="G3068" s="1">
        <v>8781.5</v>
      </c>
      <c r="H3068" s="1">
        <v>96597</v>
      </c>
      <c r="I3068" s="1">
        <v>0</v>
      </c>
      <c r="J3068" s="1">
        <v>11</v>
      </c>
      <c r="K3068" s="1">
        <v>0</v>
      </c>
    </row>
    <row r="3069" spans="1:11" x14ac:dyDescent="0.2">
      <c r="A3069" s="1" t="s">
        <v>15</v>
      </c>
      <c r="B3069" s="1" t="s">
        <v>2799</v>
      </c>
      <c r="C3069" s="1" t="str">
        <f>"800644"</f>
        <v>800644</v>
      </c>
      <c r="D3069" s="1" t="str">
        <f>"800644"</f>
        <v>800644</v>
      </c>
      <c r="E3069" s="1" t="s">
        <v>17</v>
      </c>
      <c r="F3069" s="1">
        <v>2</v>
      </c>
      <c r="G3069" s="1">
        <v>4408</v>
      </c>
      <c r="H3069" s="1">
        <v>8816</v>
      </c>
      <c r="I3069" s="1">
        <v>0</v>
      </c>
      <c r="J3069" s="1">
        <v>2</v>
      </c>
      <c r="K3069" s="1">
        <v>0</v>
      </c>
    </row>
    <row r="3070" spans="1:11" x14ac:dyDescent="0.2">
      <c r="A3070" s="1" t="s">
        <v>15</v>
      </c>
      <c r="B3070" s="1" t="s">
        <v>2800</v>
      </c>
      <c r="C3070" s="1" t="str">
        <f>"800645"</f>
        <v>800645</v>
      </c>
      <c r="D3070" s="1" t="str">
        <f>"800645"</f>
        <v>800645</v>
      </c>
      <c r="E3070" s="1" t="s">
        <v>17</v>
      </c>
      <c r="F3070" s="1">
        <v>2</v>
      </c>
      <c r="G3070" s="1">
        <v>4408</v>
      </c>
      <c r="H3070" s="1">
        <v>8816</v>
      </c>
      <c r="I3070" s="1">
        <v>0</v>
      </c>
      <c r="J3070" s="1">
        <v>2</v>
      </c>
      <c r="K3070" s="1">
        <v>0</v>
      </c>
    </row>
    <row r="3071" spans="1:11" x14ac:dyDescent="0.2">
      <c r="A3071" s="1" t="s">
        <v>15</v>
      </c>
      <c r="B3071" s="1" t="s">
        <v>2801</v>
      </c>
      <c r="C3071" s="1" t="str">
        <f>"800643"</f>
        <v>800643</v>
      </c>
      <c r="D3071" s="1" t="str">
        <f>"800643"</f>
        <v>800643</v>
      </c>
      <c r="E3071" s="1" t="s">
        <v>17</v>
      </c>
      <c r="F3071" s="1">
        <v>1</v>
      </c>
      <c r="G3071" s="1">
        <v>4408</v>
      </c>
      <c r="H3071" s="1">
        <v>4408</v>
      </c>
      <c r="I3071" s="1">
        <v>0</v>
      </c>
      <c r="J3071" s="1">
        <v>1</v>
      </c>
      <c r="K3071" s="1">
        <v>0</v>
      </c>
    </row>
    <row r="3072" spans="1:11" x14ac:dyDescent="0.2">
      <c r="A3072" s="1" t="s">
        <v>15</v>
      </c>
      <c r="B3072" s="1" t="s">
        <v>2802</v>
      </c>
      <c r="C3072" s="1" t="str">
        <f>"66298902734887"</f>
        <v>66298902734887</v>
      </c>
      <c r="D3072" s="1" t="str">
        <f>"1591"</f>
        <v>1591</v>
      </c>
      <c r="E3072" s="1" t="s">
        <v>17</v>
      </c>
      <c r="F3072" s="1">
        <v>21</v>
      </c>
      <c r="G3072" s="1">
        <v>11277</v>
      </c>
      <c r="H3072" s="1">
        <v>236817</v>
      </c>
      <c r="I3072" s="1">
        <v>0</v>
      </c>
      <c r="J3072" s="1">
        <v>21</v>
      </c>
      <c r="K3072" s="1">
        <v>0</v>
      </c>
    </row>
    <row r="3073" spans="1:11" x14ac:dyDescent="0.2">
      <c r="A3073" s="1" t="s">
        <v>15</v>
      </c>
      <c r="B3073" s="1" t="s">
        <v>2803</v>
      </c>
      <c r="C3073" s="1" t="str">
        <f>"66298902771948"</f>
        <v>66298902771948</v>
      </c>
      <c r="D3073" s="1" t="str">
        <f>"1592"</f>
        <v>1592</v>
      </c>
      <c r="E3073" s="1" t="s">
        <v>17</v>
      </c>
      <c r="F3073" s="1">
        <v>32</v>
      </c>
      <c r="G3073" s="1">
        <v>6420</v>
      </c>
      <c r="H3073" s="1">
        <v>205440</v>
      </c>
      <c r="I3073" s="1">
        <v>0</v>
      </c>
      <c r="J3073" s="1">
        <v>32</v>
      </c>
      <c r="K3073" s="1">
        <v>0</v>
      </c>
    </row>
    <row r="3074" spans="1:11" x14ac:dyDescent="0.2">
      <c r="A3074" s="1" t="s">
        <v>15</v>
      </c>
      <c r="B3074" s="1" t="s">
        <v>2804</v>
      </c>
      <c r="C3074" s="1" t="str">
        <f>"RPP9004BPB"</f>
        <v>RPP9004BPB</v>
      </c>
      <c r="D3074" s="1" t="str">
        <f>"RPP9004BPB"</f>
        <v>RPP9004BPB</v>
      </c>
      <c r="E3074" s="1" t="s">
        <v>17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</row>
    <row r="3075" spans="1:11" x14ac:dyDescent="0.2">
      <c r="A3075" s="1" t="s">
        <v>15</v>
      </c>
      <c r="B3075" s="1" t="s">
        <v>2805</v>
      </c>
      <c r="C3075" s="1" t="str">
        <f>"66298902852569"</f>
        <v>66298902852569</v>
      </c>
      <c r="D3075" s="1" t="str">
        <f>"715W98"</f>
        <v>715W98</v>
      </c>
      <c r="E3075" s="1" t="s">
        <v>17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</row>
    <row r="3076" spans="1:11" x14ac:dyDescent="0.2">
      <c r="A3076" s="1" t="s">
        <v>15</v>
      </c>
      <c r="B3076" s="1" t="s">
        <v>2806</v>
      </c>
      <c r="C3076" s="1" t="str">
        <f>"10949"</f>
        <v>10949</v>
      </c>
      <c r="D3076" s="1" t="str">
        <f>"10949"</f>
        <v>10949</v>
      </c>
      <c r="E3076" s="1" t="s">
        <v>17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</row>
    <row r="3077" spans="1:11" x14ac:dyDescent="0.2">
      <c r="A3077" s="1" t="s">
        <v>15</v>
      </c>
      <c r="B3077" s="1" t="s">
        <v>2807</v>
      </c>
      <c r="C3077" s="1" t="str">
        <f>"12139"</f>
        <v>12139</v>
      </c>
      <c r="D3077" s="1" t="str">
        <f>"12139"</f>
        <v>12139</v>
      </c>
      <c r="E3077" s="1" t="s">
        <v>17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</row>
    <row r="3078" spans="1:11" x14ac:dyDescent="0.2">
      <c r="A3078" s="1" t="s">
        <v>15</v>
      </c>
      <c r="B3078" s="1" t="s">
        <v>2808</v>
      </c>
      <c r="C3078" s="1" t="str">
        <f>"11631"</f>
        <v>11631</v>
      </c>
      <c r="D3078" s="1" t="str">
        <f>"11631"</f>
        <v>11631</v>
      </c>
      <c r="E3078" s="1" t="s">
        <v>17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</row>
    <row r="3079" spans="1:11" ht="30" x14ac:dyDescent="0.2">
      <c r="A3079" s="1" t="s">
        <v>15</v>
      </c>
      <c r="B3079" s="1" t="s">
        <v>2809</v>
      </c>
      <c r="C3079" s="1" t="str">
        <f>"6010229"</f>
        <v>6010229</v>
      </c>
      <c r="D3079" s="1" t="str">
        <f>"6010229"</f>
        <v>6010229</v>
      </c>
      <c r="E3079" s="1" t="s">
        <v>17</v>
      </c>
      <c r="F3079" s="1">
        <v>9</v>
      </c>
      <c r="G3079" s="1">
        <v>9800</v>
      </c>
      <c r="H3079" s="1">
        <v>88200</v>
      </c>
      <c r="I3079" s="1">
        <v>0</v>
      </c>
      <c r="J3079" s="1">
        <v>9</v>
      </c>
      <c r="K3079" s="1">
        <v>0</v>
      </c>
    </row>
    <row r="3080" spans="1:11" x14ac:dyDescent="0.2">
      <c r="A3080" s="1" t="s">
        <v>15</v>
      </c>
      <c r="B3080" s="1" t="s">
        <v>2810</v>
      </c>
      <c r="C3080" s="1" t="str">
        <f>"66298902946003"</f>
        <v>66298902946003</v>
      </c>
      <c r="D3080" s="1" t="str">
        <f>"102982"</f>
        <v>102982</v>
      </c>
      <c r="E3080" s="1" t="s">
        <v>17</v>
      </c>
      <c r="F3080" s="1">
        <v>3</v>
      </c>
      <c r="G3080" s="1">
        <v>10690</v>
      </c>
      <c r="H3080" s="1">
        <v>32070</v>
      </c>
      <c r="I3080" s="1">
        <v>0</v>
      </c>
      <c r="J3080" s="1">
        <v>3</v>
      </c>
      <c r="K3080" s="1">
        <v>0</v>
      </c>
    </row>
    <row r="3081" spans="1:11" x14ac:dyDescent="0.2">
      <c r="A3081" s="1" t="s">
        <v>15</v>
      </c>
      <c r="B3081" s="1" t="s">
        <v>2810</v>
      </c>
      <c r="C3081" s="1" t="str">
        <f>"66298902963002"</f>
        <v>66298902963002</v>
      </c>
      <c r="D3081" s="1" t="str">
        <f>"6010148"</f>
        <v>6010148</v>
      </c>
      <c r="E3081" s="1" t="s">
        <v>17</v>
      </c>
      <c r="F3081" s="1">
        <v>11</v>
      </c>
      <c r="G3081" s="1">
        <v>9800</v>
      </c>
      <c r="H3081" s="1">
        <v>107800</v>
      </c>
      <c r="I3081" s="1">
        <v>0</v>
      </c>
      <c r="J3081" s="1">
        <v>11</v>
      </c>
      <c r="K3081" s="1">
        <v>0</v>
      </c>
    </row>
    <row r="3082" spans="1:11" ht="30" x14ac:dyDescent="0.2">
      <c r="A3082" s="1" t="s">
        <v>15</v>
      </c>
      <c r="B3082" s="1" t="s">
        <v>2811</v>
      </c>
      <c r="C3082" s="1" t="str">
        <f>"6010149"</f>
        <v>6010149</v>
      </c>
      <c r="D3082" s="1" t="str">
        <f>"6010149"</f>
        <v>6010149</v>
      </c>
      <c r="E3082" s="1" t="s">
        <v>17</v>
      </c>
      <c r="F3082" s="1">
        <v>8</v>
      </c>
      <c r="G3082" s="1">
        <v>9800</v>
      </c>
      <c r="H3082" s="1">
        <v>78400</v>
      </c>
      <c r="I3082" s="1">
        <v>0</v>
      </c>
      <c r="J3082" s="1">
        <v>8</v>
      </c>
      <c r="K3082" s="1">
        <v>0</v>
      </c>
    </row>
    <row r="3083" spans="1:11" x14ac:dyDescent="0.2">
      <c r="A3083" s="1" t="s">
        <v>98</v>
      </c>
      <c r="B3083" s="1" t="s">
        <v>2812</v>
      </c>
      <c r="C3083" s="1" t="str">
        <f>"123617"</f>
        <v>123617</v>
      </c>
      <c r="D3083" s="1" t="str">
        <f>"123617"</f>
        <v>123617</v>
      </c>
      <c r="E3083" s="1" t="s">
        <v>17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</row>
    <row r="3084" spans="1:11" x14ac:dyDescent="0.2">
      <c r="A3084" s="2" t="s">
        <v>1567</v>
      </c>
      <c r="B3084" s="1" t="s">
        <v>2813</v>
      </c>
      <c r="C3084" s="2" t="str">
        <f>"IM-352981"</f>
        <v>IM-352981</v>
      </c>
      <c r="D3084" s="2" t="str">
        <f>"IM-352981"</f>
        <v>IM-352981</v>
      </c>
      <c r="E3084" s="2" t="s">
        <v>17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</row>
    <row r="3085" spans="1:11" x14ac:dyDescent="0.2">
      <c r="A3085" s="2"/>
      <c r="B3085" s="1" t="s">
        <v>2814</v>
      </c>
      <c r="C3085" s="2"/>
      <c r="D3085" s="2"/>
      <c r="E3085" s="2"/>
      <c r="F3085" s="2"/>
      <c r="G3085" s="2"/>
      <c r="H3085" s="2"/>
      <c r="I3085" s="2"/>
      <c r="J3085" s="2"/>
      <c r="K3085" s="2"/>
    </row>
    <row r="3086" spans="1:11" x14ac:dyDescent="0.2">
      <c r="A3086" s="2"/>
      <c r="B3086" s="1" t="s">
        <v>2815</v>
      </c>
      <c r="C3086" s="2"/>
      <c r="D3086" s="2"/>
      <c r="E3086" s="2"/>
      <c r="F3086" s="2"/>
      <c r="G3086" s="2"/>
      <c r="H3086" s="2"/>
      <c r="I3086" s="2"/>
      <c r="J3086" s="2"/>
      <c r="K3086" s="2"/>
    </row>
    <row r="3087" spans="1:11" x14ac:dyDescent="0.2">
      <c r="A3087" s="2"/>
      <c r="B3087" s="1" t="s">
        <v>1571</v>
      </c>
      <c r="C3087" s="2"/>
      <c r="D3087" s="2"/>
      <c r="E3087" s="2"/>
      <c r="F3087" s="2"/>
      <c r="G3087" s="2"/>
      <c r="H3087" s="2"/>
      <c r="I3087" s="2"/>
      <c r="J3087" s="2"/>
      <c r="K3087" s="2"/>
    </row>
    <row r="3088" spans="1:11" x14ac:dyDescent="0.2">
      <c r="A3088" s="2"/>
      <c r="B3088" s="1" t="s">
        <v>2816</v>
      </c>
      <c r="C3088" s="2"/>
      <c r="D3088" s="2"/>
      <c r="E3088" s="2"/>
      <c r="F3088" s="2"/>
      <c r="G3088" s="2"/>
      <c r="H3088" s="2"/>
      <c r="I3088" s="2"/>
      <c r="J3088" s="2"/>
      <c r="K3088" s="2"/>
    </row>
    <row r="3089" spans="1:11" x14ac:dyDescent="0.2">
      <c r="A3089" s="2"/>
      <c r="B3089" s="1" t="s">
        <v>2817</v>
      </c>
      <c r="C3089" s="2"/>
      <c r="D3089" s="2"/>
      <c r="E3089" s="2"/>
      <c r="F3089" s="2"/>
      <c r="G3089" s="2"/>
      <c r="H3089" s="2"/>
      <c r="I3089" s="2"/>
      <c r="J3089" s="2"/>
      <c r="K3089" s="2"/>
    </row>
    <row r="3090" spans="1:11" x14ac:dyDescent="0.2">
      <c r="A3090" s="2"/>
      <c r="B3090" s="1" t="s">
        <v>1574</v>
      </c>
      <c r="C3090" s="2"/>
      <c r="D3090" s="2"/>
      <c r="E3090" s="2"/>
      <c r="F3090" s="2"/>
      <c r="G3090" s="2"/>
      <c r="H3090" s="2"/>
      <c r="I3090" s="2"/>
      <c r="J3090" s="2"/>
      <c r="K3090" s="2"/>
    </row>
    <row r="3091" spans="1:11" x14ac:dyDescent="0.2">
      <c r="A3091" s="2"/>
      <c r="B3091" s="1" t="s">
        <v>1575</v>
      </c>
      <c r="C3091" s="2"/>
      <c r="D3091" s="2"/>
      <c r="E3091" s="2"/>
      <c r="F3091" s="2"/>
      <c r="G3091" s="2"/>
      <c r="H3091" s="2"/>
      <c r="I3091" s="2"/>
      <c r="J3091" s="2"/>
      <c r="K3091" s="2"/>
    </row>
    <row r="3092" spans="1:11" x14ac:dyDescent="0.2">
      <c r="A3092" s="2"/>
      <c r="B3092" s="1" t="s">
        <v>2818</v>
      </c>
      <c r="C3092" s="2"/>
      <c r="D3092" s="2"/>
      <c r="E3092" s="2"/>
      <c r="F3092" s="2"/>
      <c r="G3092" s="2"/>
      <c r="H3092" s="2"/>
      <c r="I3092" s="2"/>
      <c r="J3092" s="2"/>
      <c r="K3092" s="2"/>
    </row>
    <row r="3093" spans="1:11" x14ac:dyDescent="0.2">
      <c r="A3093" s="2"/>
      <c r="B3093" s="1" t="s">
        <v>2819</v>
      </c>
      <c r="C3093" s="2"/>
      <c r="D3093" s="2"/>
      <c r="E3093" s="2"/>
      <c r="F3093" s="2"/>
      <c r="G3093" s="2"/>
      <c r="H3093" s="2"/>
      <c r="I3093" s="2"/>
      <c r="J3093" s="2"/>
      <c r="K3093" s="2"/>
    </row>
    <row r="3094" spans="1:11" x14ac:dyDescent="0.2">
      <c r="A3094" s="1" t="s">
        <v>18</v>
      </c>
      <c r="B3094" s="1" t="s">
        <v>2820</v>
      </c>
      <c r="C3094" s="1" t="str">
        <f>"66298903060104"</f>
        <v>66298903060104</v>
      </c>
      <c r="D3094" s="1" t="str">
        <f>"Y298"</f>
        <v>Y298</v>
      </c>
      <c r="E3094" s="1" t="s">
        <v>17</v>
      </c>
      <c r="F3094" s="1">
        <v>1</v>
      </c>
      <c r="G3094" s="1">
        <v>27441</v>
      </c>
      <c r="H3094" s="1">
        <v>27441</v>
      </c>
      <c r="I3094" s="1">
        <v>0</v>
      </c>
      <c r="J3094" s="1">
        <v>1</v>
      </c>
      <c r="K3094" s="1">
        <v>0</v>
      </c>
    </row>
    <row r="3095" spans="1:11" x14ac:dyDescent="0.2">
      <c r="A3095" s="1" t="s">
        <v>18</v>
      </c>
      <c r="B3095" s="1" t="s">
        <v>2821</v>
      </c>
      <c r="C3095" s="1" t="str">
        <f>"MALE-UNIV"</f>
        <v>MALE-UNIV</v>
      </c>
      <c r="D3095" s="1" t="str">
        <f>"MALE-UNIV"</f>
        <v>MALE-UNIV</v>
      </c>
      <c r="E3095" s="1" t="s">
        <v>17</v>
      </c>
      <c r="F3095" s="1">
        <v>2</v>
      </c>
      <c r="G3095" s="1">
        <v>8782.69</v>
      </c>
      <c r="H3095" s="1">
        <v>17565</v>
      </c>
      <c r="I3095" s="1">
        <v>0</v>
      </c>
      <c r="J3095" s="1">
        <v>2</v>
      </c>
      <c r="K3095" s="1">
        <v>0</v>
      </c>
    </row>
    <row r="3096" spans="1:11" x14ac:dyDescent="0.2">
      <c r="A3096" s="1" t="s">
        <v>18</v>
      </c>
      <c r="B3096" s="1" t="s">
        <v>2822</v>
      </c>
      <c r="C3096" s="1" t="str">
        <f>"66298903101694"</f>
        <v>66298903101694</v>
      </c>
      <c r="D3096" s="1" t="str">
        <f>"1351XL"</f>
        <v>1351XL</v>
      </c>
      <c r="E3096" s="1" t="s">
        <v>17</v>
      </c>
      <c r="F3096" s="1">
        <v>1</v>
      </c>
      <c r="G3096" s="1">
        <v>2268.91</v>
      </c>
      <c r="H3096" s="1">
        <v>2269</v>
      </c>
      <c r="I3096" s="1">
        <v>0</v>
      </c>
      <c r="J3096" s="1">
        <v>1</v>
      </c>
      <c r="K3096" s="1">
        <v>0</v>
      </c>
    </row>
    <row r="3097" spans="1:11" x14ac:dyDescent="0.2">
      <c r="A3097" s="1" t="s">
        <v>18</v>
      </c>
      <c r="B3097" s="1" t="s">
        <v>2822</v>
      </c>
      <c r="C3097" s="1" t="str">
        <f>"66298903109622"</f>
        <v>66298903109622</v>
      </c>
      <c r="D3097" s="1" t="str">
        <f>"75XL"</f>
        <v>75XL</v>
      </c>
      <c r="E3097" s="1" t="s">
        <v>17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</row>
    <row r="3098" spans="1:11" x14ac:dyDescent="0.2">
      <c r="A3098" s="1" t="s">
        <v>18</v>
      </c>
      <c r="B3098" s="1" t="s">
        <v>2822</v>
      </c>
      <c r="C3098" s="1" t="str">
        <f>"0184"</f>
        <v>0184</v>
      </c>
      <c r="D3098" s="1" t="str">
        <f>"0184"</f>
        <v>0184</v>
      </c>
      <c r="E3098" s="1" t="s">
        <v>17</v>
      </c>
      <c r="F3098" s="1">
        <v>3</v>
      </c>
      <c r="G3098" s="1">
        <v>2008.32</v>
      </c>
      <c r="H3098" s="1">
        <v>6025</v>
      </c>
      <c r="I3098" s="1">
        <v>0</v>
      </c>
      <c r="J3098" s="1">
        <v>3</v>
      </c>
      <c r="K3098" s="1">
        <v>0</v>
      </c>
    </row>
    <row r="3099" spans="1:11" x14ac:dyDescent="0.2">
      <c r="A3099" s="1" t="s">
        <v>18</v>
      </c>
      <c r="B3099" s="1" t="s">
        <v>2823</v>
      </c>
      <c r="C3099" s="1" t="str">
        <f>"66298903162996"</f>
        <v>66298903162996</v>
      </c>
      <c r="D3099" s="1" t="str">
        <f>"1351-2XL"</f>
        <v>1351-2XL</v>
      </c>
      <c r="E3099" s="1" t="s">
        <v>17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</row>
    <row r="3100" spans="1:11" x14ac:dyDescent="0.2">
      <c r="A3100" s="1" t="s">
        <v>2824</v>
      </c>
      <c r="B3100" s="1" t="s">
        <v>2825</v>
      </c>
      <c r="C3100" s="1" t="str">
        <f>"MG-5.0-SL"</f>
        <v>MG-5.0-SL</v>
      </c>
      <c r="D3100" s="1" t="str">
        <f>"MG-5.0-SL"</f>
        <v>MG-5.0-SL</v>
      </c>
      <c r="E3100" s="1" t="s">
        <v>17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</row>
    <row r="3101" spans="1:11" x14ac:dyDescent="0.2">
      <c r="A3101" s="1" t="s">
        <v>2824</v>
      </c>
      <c r="B3101" s="1" t="s">
        <v>2825</v>
      </c>
      <c r="C3101" s="1" t="str">
        <f>"BF005-1M"</f>
        <v>BF005-1M</v>
      </c>
      <c r="D3101" s="1" t="str">
        <f>"BF005-1M"</f>
        <v>BF005-1M</v>
      </c>
      <c r="E3101" s="1" t="s">
        <v>17</v>
      </c>
      <c r="F3101" s="1">
        <v>19</v>
      </c>
      <c r="G3101" s="1">
        <v>398.65</v>
      </c>
      <c r="H3101" s="1">
        <v>7574</v>
      </c>
      <c r="I3101" s="1">
        <v>0</v>
      </c>
      <c r="J3101" s="1">
        <v>19</v>
      </c>
      <c r="K3101" s="1">
        <v>0</v>
      </c>
    </row>
    <row r="3102" spans="1:11" x14ac:dyDescent="0.2">
      <c r="A3102" s="1" t="s">
        <v>2826</v>
      </c>
      <c r="B3102" s="1" t="s">
        <v>2827</v>
      </c>
      <c r="C3102" s="1" t="str">
        <f>"BF005"</f>
        <v>BF005</v>
      </c>
      <c r="D3102" s="1" t="str">
        <f>"BF005"</f>
        <v>BF005</v>
      </c>
      <c r="E3102" s="1" t="s">
        <v>17</v>
      </c>
      <c r="F3102" s="1">
        <v>2</v>
      </c>
      <c r="G3102" s="1">
        <v>483.3</v>
      </c>
      <c r="H3102" s="1">
        <v>967</v>
      </c>
      <c r="I3102" s="1">
        <v>0</v>
      </c>
      <c r="J3102" s="1">
        <v>2</v>
      </c>
      <c r="K3102" s="1">
        <v>0</v>
      </c>
    </row>
    <row r="3103" spans="1:11" x14ac:dyDescent="0.2">
      <c r="A3103" s="1" t="s">
        <v>2824</v>
      </c>
      <c r="B3103" s="1" t="s">
        <v>2828</v>
      </c>
      <c r="C3103" s="1" t="str">
        <f>"BF005-50CM"</f>
        <v>BF005-50CM</v>
      </c>
      <c r="D3103" s="1" t="str">
        <f>"BF005-50CM"</f>
        <v>BF005-50CM</v>
      </c>
      <c r="E3103" s="1" t="s">
        <v>17</v>
      </c>
      <c r="F3103" s="1">
        <v>41</v>
      </c>
      <c r="G3103" s="1">
        <v>199.82</v>
      </c>
      <c r="H3103" s="1">
        <v>8193</v>
      </c>
      <c r="I3103" s="1">
        <v>0</v>
      </c>
      <c r="J3103" s="1">
        <v>41</v>
      </c>
      <c r="K3103" s="1">
        <v>0</v>
      </c>
    </row>
    <row r="3104" spans="1:11" x14ac:dyDescent="0.2">
      <c r="A3104" s="1" t="s">
        <v>98</v>
      </c>
      <c r="B3104" s="1" t="s">
        <v>2829</v>
      </c>
      <c r="C3104" s="1" t="str">
        <f>"66298903207899"</f>
        <v>66298903207899</v>
      </c>
      <c r="D3104" s="1" t="str">
        <f>"83956"</f>
        <v>83956</v>
      </c>
      <c r="E3104" s="1" t="s">
        <v>17</v>
      </c>
      <c r="F3104" s="1">
        <v>3</v>
      </c>
      <c r="G3104" s="1">
        <v>358</v>
      </c>
      <c r="H3104" s="1">
        <v>1074</v>
      </c>
      <c r="I3104" s="1">
        <v>0</v>
      </c>
      <c r="J3104" s="1">
        <v>3</v>
      </c>
      <c r="K3104" s="1">
        <v>0</v>
      </c>
    </row>
    <row r="3105" spans="1:11" x14ac:dyDescent="0.2">
      <c r="A3105" s="1" t="s">
        <v>98</v>
      </c>
      <c r="B3105" s="1" t="s">
        <v>2830</v>
      </c>
      <c r="C3105" s="1" t="str">
        <f>"66298903256130"</f>
        <v>66298903256130</v>
      </c>
      <c r="D3105" s="1" t="str">
        <f>"83824"</f>
        <v>83824</v>
      </c>
      <c r="E3105" s="1" t="s">
        <v>17</v>
      </c>
      <c r="F3105" s="1">
        <v>2</v>
      </c>
      <c r="G3105" s="1">
        <v>710</v>
      </c>
      <c r="H3105" s="1">
        <v>1420</v>
      </c>
      <c r="I3105" s="1">
        <v>0</v>
      </c>
      <c r="J3105" s="1">
        <v>2</v>
      </c>
      <c r="K3105" s="1">
        <v>0</v>
      </c>
    </row>
    <row r="3106" spans="1:11" x14ac:dyDescent="0.2">
      <c r="A3106" s="1" t="s">
        <v>2831</v>
      </c>
      <c r="B3106" s="1" t="s">
        <v>2832</v>
      </c>
      <c r="C3106" s="1" t="str">
        <f>"66298903301687"</f>
        <v>66298903301687</v>
      </c>
      <c r="D3106" s="1" t="str">
        <f>"401033"</f>
        <v>401033</v>
      </c>
      <c r="E3106" s="1" t="s">
        <v>17</v>
      </c>
      <c r="F3106" s="1">
        <v>44</v>
      </c>
      <c r="G3106" s="1">
        <v>573</v>
      </c>
      <c r="H3106" s="1">
        <v>25212</v>
      </c>
      <c r="I3106" s="1">
        <v>0</v>
      </c>
      <c r="J3106" s="1">
        <v>44</v>
      </c>
      <c r="K3106" s="1">
        <v>0</v>
      </c>
    </row>
    <row r="3107" spans="1:11" x14ac:dyDescent="0.2">
      <c r="A3107" s="1" t="s">
        <v>2831</v>
      </c>
      <c r="B3107" s="1" t="s">
        <v>2833</v>
      </c>
      <c r="C3107" s="1" t="str">
        <f>"66298903343009"</f>
        <v>66298903343009</v>
      </c>
      <c r="D3107" s="1" t="str">
        <f>"QC025"</f>
        <v>QC025</v>
      </c>
      <c r="E3107" s="1" t="s">
        <v>17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</row>
    <row r="3108" spans="1:11" x14ac:dyDescent="0.2">
      <c r="A3108" s="1" t="s">
        <v>2831</v>
      </c>
      <c r="B3108" s="1" t="s">
        <v>2834</v>
      </c>
      <c r="C3108" s="1" t="str">
        <f>"QC041"</f>
        <v>QC041</v>
      </c>
      <c r="D3108" s="1" t="str">
        <f>"QC041"</f>
        <v>QC041</v>
      </c>
      <c r="E3108" s="1" t="s">
        <v>17</v>
      </c>
      <c r="F3108" s="1">
        <v>9</v>
      </c>
      <c r="G3108" s="1">
        <v>1305</v>
      </c>
      <c r="H3108" s="1">
        <v>11745</v>
      </c>
      <c r="I3108" s="1">
        <v>0</v>
      </c>
      <c r="J3108" s="1">
        <v>9</v>
      </c>
      <c r="K3108" s="1">
        <v>0</v>
      </c>
    </row>
    <row r="3109" spans="1:11" ht="30" x14ac:dyDescent="0.2">
      <c r="A3109" s="1" t="s">
        <v>2831</v>
      </c>
      <c r="B3109" s="1" t="s">
        <v>2835</v>
      </c>
      <c r="C3109" s="1" t="str">
        <f>"66298903394200"</f>
        <v>66298903394200</v>
      </c>
      <c r="D3109" s="1" t="str">
        <f>"708-EMB-DOMINAR"</f>
        <v>708-EMB-DOMINAR</v>
      </c>
      <c r="E3109" s="1" t="s">
        <v>17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</row>
    <row r="3110" spans="1:11" x14ac:dyDescent="0.2">
      <c r="A3110" s="1" t="s">
        <v>2831</v>
      </c>
      <c r="B3110" s="1" t="s">
        <v>2836</v>
      </c>
      <c r="C3110" s="1" t="str">
        <f>"66298903438511"</f>
        <v>66298903438511</v>
      </c>
      <c r="D3110" s="1" t="str">
        <f>"LCS120SILVE"</f>
        <v>LCS120SILVE</v>
      </c>
      <c r="E3110" s="1" t="s">
        <v>17</v>
      </c>
      <c r="F3110" s="1">
        <v>2</v>
      </c>
      <c r="G3110" s="1">
        <v>1441</v>
      </c>
      <c r="H3110" s="1">
        <v>2882</v>
      </c>
      <c r="I3110" s="1">
        <v>0</v>
      </c>
      <c r="J3110" s="1">
        <v>2</v>
      </c>
      <c r="K3110" s="1">
        <v>0</v>
      </c>
    </row>
    <row r="3111" spans="1:11" ht="30" x14ac:dyDescent="0.2">
      <c r="A3111" s="1" t="s">
        <v>2831</v>
      </c>
      <c r="B3111" s="1" t="s">
        <v>2837</v>
      </c>
      <c r="C3111" s="1" t="str">
        <f>"66298903483697"</f>
        <v>66298903483697</v>
      </c>
      <c r="D3111" s="1" t="str">
        <f>"400458"</f>
        <v>400458</v>
      </c>
      <c r="E3111" s="1" t="s">
        <v>17</v>
      </c>
      <c r="F3111" s="1">
        <v>12</v>
      </c>
      <c r="G3111" s="1">
        <v>525</v>
      </c>
      <c r="H3111" s="1">
        <v>6300</v>
      </c>
      <c r="I3111" s="1">
        <v>0</v>
      </c>
      <c r="J3111" s="1">
        <v>12</v>
      </c>
      <c r="K3111" s="1">
        <v>0</v>
      </c>
    </row>
    <row r="3112" spans="1:11" x14ac:dyDescent="0.2">
      <c r="A3112" s="1" t="s">
        <v>2831</v>
      </c>
      <c r="B3112" s="1" t="s">
        <v>2838</v>
      </c>
      <c r="C3112" s="1" t="str">
        <f>"12344-EMBRAGUE"</f>
        <v>12344-EMBRAGUE</v>
      </c>
      <c r="D3112" s="1" t="str">
        <f>"12344-EMBRAGUE"</f>
        <v>12344-EMBRAGUE</v>
      </c>
      <c r="E3112" s="1" t="s">
        <v>17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</row>
    <row r="3113" spans="1:11" x14ac:dyDescent="0.2">
      <c r="A3113" s="1" t="s">
        <v>2831</v>
      </c>
      <c r="B3113" s="1" t="s">
        <v>2839</v>
      </c>
      <c r="C3113" s="1" t="str">
        <f>"66298903525941"</f>
        <v>66298903525941</v>
      </c>
      <c r="D3113" s="1" t="str">
        <f>"3HE839120000T"</f>
        <v>3HE839120000T</v>
      </c>
      <c r="E3113" s="1" t="s">
        <v>17</v>
      </c>
      <c r="F3113" s="1">
        <v>1</v>
      </c>
      <c r="G3113" s="1">
        <v>1715</v>
      </c>
      <c r="H3113" s="1">
        <v>1715</v>
      </c>
      <c r="I3113" s="1">
        <v>0</v>
      </c>
      <c r="J3113" s="1">
        <v>1</v>
      </c>
      <c r="K3113" s="1">
        <v>0</v>
      </c>
    </row>
    <row r="3114" spans="1:11" x14ac:dyDescent="0.2">
      <c r="A3114" s="1" t="s">
        <v>2831</v>
      </c>
      <c r="B3114" s="1" t="s">
        <v>2840</v>
      </c>
      <c r="C3114" s="1" t="str">
        <f>"QC047"</f>
        <v>QC047</v>
      </c>
      <c r="D3114" s="1" t="str">
        <f>"QC047"</f>
        <v>QC047</v>
      </c>
      <c r="E3114" s="1" t="s">
        <v>17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</row>
    <row r="3115" spans="1:11" x14ac:dyDescent="0.2">
      <c r="A3115" s="1" t="s">
        <v>2831</v>
      </c>
      <c r="B3115" s="1" t="s">
        <v>2841</v>
      </c>
      <c r="C3115" s="1" t="str">
        <f>"66298903569126"</f>
        <v>66298903569126</v>
      </c>
      <c r="D3115" s="1" t="str">
        <f>"400459"</f>
        <v>400459</v>
      </c>
      <c r="E3115" s="1" t="s">
        <v>17</v>
      </c>
      <c r="F3115" s="1">
        <v>19</v>
      </c>
      <c r="G3115" s="1">
        <v>444</v>
      </c>
      <c r="H3115" s="1">
        <v>8436</v>
      </c>
      <c r="I3115" s="1">
        <v>0</v>
      </c>
      <c r="J3115" s="1">
        <v>19</v>
      </c>
      <c r="K3115" s="1">
        <v>0</v>
      </c>
    </row>
    <row r="3116" spans="1:11" x14ac:dyDescent="0.2">
      <c r="A3116" s="1" t="s">
        <v>2831</v>
      </c>
      <c r="B3116" s="1" t="s">
        <v>2842</v>
      </c>
      <c r="C3116" s="1" t="str">
        <f>"66298903606889"</f>
        <v>66298903606889</v>
      </c>
      <c r="D3116" s="1" t="str">
        <f>"LCK007BLK"</f>
        <v>LCK007BLK</v>
      </c>
      <c r="E3116" s="1" t="s">
        <v>17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</row>
    <row r="3117" spans="1:11" x14ac:dyDescent="0.2">
      <c r="A3117" s="1" t="s">
        <v>2831</v>
      </c>
      <c r="B3117" s="1" t="s">
        <v>2843</v>
      </c>
      <c r="C3117" s="1" t="str">
        <f>"66298903644718"</f>
        <v>66298903644718</v>
      </c>
      <c r="D3117" s="1" t="str">
        <f>"LCS011BLK"</f>
        <v>LCS011BLK</v>
      </c>
      <c r="E3117" s="1" t="s">
        <v>17</v>
      </c>
      <c r="F3117" s="1">
        <v>2</v>
      </c>
      <c r="G3117" s="1">
        <v>1618</v>
      </c>
      <c r="H3117" s="1">
        <v>3236</v>
      </c>
      <c r="I3117" s="1">
        <v>0</v>
      </c>
      <c r="J3117" s="1">
        <v>2</v>
      </c>
      <c r="K3117" s="1">
        <v>0</v>
      </c>
    </row>
    <row r="3118" spans="1:11" x14ac:dyDescent="0.2">
      <c r="A3118" s="1" t="s">
        <v>2831</v>
      </c>
      <c r="B3118" s="1" t="s">
        <v>2844</v>
      </c>
      <c r="C3118" s="1" t="str">
        <f>"66298903685437"</f>
        <v>66298903685437</v>
      </c>
      <c r="D3118" s="1" t="str">
        <f>"LCS043SILVE"</f>
        <v>LCS043SILVE</v>
      </c>
      <c r="E3118" s="1" t="s">
        <v>17</v>
      </c>
      <c r="F3118" s="1">
        <v>1</v>
      </c>
      <c r="G3118" s="1">
        <v>1353</v>
      </c>
      <c r="H3118" s="1">
        <v>1353</v>
      </c>
      <c r="I3118" s="1">
        <v>0</v>
      </c>
      <c r="J3118" s="1">
        <v>1</v>
      </c>
      <c r="K3118" s="1">
        <v>0</v>
      </c>
    </row>
    <row r="3119" spans="1:11" x14ac:dyDescent="0.2">
      <c r="A3119" s="1" t="s">
        <v>2831</v>
      </c>
      <c r="B3119" s="1" t="s">
        <v>2845</v>
      </c>
      <c r="C3119" s="1" t="str">
        <f>"57621H2A200H000"</f>
        <v>57621H2A200H000</v>
      </c>
      <c r="D3119" s="1" t="str">
        <f>"57621H2A200H000"</f>
        <v>57621H2A200H000</v>
      </c>
      <c r="E3119" s="1" t="s">
        <v>17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</row>
    <row r="3120" spans="1:11" x14ac:dyDescent="0.2">
      <c r="A3120" s="1" t="s">
        <v>2831</v>
      </c>
      <c r="B3120" s="1" t="s">
        <v>2846</v>
      </c>
      <c r="C3120" s="1" t="str">
        <f>"66298903725700"</f>
        <v>66298903725700</v>
      </c>
      <c r="D3120" s="1" t="str">
        <f>"46092-0007"</f>
        <v>46092-0007</v>
      </c>
      <c r="E3120" s="1" t="s">
        <v>17</v>
      </c>
      <c r="F3120" s="1">
        <v>1</v>
      </c>
      <c r="G3120" s="1">
        <v>2435</v>
      </c>
      <c r="H3120" s="1">
        <v>2435</v>
      </c>
      <c r="I3120" s="1">
        <v>0</v>
      </c>
      <c r="J3120" s="1">
        <v>1</v>
      </c>
      <c r="K3120" s="1">
        <v>0</v>
      </c>
    </row>
    <row r="3121" spans="1:11" x14ac:dyDescent="0.2">
      <c r="A3121" s="1" t="s">
        <v>2831</v>
      </c>
      <c r="B3121" s="1" t="s">
        <v>2847</v>
      </c>
      <c r="C3121" s="1" t="str">
        <f>"57621H2J000H000"</f>
        <v>57621H2J000H000</v>
      </c>
      <c r="D3121" s="1" t="str">
        <f>"57621H2J000H000"</f>
        <v>57621H2J000H000</v>
      </c>
      <c r="E3121" s="1" t="s">
        <v>17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</row>
    <row r="3122" spans="1:11" x14ac:dyDescent="0.2">
      <c r="A3122" s="1" t="s">
        <v>2831</v>
      </c>
      <c r="B3122" s="1" t="s">
        <v>2848</v>
      </c>
      <c r="C3122" s="1" t="str">
        <f>"DJ191083"</f>
        <v>DJ191083</v>
      </c>
      <c r="D3122" s="1" t="str">
        <f>"DJ191083"</f>
        <v>DJ191083</v>
      </c>
      <c r="E3122" s="1" t="s">
        <v>17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</row>
    <row r="3123" spans="1:11" x14ac:dyDescent="0.2">
      <c r="A3123" s="1" t="s">
        <v>2831</v>
      </c>
      <c r="B3123" s="1" t="s">
        <v>2849</v>
      </c>
      <c r="C3123" s="1" t="str">
        <f>"66298903764968"</f>
        <v>66298903764968</v>
      </c>
      <c r="D3123" s="1" t="str">
        <f>"82612"</f>
        <v>82612</v>
      </c>
      <c r="E3123" s="1" t="s">
        <v>17</v>
      </c>
      <c r="F3123" s="1">
        <v>1</v>
      </c>
      <c r="G3123" s="1">
        <v>3447</v>
      </c>
      <c r="H3123" s="1">
        <v>3447</v>
      </c>
      <c r="I3123" s="1">
        <v>0</v>
      </c>
      <c r="J3123" s="1">
        <v>1</v>
      </c>
      <c r="K3123" s="1">
        <v>0</v>
      </c>
    </row>
    <row r="3124" spans="1:11" x14ac:dyDescent="0.2">
      <c r="A3124" s="1" t="s">
        <v>2831</v>
      </c>
      <c r="B3124" s="1" t="s">
        <v>2850</v>
      </c>
      <c r="C3124" s="1" t="str">
        <f>"66298903806013"</f>
        <v>66298903806013</v>
      </c>
      <c r="D3124" s="1" t="str">
        <f>"214-83912-00"</f>
        <v>214-83912-00</v>
      </c>
      <c r="E3124" s="1" t="s">
        <v>17</v>
      </c>
      <c r="F3124" s="1">
        <v>1</v>
      </c>
      <c r="G3124" s="1">
        <v>1624</v>
      </c>
      <c r="H3124" s="1">
        <v>1624</v>
      </c>
      <c r="I3124" s="1">
        <v>0</v>
      </c>
      <c r="J3124" s="1">
        <v>1</v>
      </c>
      <c r="K3124" s="1">
        <v>0</v>
      </c>
    </row>
    <row r="3125" spans="1:11" x14ac:dyDescent="0.2">
      <c r="A3125" s="1" t="s">
        <v>2831</v>
      </c>
      <c r="B3125" s="1" t="s">
        <v>2851</v>
      </c>
      <c r="C3125" s="1" t="str">
        <f>"66298903851359"</f>
        <v>66298903851359</v>
      </c>
      <c r="D3125" s="1" t="str">
        <f>"400460"</f>
        <v>400460</v>
      </c>
      <c r="E3125" s="1" t="s">
        <v>17</v>
      </c>
      <c r="F3125" s="1">
        <v>19</v>
      </c>
      <c r="G3125" s="1">
        <v>565</v>
      </c>
      <c r="H3125" s="1">
        <v>10735</v>
      </c>
      <c r="I3125" s="1">
        <v>0</v>
      </c>
      <c r="J3125" s="1">
        <v>19</v>
      </c>
      <c r="K3125" s="1">
        <v>0</v>
      </c>
    </row>
    <row r="3126" spans="1:11" x14ac:dyDescent="0.2">
      <c r="A3126" s="1" t="s">
        <v>2831</v>
      </c>
      <c r="B3126" s="1" t="s">
        <v>2852</v>
      </c>
      <c r="C3126" s="1" t="str">
        <f>"66298903891696"</f>
        <v>66298903891696</v>
      </c>
      <c r="D3126" s="1" t="str">
        <f>"LCH040BLK"</f>
        <v>LCH040BLK</v>
      </c>
      <c r="E3126" s="1" t="s">
        <v>17</v>
      </c>
      <c r="F3126" s="1">
        <v>3</v>
      </c>
      <c r="G3126" s="1">
        <v>5445</v>
      </c>
      <c r="H3126" s="1">
        <v>16335</v>
      </c>
      <c r="I3126" s="1">
        <v>0</v>
      </c>
      <c r="J3126" s="1">
        <v>3</v>
      </c>
      <c r="K3126" s="1">
        <v>0</v>
      </c>
    </row>
    <row r="3127" spans="1:11" x14ac:dyDescent="0.2">
      <c r="A3127" s="1" t="s">
        <v>2831</v>
      </c>
      <c r="B3127" s="1" t="s">
        <v>2853</v>
      </c>
      <c r="C3127" s="1" t="str">
        <f>"66298903932040"</f>
        <v>66298903932040</v>
      </c>
      <c r="D3127" s="1" t="str">
        <f>"53178-KE8-006"</f>
        <v>53178-KE8-006</v>
      </c>
      <c r="E3127" s="1" t="s">
        <v>17</v>
      </c>
      <c r="F3127" s="1">
        <v>2</v>
      </c>
      <c r="G3127" s="1">
        <v>3229</v>
      </c>
      <c r="H3127" s="1">
        <v>6458</v>
      </c>
      <c r="I3127" s="1">
        <v>0</v>
      </c>
      <c r="J3127" s="1">
        <v>2</v>
      </c>
      <c r="K3127" s="1">
        <v>0</v>
      </c>
    </row>
    <row r="3128" spans="1:11" x14ac:dyDescent="0.2">
      <c r="A3128" s="1" t="s">
        <v>2831</v>
      </c>
      <c r="B3128" s="1" t="s">
        <v>2854</v>
      </c>
      <c r="C3128" s="1" t="str">
        <f>"66298903968112"</f>
        <v>66298903968112</v>
      </c>
      <c r="D3128" s="1" t="str">
        <f>"5TJ-83912-80"</f>
        <v>5TJ-83912-80</v>
      </c>
      <c r="E3128" s="1" t="s">
        <v>17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</row>
    <row r="3129" spans="1:11" x14ac:dyDescent="0.2">
      <c r="A3129" s="1" t="s">
        <v>2831</v>
      </c>
      <c r="B3129" s="1" t="s">
        <v>2855</v>
      </c>
      <c r="C3129" s="1" t="str">
        <f>"66298904014132"</f>
        <v>66298904014132</v>
      </c>
      <c r="D3129" s="1" t="str">
        <f>"53178-KBR-000"</f>
        <v>53178-KBR-000</v>
      </c>
      <c r="E3129" s="1" t="s">
        <v>17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</row>
    <row r="3130" spans="1:11" x14ac:dyDescent="0.2">
      <c r="A3130" s="1" t="s">
        <v>2831</v>
      </c>
      <c r="B3130" s="1" t="s">
        <v>2856</v>
      </c>
      <c r="C3130" s="1" t="str">
        <f>"66298904057732"</f>
        <v>66298904057732</v>
      </c>
      <c r="D3130" s="1" t="str">
        <f>"QC011"</f>
        <v>QC011</v>
      </c>
      <c r="E3130" s="1" t="s">
        <v>17</v>
      </c>
      <c r="F3130" s="1">
        <v>1</v>
      </c>
      <c r="G3130" s="1">
        <v>828</v>
      </c>
      <c r="H3130" s="1">
        <v>828</v>
      </c>
      <c r="I3130" s="1">
        <v>0</v>
      </c>
      <c r="J3130" s="1">
        <v>1</v>
      </c>
      <c r="K3130" s="1">
        <v>0</v>
      </c>
    </row>
    <row r="3131" spans="1:11" x14ac:dyDescent="0.2">
      <c r="A3131" s="1" t="s">
        <v>2831</v>
      </c>
      <c r="B3131" s="1" t="s">
        <v>2857</v>
      </c>
      <c r="C3131" s="1" t="str">
        <f>"BR3083"</f>
        <v>BR3083</v>
      </c>
      <c r="D3131" s="1" t="str">
        <f>"BR3083"</f>
        <v>BR3083</v>
      </c>
      <c r="E3131" s="1" t="s">
        <v>17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</row>
    <row r="3132" spans="1:11" x14ac:dyDescent="0.2">
      <c r="A3132" s="1" t="s">
        <v>2831</v>
      </c>
      <c r="B3132" s="1" t="s">
        <v>2858</v>
      </c>
      <c r="C3132" s="1" t="str">
        <f>"66298904154567"</f>
        <v>66298904154567</v>
      </c>
      <c r="D3132" s="1" t="str">
        <f>"LCH117SILVE"</f>
        <v>LCH117SILVE</v>
      </c>
      <c r="E3132" s="1" t="s">
        <v>17</v>
      </c>
      <c r="F3132" s="1">
        <v>2</v>
      </c>
      <c r="G3132" s="1">
        <v>2059</v>
      </c>
      <c r="H3132" s="1">
        <v>4118</v>
      </c>
      <c r="I3132" s="1">
        <v>0</v>
      </c>
      <c r="J3132" s="1">
        <v>2</v>
      </c>
      <c r="K3132" s="1">
        <v>0</v>
      </c>
    </row>
    <row r="3133" spans="1:11" x14ac:dyDescent="0.2">
      <c r="A3133" s="1" t="s">
        <v>2831</v>
      </c>
      <c r="B3133" s="1" t="s">
        <v>2859</v>
      </c>
      <c r="C3133" s="1" t="str">
        <f>"66298904222832"</f>
        <v>66298904222832</v>
      </c>
      <c r="D3133" s="1" t="str">
        <f>"400462"</f>
        <v>400462</v>
      </c>
      <c r="E3133" s="1" t="s">
        <v>17</v>
      </c>
      <c r="F3133" s="1">
        <v>22</v>
      </c>
      <c r="G3133" s="1">
        <v>570</v>
      </c>
      <c r="H3133" s="1">
        <v>12540</v>
      </c>
      <c r="I3133" s="1">
        <v>0</v>
      </c>
      <c r="J3133" s="1">
        <v>22</v>
      </c>
      <c r="K3133" s="1">
        <v>0</v>
      </c>
    </row>
    <row r="3134" spans="1:11" x14ac:dyDescent="0.2">
      <c r="A3134" s="1" t="s">
        <v>2831</v>
      </c>
      <c r="B3134" s="1" t="s">
        <v>2860</v>
      </c>
      <c r="C3134" s="1" t="str">
        <f>"66298904102005"</f>
        <v>66298904102005</v>
      </c>
      <c r="D3134" s="1" t="str">
        <f>"400461"</f>
        <v>400461</v>
      </c>
      <c r="E3134" s="1" t="s">
        <v>17</v>
      </c>
      <c r="F3134" s="1">
        <v>39</v>
      </c>
      <c r="G3134" s="1">
        <v>565</v>
      </c>
      <c r="H3134" s="1">
        <v>22035</v>
      </c>
      <c r="I3134" s="1">
        <v>0</v>
      </c>
      <c r="J3134" s="1">
        <v>39</v>
      </c>
      <c r="K3134" s="1">
        <v>0</v>
      </c>
    </row>
    <row r="3135" spans="1:11" x14ac:dyDescent="0.2">
      <c r="A3135" s="1" t="s">
        <v>2831</v>
      </c>
      <c r="B3135" s="1" t="s">
        <v>2861</v>
      </c>
      <c r="C3135" s="1" t="str">
        <f>"66298904263137"</f>
        <v>66298904263137</v>
      </c>
      <c r="D3135" s="1" t="str">
        <f>"LCY136SILVE"</f>
        <v>LCY136SILVE</v>
      </c>
      <c r="E3135" s="1" t="s">
        <v>17</v>
      </c>
      <c r="F3135" s="1">
        <v>1</v>
      </c>
      <c r="G3135" s="1">
        <v>1747</v>
      </c>
      <c r="H3135" s="1">
        <v>1747</v>
      </c>
      <c r="I3135" s="1">
        <v>0</v>
      </c>
      <c r="J3135" s="1">
        <v>1</v>
      </c>
      <c r="K3135" s="1">
        <v>0</v>
      </c>
    </row>
    <row r="3136" spans="1:11" x14ac:dyDescent="0.2">
      <c r="A3136" s="1" t="s">
        <v>2831</v>
      </c>
      <c r="B3136" s="1" t="s">
        <v>2862</v>
      </c>
      <c r="C3136" s="1" t="str">
        <f>"49CC15"</f>
        <v>49CC15</v>
      </c>
      <c r="D3136" s="1" t="str">
        <f>"49CC15"</f>
        <v>49CC15</v>
      </c>
      <c r="E3136" s="1" t="s">
        <v>17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</row>
    <row r="3137" spans="1:11" ht="30" x14ac:dyDescent="0.2">
      <c r="A3137" s="1" t="s">
        <v>2831</v>
      </c>
      <c r="B3137" s="1" t="s">
        <v>2863</v>
      </c>
      <c r="C3137" s="1" t="str">
        <f>"QC042"</f>
        <v>QC042</v>
      </c>
      <c r="D3137" s="1" t="str">
        <f>"QC042"</f>
        <v>QC042</v>
      </c>
      <c r="E3137" s="1" t="s">
        <v>17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</row>
    <row r="3138" spans="1:11" x14ac:dyDescent="0.2">
      <c r="A3138" s="1" t="s">
        <v>2831</v>
      </c>
      <c r="B3138" s="1" t="s">
        <v>2864</v>
      </c>
      <c r="C3138" s="1" t="str">
        <f>"66298904304453"</f>
        <v>66298904304453</v>
      </c>
      <c r="D3138" s="1" t="str">
        <f>"53175-198-900GH"</f>
        <v>53175-198-900GH</v>
      </c>
      <c r="E3138" s="1" t="s">
        <v>17</v>
      </c>
      <c r="F3138" s="1">
        <v>1</v>
      </c>
      <c r="G3138" s="1">
        <v>1815</v>
      </c>
      <c r="H3138" s="1">
        <v>1815</v>
      </c>
      <c r="I3138" s="1">
        <v>0</v>
      </c>
      <c r="J3138" s="1">
        <v>1</v>
      </c>
      <c r="K3138" s="1">
        <v>0</v>
      </c>
    </row>
    <row r="3139" spans="1:11" x14ac:dyDescent="0.2">
      <c r="A3139" s="1" t="s">
        <v>2831</v>
      </c>
      <c r="B3139" s="1" t="s">
        <v>2865</v>
      </c>
      <c r="C3139" s="1" t="str">
        <f>"66298904351574"</f>
        <v>66298904351574</v>
      </c>
      <c r="D3139" s="1" t="str">
        <f>"0553"</f>
        <v>0553</v>
      </c>
      <c r="E3139" s="1" t="s">
        <v>17</v>
      </c>
      <c r="F3139" s="1">
        <v>1</v>
      </c>
      <c r="G3139" s="1">
        <v>1400</v>
      </c>
      <c r="H3139" s="1">
        <v>1400</v>
      </c>
      <c r="I3139" s="1">
        <v>0</v>
      </c>
      <c r="J3139" s="1">
        <v>1</v>
      </c>
      <c r="K3139" s="1">
        <v>0</v>
      </c>
    </row>
    <row r="3140" spans="1:11" x14ac:dyDescent="0.2">
      <c r="A3140" s="1" t="s">
        <v>2831</v>
      </c>
      <c r="B3140" s="1" t="s">
        <v>2866</v>
      </c>
      <c r="C3140" s="1" t="str">
        <f>"66298904393088"</f>
        <v>66298904393088</v>
      </c>
      <c r="D3140" s="1" t="str">
        <f>"53175-ML3-790"</f>
        <v>53175-ML3-790</v>
      </c>
      <c r="E3140" s="1" t="s">
        <v>17</v>
      </c>
      <c r="F3140" s="1">
        <v>3</v>
      </c>
      <c r="G3140" s="1">
        <v>2706</v>
      </c>
      <c r="H3140" s="1">
        <v>8118</v>
      </c>
      <c r="I3140" s="1">
        <v>0</v>
      </c>
      <c r="J3140" s="1">
        <v>3</v>
      </c>
      <c r="K3140" s="1">
        <v>0</v>
      </c>
    </row>
    <row r="3141" spans="1:11" x14ac:dyDescent="0.2">
      <c r="A3141" s="1" t="s">
        <v>2831</v>
      </c>
      <c r="B3141" s="1" t="s">
        <v>2867</v>
      </c>
      <c r="C3141" s="1" t="str">
        <f>"66298904434248"</f>
        <v>66298904434248</v>
      </c>
      <c r="D3141" s="1" t="str">
        <f>"LBH102SILVE"</f>
        <v>LBH102SILVE</v>
      </c>
      <c r="E3141" s="1" t="s">
        <v>17</v>
      </c>
      <c r="F3141" s="1">
        <v>2</v>
      </c>
      <c r="G3141" s="1">
        <v>2059</v>
      </c>
      <c r="H3141" s="1">
        <v>4118</v>
      </c>
      <c r="I3141" s="1">
        <v>0</v>
      </c>
      <c r="J3141" s="1">
        <v>2</v>
      </c>
      <c r="K3141" s="1">
        <v>0</v>
      </c>
    </row>
    <row r="3142" spans="1:11" x14ac:dyDescent="0.2">
      <c r="A3142" s="1" t="s">
        <v>2831</v>
      </c>
      <c r="B3142" s="1" t="s">
        <v>2868</v>
      </c>
      <c r="C3142" s="1" t="str">
        <f>"66298904474239"</f>
        <v>66298904474239</v>
      </c>
      <c r="D3142" s="1" t="str">
        <f>"LBH117SILVE"</f>
        <v>LBH117SILVE</v>
      </c>
      <c r="E3142" s="1" t="s">
        <v>17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</row>
    <row r="3143" spans="1:11" x14ac:dyDescent="0.2">
      <c r="A3143" s="1" t="s">
        <v>2831</v>
      </c>
      <c r="B3143" s="1" t="s">
        <v>2869</v>
      </c>
      <c r="C3143" s="1" t="str">
        <f>"66298904514027"</f>
        <v>66298904514027</v>
      </c>
      <c r="D3143" s="1" t="str">
        <f>"MAN-ATV-DEL"</f>
        <v>MAN-ATV-DEL</v>
      </c>
      <c r="E3143" s="1" t="s">
        <v>17</v>
      </c>
      <c r="F3143" s="1">
        <v>3</v>
      </c>
      <c r="G3143" s="1">
        <v>1000</v>
      </c>
      <c r="H3143" s="1">
        <v>3000</v>
      </c>
      <c r="I3143" s="1">
        <v>0</v>
      </c>
      <c r="J3143" s="1">
        <v>3</v>
      </c>
      <c r="K3143" s="1">
        <v>0</v>
      </c>
    </row>
    <row r="3144" spans="1:11" x14ac:dyDescent="0.2">
      <c r="A3144" s="1" t="s">
        <v>2831</v>
      </c>
      <c r="B3144" s="1" t="s">
        <v>2870</v>
      </c>
      <c r="C3144" s="1" t="str">
        <f>"66298904553788"</f>
        <v>66298904553788</v>
      </c>
      <c r="D3144" s="1" t="str">
        <f>"57421-29C00-000"</f>
        <v>57421-29C00-000</v>
      </c>
      <c r="E3144" s="1" t="s">
        <v>17</v>
      </c>
      <c r="F3144" s="1">
        <v>7</v>
      </c>
      <c r="G3144" s="1">
        <v>5237.1400000000003</v>
      </c>
      <c r="H3144" s="1">
        <v>36660</v>
      </c>
      <c r="I3144" s="1">
        <v>0</v>
      </c>
      <c r="J3144" s="1">
        <v>7</v>
      </c>
      <c r="K3144" s="1">
        <v>0</v>
      </c>
    </row>
    <row r="3145" spans="1:11" x14ac:dyDescent="0.2">
      <c r="A3145" s="1" t="s">
        <v>2831</v>
      </c>
      <c r="B3145" s="1" t="s">
        <v>2871</v>
      </c>
      <c r="C3145" s="1" t="str">
        <f>"66298904596279"</f>
        <v>66298904596279</v>
      </c>
      <c r="D3145" s="1" t="str">
        <f>"708"</f>
        <v>708</v>
      </c>
      <c r="E3145" s="1" t="s">
        <v>17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</row>
    <row r="3146" spans="1:11" x14ac:dyDescent="0.2">
      <c r="A3146" s="1" t="s">
        <v>2831</v>
      </c>
      <c r="B3146" s="1" t="s">
        <v>2872</v>
      </c>
      <c r="C3146" s="1" t="str">
        <f>"66298904635853"</f>
        <v>66298904635853</v>
      </c>
      <c r="D3146" s="1" t="str">
        <f>"400475"</f>
        <v>400475</v>
      </c>
      <c r="E3146" s="1" t="s">
        <v>17</v>
      </c>
      <c r="F3146" s="1">
        <v>24</v>
      </c>
      <c r="G3146" s="1">
        <v>546</v>
      </c>
      <c r="H3146" s="1">
        <v>13104</v>
      </c>
      <c r="I3146" s="1">
        <v>0</v>
      </c>
      <c r="J3146" s="1">
        <v>24</v>
      </c>
      <c r="K3146" s="1">
        <v>0</v>
      </c>
    </row>
    <row r="3147" spans="1:11" x14ac:dyDescent="0.2">
      <c r="A3147" s="1" t="s">
        <v>2831</v>
      </c>
      <c r="B3147" s="1" t="s">
        <v>2873</v>
      </c>
      <c r="C3147" s="1" t="str">
        <f>"12344-FRENO"</f>
        <v>12344-FRENO</v>
      </c>
      <c r="D3147" s="1" t="str">
        <f>"12344-FRENO"</f>
        <v>12344-FRENO</v>
      </c>
      <c r="E3147" s="1" t="s">
        <v>17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</row>
    <row r="3148" spans="1:11" x14ac:dyDescent="0.2">
      <c r="A3148" s="1" t="s">
        <v>2831</v>
      </c>
      <c r="B3148" s="1" t="s">
        <v>2874</v>
      </c>
      <c r="C3148" s="1" t="str">
        <f>"66298904673979"</f>
        <v>66298904673979</v>
      </c>
      <c r="D3148" s="1" t="str">
        <f>"LBY020BLK"</f>
        <v>LBY020BLK</v>
      </c>
      <c r="E3148" s="1" t="s">
        <v>17</v>
      </c>
      <c r="F3148" s="1">
        <v>1</v>
      </c>
      <c r="G3148" s="1">
        <v>3823</v>
      </c>
      <c r="H3148" s="1">
        <v>3823</v>
      </c>
      <c r="I3148" s="1">
        <v>0</v>
      </c>
      <c r="J3148" s="1">
        <v>1</v>
      </c>
      <c r="K3148" s="1">
        <v>0</v>
      </c>
    </row>
    <row r="3149" spans="1:11" ht="30" x14ac:dyDescent="0.2">
      <c r="A3149" s="1" t="s">
        <v>2831</v>
      </c>
      <c r="B3149" s="1" t="s">
        <v>2875</v>
      </c>
      <c r="C3149" s="1" t="str">
        <f>"66298904717004"</f>
        <v>66298904717004</v>
      </c>
      <c r="D3149" s="1" t="str">
        <f>"400476"</f>
        <v>400476</v>
      </c>
      <c r="E3149" s="1" t="s">
        <v>17</v>
      </c>
      <c r="F3149" s="1">
        <v>26</v>
      </c>
      <c r="G3149" s="1">
        <v>574</v>
      </c>
      <c r="H3149" s="1">
        <v>14924</v>
      </c>
      <c r="I3149" s="1">
        <v>0</v>
      </c>
      <c r="J3149" s="1">
        <v>26</v>
      </c>
      <c r="K3149" s="1">
        <v>0</v>
      </c>
    </row>
    <row r="3150" spans="1:11" x14ac:dyDescent="0.2">
      <c r="A3150" s="1" t="s">
        <v>2831</v>
      </c>
      <c r="B3150" s="1" t="s">
        <v>2876</v>
      </c>
      <c r="C3150" s="1" t="str">
        <f>"66298904756600"</f>
        <v>66298904756600</v>
      </c>
      <c r="D3150" s="1" t="str">
        <f>"400014"</f>
        <v>400014</v>
      </c>
      <c r="E3150" s="1" t="s">
        <v>17</v>
      </c>
      <c r="F3150" s="1">
        <v>5</v>
      </c>
      <c r="G3150" s="1">
        <v>404</v>
      </c>
      <c r="H3150" s="1">
        <v>2020</v>
      </c>
      <c r="I3150" s="1">
        <v>0</v>
      </c>
      <c r="J3150" s="1">
        <v>5</v>
      </c>
      <c r="K3150" s="1">
        <v>0</v>
      </c>
    </row>
    <row r="3151" spans="1:11" x14ac:dyDescent="0.2">
      <c r="A3151" s="1" t="s">
        <v>2831</v>
      </c>
      <c r="B3151" s="1" t="s">
        <v>2877</v>
      </c>
      <c r="C3151" s="1" t="str">
        <f>"66298904794243"</f>
        <v>66298904794243</v>
      </c>
      <c r="D3151" s="1" t="str">
        <f>"LBS008BLK"</f>
        <v>LBS008BLK</v>
      </c>
      <c r="E3151" s="1" t="s">
        <v>17</v>
      </c>
      <c r="F3151" s="1">
        <v>2</v>
      </c>
      <c r="G3151" s="1">
        <v>1412</v>
      </c>
      <c r="H3151" s="1">
        <v>2824</v>
      </c>
      <c r="I3151" s="1">
        <v>0</v>
      </c>
      <c r="J3151" s="1">
        <v>2</v>
      </c>
      <c r="K3151" s="1">
        <v>0</v>
      </c>
    </row>
    <row r="3152" spans="1:11" x14ac:dyDescent="0.2">
      <c r="A3152" s="1" t="s">
        <v>2831</v>
      </c>
      <c r="B3152" s="1" t="s">
        <v>2878</v>
      </c>
      <c r="C3152" s="1" t="str">
        <f>"57621-42G11-000"</f>
        <v>57621-42G11-000</v>
      </c>
      <c r="D3152" s="1" t="str">
        <f>"57621-42G11-000"</f>
        <v>57621-42G11-000</v>
      </c>
      <c r="E3152" s="1" t="s">
        <v>17</v>
      </c>
      <c r="F3152" s="1">
        <v>2</v>
      </c>
      <c r="G3152" s="1">
        <v>5265</v>
      </c>
      <c r="H3152" s="1">
        <v>10530</v>
      </c>
      <c r="I3152" s="1">
        <v>0</v>
      </c>
      <c r="J3152" s="1">
        <v>2</v>
      </c>
      <c r="K3152" s="1">
        <v>0</v>
      </c>
    </row>
    <row r="3153" spans="1:11" x14ac:dyDescent="0.2">
      <c r="A3153" s="1" t="s">
        <v>2831</v>
      </c>
      <c r="B3153" s="1" t="s">
        <v>2879</v>
      </c>
      <c r="C3153" s="1" t="str">
        <f>"57421H45F10H000"</f>
        <v>57421H45F10H000</v>
      </c>
      <c r="D3153" s="1" t="str">
        <f>"57421H45F10H000"</f>
        <v>57421H45F10H000</v>
      </c>
      <c r="E3153" s="1" t="s">
        <v>17</v>
      </c>
      <c r="F3153" s="1">
        <v>1</v>
      </c>
      <c r="G3153" s="1">
        <v>5265.01</v>
      </c>
      <c r="H3153" s="1">
        <v>5265</v>
      </c>
      <c r="I3153" s="1">
        <v>0</v>
      </c>
      <c r="J3153" s="1">
        <v>1</v>
      </c>
      <c r="K3153" s="1">
        <v>0</v>
      </c>
    </row>
    <row r="3154" spans="1:11" x14ac:dyDescent="0.2">
      <c r="A3154" s="1" t="s">
        <v>2831</v>
      </c>
      <c r="B3154" s="1" t="s">
        <v>2880</v>
      </c>
      <c r="C3154" s="1" t="str">
        <f>"EMJM20275"</f>
        <v>EMJM20275</v>
      </c>
      <c r="D3154" s="1" t="str">
        <f>"EMJM20275"</f>
        <v>EMJM20275</v>
      </c>
      <c r="E3154" s="1" t="s">
        <v>17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</row>
    <row r="3155" spans="1:11" x14ac:dyDescent="0.2">
      <c r="A3155" s="1" t="s">
        <v>2831</v>
      </c>
      <c r="B3155" s="1" t="s">
        <v>2881</v>
      </c>
      <c r="C3155" s="1" t="str">
        <f>"66298904837925"</f>
        <v>66298904837925</v>
      </c>
      <c r="D3155" s="1" t="str">
        <f>"46092-1155"</f>
        <v>46092-1155</v>
      </c>
      <c r="E3155" s="1" t="s">
        <v>17</v>
      </c>
      <c r="F3155" s="1">
        <v>1</v>
      </c>
      <c r="G3155" s="1">
        <v>2353</v>
      </c>
      <c r="H3155" s="1">
        <v>2353</v>
      </c>
      <c r="I3155" s="1">
        <v>0</v>
      </c>
      <c r="J3155" s="1">
        <v>1</v>
      </c>
      <c r="K3155" s="1">
        <v>0</v>
      </c>
    </row>
    <row r="3156" spans="1:11" x14ac:dyDescent="0.2">
      <c r="A3156" s="1" t="s">
        <v>2831</v>
      </c>
      <c r="B3156" s="1" t="s">
        <v>2882</v>
      </c>
      <c r="C3156" s="1" t="str">
        <f>"66298904874799"</f>
        <v>66298904874799</v>
      </c>
      <c r="D3156" s="1" t="str">
        <f>"LBK006BLK"</f>
        <v>LBK006BLK</v>
      </c>
      <c r="E3156" s="1" t="s">
        <v>17</v>
      </c>
      <c r="F3156" s="1">
        <v>3</v>
      </c>
      <c r="G3156" s="1">
        <v>1383</v>
      </c>
      <c r="H3156" s="1">
        <v>4149</v>
      </c>
      <c r="I3156" s="1">
        <v>0</v>
      </c>
      <c r="J3156" s="1">
        <v>3</v>
      </c>
      <c r="K3156" s="1">
        <v>0</v>
      </c>
    </row>
    <row r="3157" spans="1:11" x14ac:dyDescent="0.2">
      <c r="A3157" s="1" t="s">
        <v>2831</v>
      </c>
      <c r="B3157" s="1" t="s">
        <v>2883</v>
      </c>
      <c r="C3157" s="1" t="str">
        <f>"66298904916008"</f>
        <v>66298904916008</v>
      </c>
      <c r="D3157" s="1" t="str">
        <f>"LCE088SILVE"</f>
        <v>LCE088SILVE</v>
      </c>
      <c r="E3157" s="1" t="s">
        <v>17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</row>
    <row r="3158" spans="1:11" x14ac:dyDescent="0.2">
      <c r="A3158" s="1" t="s">
        <v>2831</v>
      </c>
      <c r="B3158" s="1" t="s">
        <v>2884</v>
      </c>
      <c r="C3158" s="1" t="str">
        <f>"66298904954877"</f>
        <v>66298904954877</v>
      </c>
      <c r="D3158" s="1" t="str">
        <f>"SHORTLBK054SILV"</f>
        <v>SHORTLBK054SILV</v>
      </c>
      <c r="E3158" s="1" t="s">
        <v>17</v>
      </c>
      <c r="F3158" s="1">
        <v>2</v>
      </c>
      <c r="G3158" s="1">
        <v>1353</v>
      </c>
      <c r="H3158" s="1">
        <v>2706</v>
      </c>
      <c r="I3158" s="1">
        <v>0</v>
      </c>
      <c r="J3158" s="1">
        <v>2</v>
      </c>
      <c r="K3158" s="1">
        <v>0</v>
      </c>
    </row>
    <row r="3159" spans="1:11" x14ac:dyDescent="0.2">
      <c r="A3159" s="1" t="s">
        <v>2831</v>
      </c>
      <c r="B3159" s="1" t="s">
        <v>2885</v>
      </c>
      <c r="C3159" s="1" t="str">
        <f>"57421H40100H000"</f>
        <v>57421H40100H000</v>
      </c>
      <c r="D3159" s="1" t="str">
        <f>"57421H40100H000"</f>
        <v>57421H40100H000</v>
      </c>
      <c r="E3159" s="1" t="s">
        <v>17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</row>
    <row r="3160" spans="1:11" ht="30" x14ac:dyDescent="0.2">
      <c r="A3160" s="1" t="s">
        <v>2831</v>
      </c>
      <c r="B3160" s="1" t="s">
        <v>2886</v>
      </c>
      <c r="C3160" s="1" t="str">
        <f>"66298904998757"</f>
        <v>66298904998757</v>
      </c>
      <c r="D3160" s="1" t="str">
        <f>"83173"</f>
        <v>83173</v>
      </c>
      <c r="E3160" s="1" t="s">
        <v>17</v>
      </c>
      <c r="F3160" s="1">
        <v>18</v>
      </c>
      <c r="G3160" s="1">
        <v>833</v>
      </c>
      <c r="H3160" s="1">
        <v>14994</v>
      </c>
      <c r="I3160" s="1">
        <v>0</v>
      </c>
      <c r="J3160" s="1">
        <v>18</v>
      </c>
      <c r="K3160" s="1">
        <v>0</v>
      </c>
    </row>
    <row r="3161" spans="1:11" x14ac:dyDescent="0.2">
      <c r="A3161" s="1" t="s">
        <v>2831</v>
      </c>
      <c r="B3161" s="1" t="s">
        <v>2887</v>
      </c>
      <c r="C3161" s="1" t="str">
        <f>"EMKD00225"</f>
        <v>EMKD00225</v>
      </c>
      <c r="D3161" s="1" t="str">
        <f>"EMKD00225"</f>
        <v>EMKD00225</v>
      </c>
      <c r="E3161" s="1" t="s">
        <v>17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</row>
    <row r="3162" spans="1:11" x14ac:dyDescent="0.2">
      <c r="A3162" s="1" t="s">
        <v>2831</v>
      </c>
      <c r="B3162" s="1" t="s">
        <v>2888</v>
      </c>
      <c r="C3162" s="1" t="str">
        <f>"57310-37F00"</f>
        <v>57310-37F00</v>
      </c>
      <c r="D3162" s="1" t="str">
        <f>"57310-37F00"</f>
        <v>57310-37F00</v>
      </c>
      <c r="E3162" s="1" t="s">
        <v>17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</row>
    <row r="3163" spans="1:11" x14ac:dyDescent="0.2">
      <c r="A3163" s="1" t="s">
        <v>2831</v>
      </c>
      <c r="B3163" s="1" t="s">
        <v>2889</v>
      </c>
      <c r="C3163" s="1" t="str">
        <f>"66298905035685"</f>
        <v>66298905035685</v>
      </c>
      <c r="D3163" s="1" t="str">
        <f>"80972"</f>
        <v>80972</v>
      </c>
      <c r="E3163" s="1" t="s">
        <v>17</v>
      </c>
      <c r="F3163" s="1">
        <v>1</v>
      </c>
      <c r="G3163" s="1">
        <v>619</v>
      </c>
      <c r="H3163" s="1">
        <v>619</v>
      </c>
      <c r="I3163" s="1">
        <v>0</v>
      </c>
      <c r="J3163" s="1">
        <v>1</v>
      </c>
      <c r="K3163" s="1">
        <v>0</v>
      </c>
    </row>
    <row r="3164" spans="1:11" x14ac:dyDescent="0.2">
      <c r="A3164" s="1" t="s">
        <v>2831</v>
      </c>
      <c r="B3164" s="1" t="s">
        <v>2890</v>
      </c>
      <c r="C3164" s="1" t="str">
        <f>"66298905077240"</f>
        <v>66298905077240</v>
      </c>
      <c r="D3164" s="1" t="str">
        <f>"QC005"</f>
        <v>QC005</v>
      </c>
      <c r="E3164" s="1" t="s">
        <v>17</v>
      </c>
      <c r="F3164" s="1">
        <v>10</v>
      </c>
      <c r="G3164" s="1">
        <v>1332</v>
      </c>
      <c r="H3164" s="1">
        <v>13320</v>
      </c>
      <c r="I3164" s="1">
        <v>0</v>
      </c>
      <c r="J3164" s="1">
        <v>10</v>
      </c>
      <c r="K3164" s="1">
        <v>0</v>
      </c>
    </row>
    <row r="3165" spans="1:11" x14ac:dyDescent="0.2">
      <c r="A3165" s="1" t="s">
        <v>2831</v>
      </c>
      <c r="B3165" s="1" t="s">
        <v>2891</v>
      </c>
      <c r="C3165" s="1" t="str">
        <f>"66298905119733"</f>
        <v>66298905119733</v>
      </c>
      <c r="D3165" s="1" t="str">
        <f>"MAN-ATV-TRA"</f>
        <v>MAN-ATV-TRA</v>
      </c>
      <c r="E3165" s="1" t="s">
        <v>17</v>
      </c>
      <c r="F3165" s="1">
        <v>1</v>
      </c>
      <c r="G3165" s="1">
        <v>1000</v>
      </c>
      <c r="H3165" s="1">
        <v>1000</v>
      </c>
      <c r="I3165" s="1">
        <v>0</v>
      </c>
      <c r="J3165" s="1">
        <v>1</v>
      </c>
      <c r="K3165" s="1">
        <v>0</v>
      </c>
    </row>
    <row r="3166" spans="1:11" x14ac:dyDescent="0.2">
      <c r="A3166" s="1" t="s">
        <v>2831</v>
      </c>
      <c r="B3166" s="1" t="s">
        <v>2892</v>
      </c>
      <c r="C3166" s="1" t="str">
        <f>"66298905162711"</f>
        <v>66298905162711</v>
      </c>
      <c r="D3166" s="1" t="str">
        <f>"MAN-CG-TRA"</f>
        <v>MAN-CG-TRA</v>
      </c>
      <c r="E3166" s="1" t="s">
        <v>17</v>
      </c>
      <c r="F3166" s="1">
        <v>1</v>
      </c>
      <c r="G3166" s="1">
        <v>1000</v>
      </c>
      <c r="H3166" s="1">
        <v>1000</v>
      </c>
      <c r="I3166" s="1">
        <v>0</v>
      </c>
      <c r="J3166" s="1">
        <v>1</v>
      </c>
      <c r="K3166" s="1">
        <v>0</v>
      </c>
    </row>
    <row r="3167" spans="1:11" x14ac:dyDescent="0.2">
      <c r="A3167" s="1" t="s">
        <v>2831</v>
      </c>
      <c r="B3167" s="1" t="s">
        <v>2893</v>
      </c>
      <c r="C3167" s="1" t="str">
        <f>"66298905200482"</f>
        <v>66298905200482</v>
      </c>
      <c r="D3167" s="1" t="str">
        <f>"53175-KB7-000"</f>
        <v>53175-KB7-000</v>
      </c>
      <c r="E3167" s="1" t="s">
        <v>17</v>
      </c>
      <c r="F3167" s="1">
        <v>1</v>
      </c>
      <c r="G3167" s="1">
        <v>2694</v>
      </c>
      <c r="H3167" s="1">
        <v>2694</v>
      </c>
      <c r="I3167" s="1">
        <v>0</v>
      </c>
      <c r="J3167" s="1">
        <v>1</v>
      </c>
      <c r="K3167" s="1">
        <v>0</v>
      </c>
    </row>
    <row r="3168" spans="1:11" x14ac:dyDescent="0.2">
      <c r="A3168" s="1" t="s">
        <v>2831</v>
      </c>
      <c r="B3168" s="1" t="s">
        <v>2894</v>
      </c>
      <c r="C3168" s="1" t="str">
        <f>"66298905243160"</f>
        <v>66298905243160</v>
      </c>
      <c r="D3168" s="1" t="str">
        <f>"LBH029BLK"</f>
        <v>LBH029BLK</v>
      </c>
      <c r="E3168" s="1" t="s">
        <v>17</v>
      </c>
      <c r="F3168" s="1">
        <v>1</v>
      </c>
      <c r="G3168" s="1">
        <v>2824</v>
      </c>
      <c r="H3168" s="1">
        <v>2824</v>
      </c>
      <c r="I3168" s="1">
        <v>0</v>
      </c>
      <c r="J3168" s="1">
        <v>1</v>
      </c>
      <c r="K3168" s="1">
        <v>0</v>
      </c>
    </row>
    <row r="3169" spans="1:11" x14ac:dyDescent="0.2">
      <c r="A3169" s="1" t="s">
        <v>2831</v>
      </c>
      <c r="B3169" s="1" t="s">
        <v>2895</v>
      </c>
      <c r="C3169" s="1" t="str">
        <f>"53175-KJ1-730"</f>
        <v>53175-KJ1-730</v>
      </c>
      <c r="D3169" s="1" t="str">
        <f>"53175-KJ1-730"</f>
        <v>53175-KJ1-730</v>
      </c>
      <c r="E3169" s="1" t="s">
        <v>17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x14ac:dyDescent="0.2">
      <c r="A3170" s="1" t="s">
        <v>2831</v>
      </c>
      <c r="B3170" s="1" t="s">
        <v>2896</v>
      </c>
      <c r="C3170" s="1" t="str">
        <f>"66298905325258"</f>
        <v>66298905325258</v>
      </c>
      <c r="D3170" s="1" t="str">
        <f>"401035"</f>
        <v>401035</v>
      </c>
      <c r="E3170" s="1" t="s">
        <v>17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</row>
    <row r="3171" spans="1:11" x14ac:dyDescent="0.2">
      <c r="A3171" s="1" t="s">
        <v>2831</v>
      </c>
      <c r="B3171" s="1" t="s">
        <v>2897</v>
      </c>
      <c r="C3171" s="1" t="str">
        <f>"66298905286991"</f>
        <v>66298905286991</v>
      </c>
      <c r="D3171" s="1" t="str">
        <f>"400477"</f>
        <v>400477</v>
      </c>
      <c r="E3171" s="1" t="s">
        <v>17</v>
      </c>
      <c r="F3171" s="1">
        <v>25</v>
      </c>
      <c r="G3171" s="1">
        <v>605</v>
      </c>
      <c r="H3171" s="1">
        <v>15125</v>
      </c>
      <c r="I3171" s="1">
        <v>0</v>
      </c>
      <c r="J3171" s="1">
        <v>25</v>
      </c>
      <c r="K3171" s="1">
        <v>0</v>
      </c>
    </row>
    <row r="3172" spans="1:11" x14ac:dyDescent="0.2">
      <c r="A3172" s="1" t="s">
        <v>2831</v>
      </c>
      <c r="B3172" s="1" t="s">
        <v>2898</v>
      </c>
      <c r="C3172" s="1" t="str">
        <f>"66298905366381"</f>
        <v>66298905366381</v>
      </c>
      <c r="D3172" s="1" t="str">
        <f>"2W1-83922-00"</f>
        <v>2W1-83922-00</v>
      </c>
      <c r="E3172" s="1" t="s">
        <v>17</v>
      </c>
      <c r="F3172" s="1">
        <v>1</v>
      </c>
      <c r="G3172" s="1">
        <v>2734</v>
      </c>
      <c r="H3172" s="1">
        <v>2734</v>
      </c>
      <c r="I3172" s="1">
        <v>0</v>
      </c>
      <c r="J3172" s="1">
        <v>1</v>
      </c>
      <c r="K3172" s="1">
        <v>0</v>
      </c>
    </row>
    <row r="3173" spans="1:11" x14ac:dyDescent="0.2">
      <c r="A3173" s="1" t="s">
        <v>2831</v>
      </c>
      <c r="B3173" s="1" t="s">
        <v>2899</v>
      </c>
      <c r="C3173" s="1" t="str">
        <f>"66298905408796"</f>
        <v>66298905408796</v>
      </c>
      <c r="D3173" s="1" t="str">
        <f>"400478"</f>
        <v>400478</v>
      </c>
      <c r="E3173" s="1" t="s">
        <v>17</v>
      </c>
      <c r="F3173" s="1">
        <v>34</v>
      </c>
      <c r="G3173" s="1">
        <v>546</v>
      </c>
      <c r="H3173" s="1">
        <v>18564</v>
      </c>
      <c r="I3173" s="1">
        <v>0</v>
      </c>
      <c r="J3173" s="1">
        <v>34</v>
      </c>
      <c r="K3173" s="1">
        <v>0</v>
      </c>
    </row>
    <row r="3174" spans="1:11" x14ac:dyDescent="0.2">
      <c r="A3174" s="1" t="s">
        <v>2831</v>
      </c>
      <c r="B3174" s="1" t="s">
        <v>2900</v>
      </c>
      <c r="C3174" s="1" t="str">
        <f>"66298905450519"</f>
        <v>66298905450519</v>
      </c>
      <c r="D3174" s="1" t="str">
        <f>"84880"</f>
        <v>84880</v>
      </c>
      <c r="E3174" s="1" t="s">
        <v>17</v>
      </c>
      <c r="F3174" s="1">
        <v>12</v>
      </c>
      <c r="G3174" s="1">
        <v>673</v>
      </c>
      <c r="H3174" s="1">
        <v>8076</v>
      </c>
      <c r="I3174" s="1">
        <v>0</v>
      </c>
      <c r="J3174" s="1">
        <v>12</v>
      </c>
      <c r="K3174" s="1">
        <v>0</v>
      </c>
    </row>
    <row r="3175" spans="1:11" x14ac:dyDescent="0.2">
      <c r="A3175" s="1" t="s">
        <v>2831</v>
      </c>
      <c r="B3175" s="1" t="s">
        <v>2901</v>
      </c>
      <c r="C3175" s="1" t="str">
        <f>"66298905501603"</f>
        <v>66298905501603</v>
      </c>
      <c r="D3175" s="1" t="str">
        <f>"11967"</f>
        <v>11967</v>
      </c>
      <c r="E3175" s="1" t="s">
        <v>17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</row>
    <row r="3176" spans="1:11" x14ac:dyDescent="0.2">
      <c r="A3176" s="1" t="s">
        <v>2831</v>
      </c>
      <c r="B3176" s="1" t="s">
        <v>2902</v>
      </c>
      <c r="C3176" s="1" t="str">
        <f>"66298905542038"</f>
        <v>66298905542038</v>
      </c>
      <c r="D3176" s="1" t="str">
        <f>"MAN-FRE-YZF"</f>
        <v>MAN-FRE-YZF</v>
      </c>
      <c r="E3176" s="1" t="s">
        <v>17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</row>
    <row r="3177" spans="1:11" x14ac:dyDescent="0.2">
      <c r="A3177" s="1" t="s">
        <v>2903</v>
      </c>
      <c r="B3177" s="1" t="s">
        <v>2904</v>
      </c>
      <c r="C3177" s="1" t="str">
        <f>"Q020"</f>
        <v>Q020</v>
      </c>
      <c r="D3177" s="1" t="str">
        <f>"Q020"</f>
        <v>Q020</v>
      </c>
      <c r="E3177" s="1" t="s">
        <v>17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</row>
    <row r="3178" spans="1:11" x14ac:dyDescent="0.2">
      <c r="A3178" s="1" t="s">
        <v>2903</v>
      </c>
      <c r="B3178" s="1" t="s">
        <v>2905</v>
      </c>
      <c r="C3178" s="1" t="str">
        <f>"66298905581331"</f>
        <v>66298905581331</v>
      </c>
      <c r="D3178" s="1" t="str">
        <f>"400011"</f>
        <v>400011</v>
      </c>
      <c r="E3178" s="1" t="s">
        <v>17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</row>
    <row r="3179" spans="1:11" x14ac:dyDescent="0.2">
      <c r="A3179" s="1" t="s">
        <v>2903</v>
      </c>
      <c r="B3179" s="1" t="s">
        <v>2906</v>
      </c>
      <c r="C3179" s="1" t="str">
        <f>"Q063"</f>
        <v>Q063</v>
      </c>
      <c r="D3179" s="1" t="str">
        <f>"Q063"</f>
        <v>Q063</v>
      </c>
      <c r="E3179" s="1" t="s">
        <v>17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</row>
    <row r="3180" spans="1:11" x14ac:dyDescent="0.2">
      <c r="A3180" s="1" t="s">
        <v>2903</v>
      </c>
      <c r="B3180" s="1" t="s">
        <v>2907</v>
      </c>
      <c r="C3180" s="1" t="str">
        <f>"12768"</f>
        <v>12768</v>
      </c>
      <c r="D3180" s="1" t="str">
        <f>"12768"</f>
        <v>12768</v>
      </c>
      <c r="E3180" s="1" t="s">
        <v>17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</row>
    <row r="3181" spans="1:11" x14ac:dyDescent="0.2">
      <c r="A3181" s="1" t="s">
        <v>2903</v>
      </c>
      <c r="B3181" s="1" t="s">
        <v>2908</v>
      </c>
      <c r="C3181" s="1" t="str">
        <f>"Q041"</f>
        <v>Q041</v>
      </c>
      <c r="D3181" s="1" t="str">
        <f>"Q041"</f>
        <v>Q041</v>
      </c>
      <c r="E3181" s="1" t="s">
        <v>17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</row>
    <row r="3182" spans="1:11" x14ac:dyDescent="0.2">
      <c r="A3182" s="1" t="s">
        <v>2903</v>
      </c>
      <c r="B3182" s="1" t="s">
        <v>2909</v>
      </c>
      <c r="C3182" s="1" t="str">
        <f>"57500H2A200H000"</f>
        <v>57500H2A200H000</v>
      </c>
      <c r="D3182" s="1" t="str">
        <f>"57500H2A200H000"</f>
        <v>57500H2A200H000</v>
      </c>
      <c r="E3182" s="1" t="s">
        <v>17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</row>
    <row r="3183" spans="1:11" x14ac:dyDescent="0.2">
      <c r="A3183" s="1" t="s">
        <v>2903</v>
      </c>
      <c r="B3183" s="1" t="s">
        <v>2910</v>
      </c>
      <c r="C3183" s="1" t="str">
        <f>"EMKD00051"</f>
        <v>EMKD00051</v>
      </c>
      <c r="D3183" s="1" t="str">
        <f>"EMKD00051"</f>
        <v>EMKD00051</v>
      </c>
      <c r="E3183" s="1" t="s">
        <v>17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</row>
    <row r="3184" spans="1:11" x14ac:dyDescent="0.2">
      <c r="A3184" s="1" t="s">
        <v>2903</v>
      </c>
      <c r="B3184" s="1" t="s">
        <v>2911</v>
      </c>
      <c r="C3184" s="1" t="str">
        <f>"EMJM00284"</f>
        <v>EMJM00284</v>
      </c>
      <c r="D3184" s="1" t="str">
        <f>"EMJM00284"</f>
        <v>EMJM00284</v>
      </c>
      <c r="E3184" s="1" t="s">
        <v>17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</row>
    <row r="3185" spans="1:11" x14ac:dyDescent="0.2">
      <c r="A3185" s="1" t="s">
        <v>2903</v>
      </c>
      <c r="B3185" s="1" t="s">
        <v>2912</v>
      </c>
      <c r="C3185" s="1" t="str">
        <f>"MANILLAR-EMB-UNIV"</f>
        <v>MANILLAR-EMB-UNIV</v>
      </c>
      <c r="D3185" s="1" t="str">
        <f>"MANILLAR-EMB-UNIV"</f>
        <v>MANILLAR-EMB-UNIV</v>
      </c>
      <c r="E3185" s="1" t="s">
        <v>17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</row>
    <row r="3186" spans="1:11" x14ac:dyDescent="0.2">
      <c r="A3186" s="1" t="s">
        <v>2903</v>
      </c>
      <c r="B3186" s="1" t="s">
        <v>2912</v>
      </c>
      <c r="C3186" s="1" t="str">
        <f>"Q011"</f>
        <v>Q011</v>
      </c>
      <c r="D3186" s="1" t="str">
        <f>"Q011"</f>
        <v>Q011</v>
      </c>
      <c r="E3186" s="1" t="s">
        <v>17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</row>
    <row r="3187" spans="1:11" x14ac:dyDescent="0.2">
      <c r="A3187" s="1" t="s">
        <v>2903</v>
      </c>
      <c r="B3187" s="1" t="s">
        <v>2913</v>
      </c>
      <c r="C3187" s="1" t="str">
        <f>"Q021"</f>
        <v>Q021</v>
      </c>
      <c r="D3187" s="1" t="str">
        <f>"Q021"</f>
        <v>Q021</v>
      </c>
      <c r="E3187" s="1" t="s">
        <v>17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</row>
    <row r="3188" spans="1:11" x14ac:dyDescent="0.2">
      <c r="A3188" s="1" t="s">
        <v>2903</v>
      </c>
      <c r="B3188" s="1" t="s">
        <v>2914</v>
      </c>
      <c r="C3188" s="1" t="str">
        <f>"Q010"</f>
        <v>Q010</v>
      </c>
      <c r="D3188" s="1" t="str">
        <f>"Q010"</f>
        <v>Q010</v>
      </c>
      <c r="E3188" s="1" t="s">
        <v>17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</row>
    <row r="3189" spans="1:11" x14ac:dyDescent="0.2">
      <c r="A3189" s="1" t="s">
        <v>2903</v>
      </c>
      <c r="B3189" s="1" t="s">
        <v>2915</v>
      </c>
      <c r="C3189" s="1" t="str">
        <f>"Q061"</f>
        <v>Q061</v>
      </c>
      <c r="D3189" s="1" t="str">
        <f>"Q061"</f>
        <v>Q061</v>
      </c>
      <c r="E3189" s="1" t="s">
        <v>17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</row>
    <row r="3190" spans="1:11" x14ac:dyDescent="0.2">
      <c r="A3190" s="1" t="s">
        <v>2831</v>
      </c>
      <c r="B3190" s="1" t="s">
        <v>2916</v>
      </c>
      <c r="C3190" s="1" t="str">
        <f>"4465"</f>
        <v>4465</v>
      </c>
      <c r="D3190" s="1" t="str">
        <f>"4465"</f>
        <v>4465</v>
      </c>
      <c r="E3190" s="1" t="s">
        <v>17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</row>
    <row r="3191" spans="1:11" x14ac:dyDescent="0.2">
      <c r="A3191" s="1" t="s">
        <v>2831</v>
      </c>
      <c r="B3191" s="1" t="s">
        <v>2916</v>
      </c>
      <c r="C3191" s="1" t="str">
        <f>"Q065"</f>
        <v>Q065</v>
      </c>
      <c r="D3191" s="1" t="str">
        <f>"Q065"</f>
        <v>Q065</v>
      </c>
      <c r="E3191" s="1" t="s">
        <v>17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</row>
    <row r="3192" spans="1:11" x14ac:dyDescent="0.2">
      <c r="A3192" s="1" t="s">
        <v>2831</v>
      </c>
      <c r="B3192" s="1" t="s">
        <v>2916</v>
      </c>
      <c r="C3192" s="1" t="str">
        <f>"4464M"</f>
        <v>4464M</v>
      </c>
      <c r="D3192" s="1" t="str">
        <f>"4464M"</f>
        <v>4464M</v>
      </c>
      <c r="E3192" s="1" t="s">
        <v>17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</row>
    <row r="3193" spans="1:11" x14ac:dyDescent="0.2">
      <c r="A3193" s="1" t="s">
        <v>2831</v>
      </c>
      <c r="B3193" s="1" t="s">
        <v>2917</v>
      </c>
      <c r="C3193" s="1" t="str">
        <f>"10491"</f>
        <v>10491</v>
      </c>
      <c r="D3193" s="1" t="str">
        <f>"10491"</f>
        <v>10491</v>
      </c>
      <c r="E3193" s="1" t="s">
        <v>17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</row>
    <row r="3194" spans="1:11" x14ac:dyDescent="0.2">
      <c r="A3194" s="1" t="s">
        <v>18</v>
      </c>
      <c r="B3194" s="1" t="s">
        <v>2918</v>
      </c>
      <c r="C3194" s="1" t="str">
        <f>"66298905621042"</f>
        <v>66298905621042</v>
      </c>
      <c r="D3194" s="1" t="str">
        <f>"QC032-VERDE"</f>
        <v>QC032-VERDE</v>
      </c>
      <c r="E3194" s="1" t="s">
        <v>17</v>
      </c>
      <c r="F3194" s="1">
        <v>1</v>
      </c>
      <c r="G3194" s="1">
        <v>11346</v>
      </c>
      <c r="H3194" s="1">
        <v>11346</v>
      </c>
      <c r="I3194" s="1">
        <v>0</v>
      </c>
      <c r="J3194" s="1">
        <v>1</v>
      </c>
      <c r="K3194" s="1">
        <v>0</v>
      </c>
    </row>
    <row r="3195" spans="1:11" x14ac:dyDescent="0.2">
      <c r="A3195" s="1" t="s">
        <v>18</v>
      </c>
      <c r="B3195" s="1" t="s">
        <v>2919</v>
      </c>
      <c r="C3195" s="1" t="str">
        <f>"12530-NEGRO"</f>
        <v>12530-NEGRO</v>
      </c>
      <c r="D3195" s="1" t="str">
        <f>"12530-NEGRO"</f>
        <v>12530-NEGRO</v>
      </c>
      <c r="E3195" s="1" t="s">
        <v>17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</row>
    <row r="3196" spans="1:11" x14ac:dyDescent="0.2">
      <c r="A3196" s="1" t="s">
        <v>18</v>
      </c>
      <c r="B3196" s="1" t="s">
        <v>2920</v>
      </c>
      <c r="C3196" s="1" t="str">
        <f>"16487-NEGRO"</f>
        <v>16487-NEGRO</v>
      </c>
      <c r="D3196" s="1" t="str">
        <f>"16487-NEGRO"</f>
        <v>16487-NEGRO</v>
      </c>
      <c r="E3196" s="1" t="s">
        <v>17</v>
      </c>
      <c r="F3196" s="1">
        <v>2</v>
      </c>
      <c r="G3196" s="1">
        <v>8782</v>
      </c>
      <c r="H3196" s="1">
        <v>17564</v>
      </c>
      <c r="I3196" s="1">
        <v>0</v>
      </c>
      <c r="J3196" s="1">
        <v>2</v>
      </c>
      <c r="K3196" s="1">
        <v>0</v>
      </c>
    </row>
    <row r="3197" spans="1:11" x14ac:dyDescent="0.2">
      <c r="A3197" s="1" t="s">
        <v>18</v>
      </c>
      <c r="B3197" s="1" t="s">
        <v>2921</v>
      </c>
      <c r="C3197" s="1" t="str">
        <f>"66298905658455"</f>
        <v>66298905658455</v>
      </c>
      <c r="D3197" s="1" t="str">
        <f>"QC028-VERDE"</f>
        <v>QC028-VERDE</v>
      </c>
      <c r="E3197" s="1" t="s">
        <v>17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</row>
    <row r="3198" spans="1:11" x14ac:dyDescent="0.2">
      <c r="A3198" s="1" t="s">
        <v>18</v>
      </c>
      <c r="B3198" s="1" t="s">
        <v>2922</v>
      </c>
      <c r="C3198" s="1" t="str">
        <f>"2602-NEGRO"</f>
        <v>2602-NEGRO</v>
      </c>
      <c r="D3198" s="1" t="str">
        <f>"2602-NEGRO"</f>
        <v>2602-NEGRO</v>
      </c>
      <c r="E3198" s="1" t="s">
        <v>17</v>
      </c>
      <c r="F3198" s="1">
        <v>1</v>
      </c>
      <c r="G3198" s="1">
        <v>8782</v>
      </c>
      <c r="H3198" s="1">
        <v>8782</v>
      </c>
      <c r="I3198" s="1">
        <v>0</v>
      </c>
      <c r="J3198" s="1">
        <v>1</v>
      </c>
      <c r="K3198" s="1">
        <v>0</v>
      </c>
    </row>
    <row r="3199" spans="1:11" x14ac:dyDescent="0.2">
      <c r="A3199" s="1" t="s">
        <v>18</v>
      </c>
      <c r="B3199" s="1" t="s">
        <v>2923</v>
      </c>
      <c r="C3199" s="1" t="str">
        <f>"66298905699777"</f>
        <v>66298905699777</v>
      </c>
      <c r="D3199" s="1" t="str">
        <f>"4050-NEGRO"</f>
        <v>4050-NEGRO</v>
      </c>
      <c r="E3199" s="1" t="s">
        <v>17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</row>
    <row r="3200" spans="1:11" x14ac:dyDescent="0.2">
      <c r="A3200" s="1" t="s">
        <v>18</v>
      </c>
      <c r="B3200" s="1" t="s">
        <v>2924</v>
      </c>
      <c r="C3200" s="1" t="str">
        <f>"2159-NEGRO"</f>
        <v>2159-NEGRO</v>
      </c>
      <c r="D3200" s="1" t="str">
        <f>"2159-NEGRO"</f>
        <v>2159-NEGRO</v>
      </c>
      <c r="E3200" s="1" t="s">
        <v>17</v>
      </c>
      <c r="F3200" s="1">
        <v>2</v>
      </c>
      <c r="G3200" s="1">
        <v>8782</v>
      </c>
      <c r="H3200" s="1">
        <v>17564</v>
      </c>
      <c r="I3200" s="1">
        <v>0</v>
      </c>
      <c r="J3200" s="1">
        <v>2</v>
      </c>
      <c r="K3200" s="1">
        <v>0</v>
      </c>
    </row>
    <row r="3201" spans="1:11" x14ac:dyDescent="0.2">
      <c r="A3201" s="1" t="s">
        <v>18</v>
      </c>
      <c r="B3201" s="1" t="s">
        <v>2925</v>
      </c>
      <c r="C3201" s="1" t="str">
        <f>"66298905741087"</f>
        <v>66298905741087</v>
      </c>
      <c r="D3201" s="1" t="str">
        <f>"QC037"</f>
        <v>QC037</v>
      </c>
      <c r="E3201" s="1" t="s">
        <v>17</v>
      </c>
      <c r="F3201" s="1">
        <v>9</v>
      </c>
      <c r="G3201" s="1">
        <v>5625</v>
      </c>
      <c r="H3201" s="1">
        <v>50625</v>
      </c>
      <c r="I3201" s="1">
        <v>0</v>
      </c>
      <c r="J3201" s="1">
        <v>9</v>
      </c>
      <c r="K3201" s="1">
        <v>0</v>
      </c>
    </row>
    <row r="3202" spans="1:11" x14ac:dyDescent="0.2">
      <c r="A3202" s="1" t="s">
        <v>18</v>
      </c>
      <c r="B3202" s="1" t="s">
        <v>2926</v>
      </c>
      <c r="C3202" s="1" t="str">
        <f>"66298905783291"</f>
        <v>66298905783291</v>
      </c>
      <c r="D3202" s="1" t="str">
        <f>"QC038"</f>
        <v>QC038</v>
      </c>
      <c r="E3202" s="1" t="s">
        <v>17</v>
      </c>
      <c r="F3202" s="1">
        <v>2</v>
      </c>
      <c r="G3202" s="1">
        <v>5625</v>
      </c>
      <c r="H3202" s="1">
        <v>11250</v>
      </c>
      <c r="I3202" s="1">
        <v>0</v>
      </c>
      <c r="J3202" s="1">
        <v>2</v>
      </c>
      <c r="K3202" s="1">
        <v>0</v>
      </c>
    </row>
    <row r="3203" spans="1:11" x14ac:dyDescent="0.2">
      <c r="A3203" s="1" t="s">
        <v>18</v>
      </c>
      <c r="B3203" s="1" t="s">
        <v>2927</v>
      </c>
      <c r="C3203" s="1" t="str">
        <f>"66298905824003"</f>
        <v>66298905824003</v>
      </c>
      <c r="D3203" s="1" t="str">
        <f>"QC035-ROJO"</f>
        <v>QC035-ROJO</v>
      </c>
      <c r="E3203" s="1" t="s">
        <v>17</v>
      </c>
      <c r="F3203" s="1">
        <v>3</v>
      </c>
      <c r="G3203" s="1">
        <v>8984</v>
      </c>
      <c r="H3203" s="1">
        <v>26952</v>
      </c>
      <c r="I3203" s="1">
        <v>0</v>
      </c>
      <c r="J3203" s="1">
        <v>3</v>
      </c>
      <c r="K3203" s="1">
        <v>0</v>
      </c>
    </row>
    <row r="3204" spans="1:11" x14ac:dyDescent="0.2">
      <c r="A3204" s="1" t="s">
        <v>18</v>
      </c>
      <c r="B3204" s="1" t="s">
        <v>2928</v>
      </c>
      <c r="C3204" s="1" t="str">
        <f>"66298905863805"</f>
        <v>66298905863805</v>
      </c>
      <c r="D3204" s="1" t="str">
        <f>"QC218-GT250-AZ"</f>
        <v>QC218-GT250-AZ</v>
      </c>
      <c r="E3204" s="1" t="s">
        <v>17</v>
      </c>
      <c r="F3204" s="1">
        <v>1</v>
      </c>
      <c r="G3204" s="1">
        <v>19623</v>
      </c>
      <c r="H3204" s="1">
        <v>19623</v>
      </c>
      <c r="I3204" s="1">
        <v>0</v>
      </c>
      <c r="J3204" s="1">
        <v>1</v>
      </c>
      <c r="K3204" s="1">
        <v>0</v>
      </c>
    </row>
    <row r="3205" spans="1:11" x14ac:dyDescent="0.2">
      <c r="A3205" s="1" t="s">
        <v>18</v>
      </c>
      <c r="B3205" s="1" t="s">
        <v>2929</v>
      </c>
      <c r="C3205" s="1" t="str">
        <f>"66298905903234"</f>
        <v>66298905903234</v>
      </c>
      <c r="D3205" s="1" t="str">
        <f>"QC218-GT250-RO"</f>
        <v>QC218-GT250-RO</v>
      </c>
      <c r="E3205" s="1" t="s">
        <v>17</v>
      </c>
      <c r="F3205" s="1">
        <v>2</v>
      </c>
      <c r="G3205" s="1">
        <v>19623</v>
      </c>
      <c r="H3205" s="1">
        <v>39246</v>
      </c>
      <c r="I3205" s="1">
        <v>0</v>
      </c>
      <c r="J3205" s="1">
        <v>2</v>
      </c>
      <c r="K3205" s="1">
        <v>0</v>
      </c>
    </row>
    <row r="3206" spans="1:11" x14ac:dyDescent="0.2">
      <c r="A3206" s="1" t="s">
        <v>18</v>
      </c>
      <c r="B3206" s="1" t="s">
        <v>2930</v>
      </c>
      <c r="C3206" s="1" t="str">
        <f>"66298905943288"</f>
        <v>66298905943288</v>
      </c>
      <c r="D3206" s="1" t="str">
        <f>"QC218-GT650-AZ"</f>
        <v>QC218-GT650-AZ</v>
      </c>
      <c r="E3206" s="1" t="s">
        <v>17</v>
      </c>
      <c r="F3206" s="1">
        <v>2</v>
      </c>
      <c r="G3206" s="1">
        <v>19623</v>
      </c>
      <c r="H3206" s="1">
        <v>39246</v>
      </c>
      <c r="I3206" s="1">
        <v>0</v>
      </c>
      <c r="J3206" s="1">
        <v>2</v>
      </c>
      <c r="K3206" s="1">
        <v>0</v>
      </c>
    </row>
    <row r="3207" spans="1:11" x14ac:dyDescent="0.2">
      <c r="A3207" s="1" t="s">
        <v>18</v>
      </c>
      <c r="B3207" s="1" t="s">
        <v>2931</v>
      </c>
      <c r="C3207" s="1" t="str">
        <f>"66298905982349"</f>
        <v>66298905982349</v>
      </c>
      <c r="D3207" s="1" t="str">
        <f>"QC218-GT650-RO"</f>
        <v>QC218-GT650-RO</v>
      </c>
      <c r="E3207" s="1" t="s">
        <v>17</v>
      </c>
      <c r="F3207" s="1">
        <v>1</v>
      </c>
      <c r="G3207" s="1">
        <v>19623</v>
      </c>
      <c r="H3207" s="1">
        <v>19623</v>
      </c>
      <c r="I3207" s="1">
        <v>0</v>
      </c>
      <c r="J3207" s="1">
        <v>1</v>
      </c>
      <c r="K3207" s="1">
        <v>0</v>
      </c>
    </row>
    <row r="3208" spans="1:11" x14ac:dyDescent="0.2">
      <c r="A3208" s="1" t="s">
        <v>18</v>
      </c>
      <c r="B3208" s="1" t="s">
        <v>2932</v>
      </c>
      <c r="C3208" s="1" t="str">
        <f>"66298906021251"</f>
        <v>66298906021251</v>
      </c>
      <c r="D3208" s="1" t="str">
        <f>"QC218-KTM-AZUL"</f>
        <v>QC218-KTM-AZUL</v>
      </c>
      <c r="E3208" s="1" t="s">
        <v>17</v>
      </c>
      <c r="F3208" s="1">
        <v>1</v>
      </c>
      <c r="G3208" s="1">
        <v>19623</v>
      </c>
      <c r="H3208" s="1">
        <v>19623</v>
      </c>
      <c r="I3208" s="1">
        <v>0</v>
      </c>
      <c r="J3208" s="1">
        <v>1</v>
      </c>
      <c r="K3208" s="1">
        <v>0</v>
      </c>
    </row>
    <row r="3209" spans="1:11" x14ac:dyDescent="0.2">
      <c r="A3209" s="1" t="s">
        <v>18</v>
      </c>
      <c r="B3209" s="1" t="s">
        <v>2933</v>
      </c>
      <c r="C3209" s="1" t="str">
        <f>"66298906065590"</f>
        <v>66298906065590</v>
      </c>
      <c r="D3209" s="1" t="str">
        <f>"2117-MANILLAS"</f>
        <v>2117-MANILLAS</v>
      </c>
      <c r="E3209" s="1" t="s">
        <v>17</v>
      </c>
      <c r="F3209" s="1">
        <v>1</v>
      </c>
      <c r="G3209" s="1">
        <v>15623</v>
      </c>
      <c r="H3209" s="1">
        <v>15623</v>
      </c>
      <c r="I3209" s="1">
        <v>0</v>
      </c>
      <c r="J3209" s="1">
        <v>1</v>
      </c>
      <c r="K3209" s="1">
        <v>0</v>
      </c>
    </row>
    <row r="3210" spans="1:11" x14ac:dyDescent="0.2">
      <c r="A3210" s="1" t="s">
        <v>18</v>
      </c>
      <c r="B3210" s="1" t="s">
        <v>2934</v>
      </c>
      <c r="C3210" s="1" t="str">
        <f>"66298906114876"</f>
        <v>66298906114876</v>
      </c>
      <c r="D3210" s="1" t="str">
        <f>"QC218-PUL/AS-AZ"</f>
        <v>QC218-PUL/AS-AZ</v>
      </c>
      <c r="E3210" s="1" t="s">
        <v>17</v>
      </c>
      <c r="F3210" s="1">
        <v>1</v>
      </c>
      <c r="G3210" s="1">
        <v>19623</v>
      </c>
      <c r="H3210" s="1">
        <v>19623</v>
      </c>
      <c r="I3210" s="1">
        <v>0</v>
      </c>
      <c r="J3210" s="1">
        <v>1</v>
      </c>
      <c r="K3210" s="1">
        <v>0</v>
      </c>
    </row>
    <row r="3211" spans="1:11" x14ac:dyDescent="0.2">
      <c r="A3211" s="1" t="s">
        <v>18</v>
      </c>
      <c r="B3211" s="1" t="s">
        <v>2935</v>
      </c>
      <c r="C3211" s="1" t="str">
        <f>"66298906155980"</f>
        <v>66298906155980</v>
      </c>
      <c r="D3211" s="1" t="str">
        <f>"QC218-PUL/AS-RO"</f>
        <v>QC218-PUL/AS-RO</v>
      </c>
      <c r="E3211" s="1" t="s">
        <v>17</v>
      </c>
      <c r="F3211" s="1">
        <v>1</v>
      </c>
      <c r="G3211" s="1">
        <v>19623</v>
      </c>
      <c r="H3211" s="1">
        <v>19623</v>
      </c>
      <c r="I3211" s="1">
        <v>0</v>
      </c>
      <c r="J3211" s="1">
        <v>1</v>
      </c>
      <c r="K3211" s="1">
        <v>0</v>
      </c>
    </row>
    <row r="3212" spans="1:11" x14ac:dyDescent="0.2">
      <c r="A3212" s="1" t="s">
        <v>18</v>
      </c>
      <c r="B3212" s="1" t="s">
        <v>2936</v>
      </c>
      <c r="C3212" s="1" t="str">
        <f>"66298906199714"</f>
        <v>66298906199714</v>
      </c>
      <c r="D3212" s="1" t="str">
        <f>"QC218-PUL/RS-RO"</f>
        <v>QC218-PUL/RS-RO</v>
      </c>
      <c r="E3212" s="1" t="s">
        <v>17</v>
      </c>
      <c r="F3212" s="1">
        <v>1</v>
      </c>
      <c r="G3212" s="1">
        <v>19623</v>
      </c>
      <c r="H3212" s="1">
        <v>19623</v>
      </c>
      <c r="I3212" s="1">
        <v>0</v>
      </c>
      <c r="J3212" s="1">
        <v>1</v>
      </c>
      <c r="K3212" s="1">
        <v>0</v>
      </c>
    </row>
    <row r="3213" spans="1:11" x14ac:dyDescent="0.2">
      <c r="A3213" s="1" t="s">
        <v>18</v>
      </c>
      <c r="B3213" s="1" t="s">
        <v>2937</v>
      </c>
      <c r="C3213" s="1" t="str">
        <f>"66298906248377"</f>
        <v>66298906248377</v>
      </c>
      <c r="D3213" s="1" t="str">
        <f>"QC031-DORADA"</f>
        <v>QC031-DORADA</v>
      </c>
      <c r="E3213" s="1" t="s">
        <v>17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</row>
    <row r="3214" spans="1:11" x14ac:dyDescent="0.2">
      <c r="A3214" s="1" t="s">
        <v>18</v>
      </c>
      <c r="B3214" s="1" t="s">
        <v>2938</v>
      </c>
      <c r="C3214" s="1" t="str">
        <f>"66298906290058"</f>
        <v>66298906290058</v>
      </c>
      <c r="D3214" s="1" t="str">
        <f>"QC031-NEGRO"</f>
        <v>QC031-NEGRO</v>
      </c>
      <c r="E3214" s="1" t="s">
        <v>17</v>
      </c>
      <c r="F3214" s="1">
        <v>2</v>
      </c>
      <c r="G3214" s="1">
        <v>8333</v>
      </c>
      <c r="H3214" s="1">
        <v>16666</v>
      </c>
      <c r="I3214" s="1">
        <v>0</v>
      </c>
      <c r="J3214" s="1">
        <v>2</v>
      </c>
      <c r="K3214" s="1">
        <v>0</v>
      </c>
    </row>
    <row r="3215" spans="1:11" x14ac:dyDescent="0.2">
      <c r="A3215" s="1" t="s">
        <v>18</v>
      </c>
      <c r="B3215" s="1" t="s">
        <v>2939</v>
      </c>
      <c r="C3215" s="1" t="str">
        <f>"66298906327683"</f>
        <v>66298906327683</v>
      </c>
      <c r="D3215" s="1" t="str">
        <f>"QC031-VERDE"</f>
        <v>QC031-VERDE</v>
      </c>
      <c r="E3215" s="1" t="s">
        <v>17</v>
      </c>
      <c r="F3215" s="1">
        <v>4</v>
      </c>
      <c r="G3215" s="1">
        <v>8333</v>
      </c>
      <c r="H3215" s="1">
        <v>33332</v>
      </c>
      <c r="I3215" s="1">
        <v>0</v>
      </c>
      <c r="J3215" s="1">
        <v>4</v>
      </c>
      <c r="K3215" s="1">
        <v>0</v>
      </c>
    </row>
    <row r="3216" spans="1:11" x14ac:dyDescent="0.2">
      <c r="A3216" s="1" t="s">
        <v>2940</v>
      </c>
      <c r="B3216" s="1" t="s">
        <v>2941</v>
      </c>
      <c r="C3216" s="1" t="str">
        <f>"GF006"</f>
        <v>GF006</v>
      </c>
      <c r="D3216" s="1" t="str">
        <f>"GF006"</f>
        <v>GF006</v>
      </c>
      <c r="E3216" s="1" t="s">
        <v>17</v>
      </c>
      <c r="F3216" s="1">
        <v>1</v>
      </c>
      <c r="G3216" s="1">
        <v>8376</v>
      </c>
      <c r="H3216" s="1">
        <v>8376</v>
      </c>
      <c r="I3216" s="1">
        <v>0</v>
      </c>
      <c r="J3216" s="1">
        <v>1</v>
      </c>
      <c r="K3216" s="1">
        <v>0</v>
      </c>
    </row>
    <row r="3217" spans="1:11" x14ac:dyDescent="0.2">
      <c r="A3217" s="1" t="s">
        <v>2940</v>
      </c>
      <c r="B3217" s="1" t="s">
        <v>2942</v>
      </c>
      <c r="C3217" s="1" t="str">
        <f>"2971-DORADO"</f>
        <v>2971-DORADO</v>
      </c>
      <c r="D3217" s="1" t="str">
        <f>"2971-DORADO"</f>
        <v>2971-DORADO</v>
      </c>
      <c r="E3217" s="1" t="s">
        <v>17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</row>
    <row r="3218" spans="1:11" x14ac:dyDescent="0.2">
      <c r="A3218" s="1" t="s">
        <v>2940</v>
      </c>
      <c r="B3218" s="1" t="s">
        <v>2943</v>
      </c>
      <c r="C3218" s="1" t="str">
        <f>"2971-NARANJA"</f>
        <v>2971-NARANJA</v>
      </c>
      <c r="D3218" s="1" t="str">
        <f>"2971-NARANJA"</f>
        <v>2971-NARANJA</v>
      </c>
      <c r="E3218" s="1" t="s">
        <v>17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</row>
    <row r="3219" spans="1:11" x14ac:dyDescent="0.2">
      <c r="A3219" s="1" t="s">
        <v>2940</v>
      </c>
      <c r="B3219" s="1" t="s">
        <v>2944</v>
      </c>
      <c r="C3219" s="1" t="str">
        <f>"2971-PLATEADO"</f>
        <v>2971-PLATEADO</v>
      </c>
      <c r="D3219" s="1" t="str">
        <f>"2971-PLATEADO"</f>
        <v>2971-PLATEADO</v>
      </c>
      <c r="E3219" s="1" t="s">
        <v>17</v>
      </c>
      <c r="F3219" s="1">
        <v>1</v>
      </c>
      <c r="G3219" s="1">
        <v>4697.3</v>
      </c>
      <c r="H3219" s="1">
        <v>4697</v>
      </c>
      <c r="I3219" s="1">
        <v>0</v>
      </c>
      <c r="J3219" s="1">
        <v>1</v>
      </c>
      <c r="K3219" s="1">
        <v>0</v>
      </c>
    </row>
    <row r="3220" spans="1:11" x14ac:dyDescent="0.2">
      <c r="A3220" s="1" t="s">
        <v>2940</v>
      </c>
      <c r="B3220" s="1" t="s">
        <v>2945</v>
      </c>
      <c r="C3220" s="1" t="str">
        <f>"2971-ROJO"</f>
        <v>2971-ROJO</v>
      </c>
      <c r="D3220" s="1" t="str">
        <f>"2971-ROJO"</f>
        <v>2971-ROJO</v>
      </c>
      <c r="E3220" s="1" t="s">
        <v>17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</row>
    <row r="3221" spans="1:11" x14ac:dyDescent="0.2">
      <c r="A3221" s="1" t="s">
        <v>2940</v>
      </c>
      <c r="B3221" s="1" t="s">
        <v>2946</v>
      </c>
      <c r="C3221" s="1" t="str">
        <f>"66298906369029"</f>
        <v>66298906369029</v>
      </c>
      <c r="D3221" s="1" t="str">
        <f>"3203"</f>
        <v>3203</v>
      </c>
      <c r="E3221" s="1" t="s">
        <v>17</v>
      </c>
      <c r="F3221" s="1">
        <v>12</v>
      </c>
      <c r="G3221" s="1">
        <v>8423</v>
      </c>
      <c r="H3221" s="1">
        <v>101076</v>
      </c>
      <c r="I3221" s="1">
        <v>0</v>
      </c>
      <c r="J3221" s="1">
        <v>12</v>
      </c>
      <c r="K3221" s="1">
        <v>0</v>
      </c>
    </row>
    <row r="3222" spans="1:11" x14ac:dyDescent="0.2">
      <c r="A3222" s="1" t="s">
        <v>2940</v>
      </c>
      <c r="B3222" s="1" t="s">
        <v>2947</v>
      </c>
      <c r="C3222" s="1" t="str">
        <f>"66298906412804"</f>
        <v>66298906412804</v>
      </c>
      <c r="D3222" s="1" t="str">
        <f>"49CC36"</f>
        <v>49CC36</v>
      </c>
      <c r="E3222" s="1" t="s">
        <v>17</v>
      </c>
      <c r="F3222" s="1">
        <v>3</v>
      </c>
      <c r="G3222" s="1">
        <v>5572</v>
      </c>
      <c r="H3222" s="1">
        <v>16716</v>
      </c>
      <c r="I3222" s="1">
        <v>0</v>
      </c>
      <c r="J3222" s="1">
        <v>3</v>
      </c>
      <c r="K3222" s="1">
        <v>0</v>
      </c>
    </row>
    <row r="3223" spans="1:11" x14ac:dyDescent="0.2">
      <c r="A3223" s="1" t="s">
        <v>2940</v>
      </c>
      <c r="B3223" s="1" t="s">
        <v>2948</v>
      </c>
      <c r="C3223" s="1" t="str">
        <f>"66298906450363"</f>
        <v>66298906450363</v>
      </c>
      <c r="D3223" s="1" t="str">
        <f>"GF031-NEGRO"</f>
        <v>GF031-NEGRO</v>
      </c>
      <c r="E3223" s="1" t="s">
        <v>17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</row>
    <row r="3224" spans="1:11" x14ac:dyDescent="0.2">
      <c r="A3224" s="1" t="s">
        <v>2940</v>
      </c>
      <c r="B3224" s="1" t="s">
        <v>2948</v>
      </c>
      <c r="C3224" s="1" t="str">
        <f>"66298906490109"</f>
        <v>66298906490109</v>
      </c>
      <c r="D3224" s="1" t="str">
        <f>"GF031-CROMADO"</f>
        <v>GF031-CROMADO</v>
      </c>
      <c r="E3224" s="1" t="s">
        <v>17</v>
      </c>
      <c r="F3224" s="1">
        <v>1</v>
      </c>
      <c r="G3224" s="1">
        <v>7128</v>
      </c>
      <c r="H3224" s="1">
        <v>7128</v>
      </c>
      <c r="I3224" s="1">
        <v>0</v>
      </c>
      <c r="J3224" s="1">
        <v>1</v>
      </c>
      <c r="K3224" s="1">
        <v>0</v>
      </c>
    </row>
    <row r="3225" spans="1:11" x14ac:dyDescent="0.2">
      <c r="A3225" s="1" t="s">
        <v>2940</v>
      </c>
      <c r="B3225" s="1" t="s">
        <v>2949</v>
      </c>
      <c r="C3225" s="1" t="str">
        <f>"66298906532919"</f>
        <v>66298906532919</v>
      </c>
      <c r="D3225" s="1" t="str">
        <f>"GF020-GRIS"</f>
        <v>GF020-GRIS</v>
      </c>
      <c r="E3225" s="1" t="s">
        <v>17</v>
      </c>
      <c r="F3225" s="1">
        <v>1</v>
      </c>
      <c r="G3225" s="1">
        <v>4018</v>
      </c>
      <c r="H3225" s="1">
        <v>4018</v>
      </c>
      <c r="I3225" s="1">
        <v>0</v>
      </c>
      <c r="J3225" s="1">
        <v>1</v>
      </c>
      <c r="K3225" s="1">
        <v>0</v>
      </c>
    </row>
    <row r="3226" spans="1:11" ht="30" x14ac:dyDescent="0.2">
      <c r="A3226" s="1" t="s">
        <v>2940</v>
      </c>
      <c r="B3226" s="1" t="s">
        <v>2950</v>
      </c>
      <c r="C3226" s="1" t="str">
        <f>"66298906659147"</f>
        <v>66298906659147</v>
      </c>
      <c r="D3226" s="1" t="str">
        <f>"GF005"</f>
        <v>GF005</v>
      </c>
      <c r="E3226" s="1" t="s">
        <v>17</v>
      </c>
      <c r="F3226" s="1">
        <v>1</v>
      </c>
      <c r="G3226" s="1">
        <v>5424</v>
      </c>
      <c r="H3226" s="1">
        <v>5424</v>
      </c>
      <c r="I3226" s="1">
        <v>0</v>
      </c>
      <c r="J3226" s="1">
        <v>1</v>
      </c>
      <c r="K3226" s="1">
        <v>0</v>
      </c>
    </row>
    <row r="3227" spans="1:11" x14ac:dyDescent="0.2">
      <c r="A3227" s="1" t="s">
        <v>2940</v>
      </c>
      <c r="B3227" s="1" t="s">
        <v>2951</v>
      </c>
      <c r="C3227" s="1" t="str">
        <f>"66298906572803"</f>
        <v>66298906572803</v>
      </c>
      <c r="D3227" s="1" t="str">
        <f>"JPC2001-042"</f>
        <v>JPC2001-042</v>
      </c>
      <c r="E3227" s="1" t="s">
        <v>17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</row>
    <row r="3228" spans="1:11" x14ac:dyDescent="0.2">
      <c r="A3228" s="1" t="s">
        <v>2940</v>
      </c>
      <c r="B3228" s="1" t="s">
        <v>2952</v>
      </c>
      <c r="C3228" s="1" t="str">
        <f>"66298906613577"</f>
        <v>66298906613577</v>
      </c>
      <c r="D3228" s="1" t="str">
        <f>"GF007"</f>
        <v>GF007</v>
      </c>
      <c r="E3228" s="1" t="s">
        <v>17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</row>
    <row r="3229" spans="1:11" x14ac:dyDescent="0.2">
      <c r="A3229" s="1" t="s">
        <v>2940</v>
      </c>
      <c r="B3229" s="1" t="s">
        <v>2953</v>
      </c>
      <c r="C3229" s="1" t="str">
        <f>"66298906702064"</f>
        <v>66298906702064</v>
      </c>
      <c r="D3229" s="1" t="str">
        <f>"GF029-CROMADO"</f>
        <v>GF029-CROMADO</v>
      </c>
      <c r="E3229" s="1" t="s">
        <v>17</v>
      </c>
      <c r="F3229" s="1">
        <v>1</v>
      </c>
      <c r="G3229" s="1">
        <v>12881</v>
      </c>
      <c r="H3229" s="1">
        <v>12881</v>
      </c>
      <c r="I3229" s="1">
        <v>0</v>
      </c>
      <c r="J3229" s="1">
        <v>1</v>
      </c>
      <c r="K3229" s="1">
        <v>0</v>
      </c>
    </row>
    <row r="3230" spans="1:11" x14ac:dyDescent="0.2">
      <c r="A3230" s="1" t="s">
        <v>2940</v>
      </c>
      <c r="B3230" s="1" t="s">
        <v>2954</v>
      </c>
      <c r="C3230" s="1" t="str">
        <f>"66298906738448"</f>
        <v>66298906738448</v>
      </c>
      <c r="D3230" s="1" t="str">
        <f>"GF001"</f>
        <v>GF001</v>
      </c>
      <c r="E3230" s="1" t="s">
        <v>17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</row>
    <row r="3231" spans="1:11" x14ac:dyDescent="0.2">
      <c r="A3231" s="1" t="s">
        <v>2940</v>
      </c>
      <c r="B3231" s="1" t="s">
        <v>2955</v>
      </c>
      <c r="C3231" s="1" t="str">
        <f>"66298906775750"</f>
        <v>66298906775750</v>
      </c>
      <c r="D3231" s="1" t="str">
        <f>"20P-F6122-00"</f>
        <v>20P-F6122-00</v>
      </c>
      <c r="E3231" s="1" t="s">
        <v>17</v>
      </c>
      <c r="F3231" s="1">
        <v>2</v>
      </c>
      <c r="G3231" s="1">
        <v>12547</v>
      </c>
      <c r="H3231" s="1">
        <v>25094</v>
      </c>
      <c r="I3231" s="1">
        <v>0</v>
      </c>
      <c r="J3231" s="1">
        <v>2</v>
      </c>
      <c r="K3231" s="1">
        <v>0</v>
      </c>
    </row>
    <row r="3232" spans="1:11" x14ac:dyDescent="0.2">
      <c r="A3232" s="1" t="s">
        <v>2940</v>
      </c>
      <c r="B3232" s="1" t="s">
        <v>2956</v>
      </c>
      <c r="C3232" s="1" t="str">
        <f>"66298906817345"</f>
        <v>66298906817345</v>
      </c>
      <c r="D3232" s="1" t="str">
        <f>"C065"</f>
        <v>C065</v>
      </c>
      <c r="E3232" s="1" t="s">
        <v>17</v>
      </c>
      <c r="F3232" s="1">
        <v>1</v>
      </c>
      <c r="G3232" s="1">
        <v>4780</v>
      </c>
      <c r="H3232" s="1">
        <v>4780</v>
      </c>
      <c r="I3232" s="1">
        <v>0</v>
      </c>
      <c r="J3232" s="1">
        <v>1</v>
      </c>
      <c r="K3232" s="1">
        <v>0</v>
      </c>
    </row>
    <row r="3233" spans="1:11" x14ac:dyDescent="0.2">
      <c r="A3233" s="1" t="s">
        <v>2940</v>
      </c>
      <c r="B3233" s="1" t="s">
        <v>2957</v>
      </c>
      <c r="C3233" s="1" t="str">
        <f>"66298906865648"</f>
        <v>66298906865648</v>
      </c>
      <c r="D3233" s="1" t="str">
        <f>"GF006-AZUL"</f>
        <v>GF006-AZUL</v>
      </c>
      <c r="E3233" s="1" t="s">
        <v>17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</row>
    <row r="3234" spans="1:11" x14ac:dyDescent="0.2">
      <c r="A3234" s="1" t="s">
        <v>2940</v>
      </c>
      <c r="B3234" s="1" t="s">
        <v>2958</v>
      </c>
      <c r="C3234" s="1" t="str">
        <f>"66298906859740"</f>
        <v>66298906859740</v>
      </c>
      <c r="D3234" s="1" t="str">
        <f>"GF006-NEGRO"</f>
        <v>GF006-NEGRO</v>
      </c>
      <c r="E3234" s="1" t="s">
        <v>17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</row>
    <row r="3235" spans="1:11" x14ac:dyDescent="0.2">
      <c r="A3235" s="1" t="s">
        <v>2940</v>
      </c>
      <c r="B3235" s="1" t="s">
        <v>2959</v>
      </c>
      <c r="C3235" s="1" t="str">
        <f>"GF006-ROJO"</f>
        <v>GF006-ROJO</v>
      </c>
      <c r="D3235" s="1" t="str">
        <f>"GF006-ROJO"</f>
        <v>GF006-ROJO</v>
      </c>
      <c r="E3235" s="1" t="s">
        <v>17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</row>
    <row r="3236" spans="1:11" x14ac:dyDescent="0.2">
      <c r="A3236" s="1" t="s">
        <v>2940</v>
      </c>
      <c r="B3236" s="1" t="s">
        <v>2960</v>
      </c>
      <c r="C3236" s="1" t="str">
        <f>"EXP11"</f>
        <v>EXP11</v>
      </c>
      <c r="D3236" s="1" t="str">
        <f>"EXP11"</f>
        <v>EXP11</v>
      </c>
      <c r="E3236" s="1" t="s">
        <v>17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</row>
    <row r="3237" spans="1:11" x14ac:dyDescent="0.2">
      <c r="A3237" s="1" t="s">
        <v>2940</v>
      </c>
      <c r="B3237" s="1" t="s">
        <v>2961</v>
      </c>
      <c r="C3237" s="1" t="str">
        <f>"GF002"</f>
        <v>GF002</v>
      </c>
      <c r="D3237" s="1" t="str">
        <f>"GF002"</f>
        <v>GF002</v>
      </c>
      <c r="E3237" s="1" t="s">
        <v>17</v>
      </c>
      <c r="F3237" s="1">
        <v>2</v>
      </c>
      <c r="G3237" s="1">
        <v>5095.8</v>
      </c>
      <c r="H3237" s="1">
        <v>10192</v>
      </c>
      <c r="I3237" s="1">
        <v>0</v>
      </c>
      <c r="J3237" s="1">
        <v>2</v>
      </c>
      <c r="K3237" s="1">
        <v>0</v>
      </c>
    </row>
    <row r="3238" spans="1:11" x14ac:dyDescent="0.2">
      <c r="A3238" s="1" t="s">
        <v>2940</v>
      </c>
      <c r="B3238" s="1" t="s">
        <v>2962</v>
      </c>
      <c r="C3238" s="1" t="str">
        <f>"B97-F6110-00"</f>
        <v>B97-F6110-00</v>
      </c>
      <c r="D3238" s="1" t="str">
        <f>"B97-F6110-00"</f>
        <v>B97-F6110-00</v>
      </c>
      <c r="E3238" s="1" t="s">
        <v>17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</row>
    <row r="3239" spans="1:11" x14ac:dyDescent="0.2">
      <c r="A3239" s="1" t="s">
        <v>2940</v>
      </c>
      <c r="B3239" s="1" t="s">
        <v>2963</v>
      </c>
      <c r="C3239" s="1" t="str">
        <f>"12321"</f>
        <v>12321</v>
      </c>
      <c r="D3239" s="1" t="str">
        <f>"12321"</f>
        <v>12321</v>
      </c>
      <c r="E3239" s="1" t="s">
        <v>17</v>
      </c>
      <c r="F3239" s="1">
        <v>2</v>
      </c>
      <c r="G3239" s="1">
        <v>8263.8700000000008</v>
      </c>
      <c r="H3239" s="1">
        <v>16528</v>
      </c>
      <c r="I3239" s="1">
        <v>0</v>
      </c>
      <c r="J3239" s="1">
        <v>2</v>
      </c>
      <c r="K3239" s="1">
        <v>0</v>
      </c>
    </row>
    <row r="3240" spans="1:11" x14ac:dyDescent="0.2">
      <c r="A3240" s="1" t="s">
        <v>2940</v>
      </c>
      <c r="B3240" s="1" t="s">
        <v>2964</v>
      </c>
      <c r="C3240" s="1" t="str">
        <f>"GF004"</f>
        <v>GF004</v>
      </c>
      <c r="D3240" s="1" t="str">
        <f>"GF004"</f>
        <v>GF004</v>
      </c>
      <c r="E3240" s="1" t="s">
        <v>17</v>
      </c>
      <c r="F3240" s="1">
        <v>4</v>
      </c>
      <c r="G3240" s="1">
        <v>5152.5</v>
      </c>
      <c r="H3240" s="1">
        <v>20610</v>
      </c>
      <c r="I3240" s="1">
        <v>0</v>
      </c>
      <c r="J3240" s="1">
        <v>4</v>
      </c>
      <c r="K3240" s="1">
        <v>0</v>
      </c>
    </row>
    <row r="3241" spans="1:11" x14ac:dyDescent="0.2">
      <c r="A3241" s="1" t="s">
        <v>2940</v>
      </c>
      <c r="B3241" s="1" t="s">
        <v>2965</v>
      </c>
      <c r="C3241" s="1" t="str">
        <f>"48"</f>
        <v>48</v>
      </c>
      <c r="D3241" s="1" t="str">
        <f>"1348"</f>
        <v>1348</v>
      </c>
      <c r="E3241" s="1" t="s">
        <v>17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</row>
    <row r="3242" spans="1:11" x14ac:dyDescent="0.2">
      <c r="A3242" s="1" t="s">
        <v>2940</v>
      </c>
      <c r="B3242" s="1" t="s">
        <v>2966</v>
      </c>
      <c r="C3242" s="1" t="str">
        <f>"66298906958490"</f>
        <v>66298906958490</v>
      </c>
      <c r="D3242" s="1" t="str">
        <f>"GF003"</f>
        <v>GF003</v>
      </c>
      <c r="E3242" s="1" t="s">
        <v>17</v>
      </c>
      <c r="F3242" s="1">
        <v>1</v>
      </c>
      <c r="G3242" s="1">
        <v>4308</v>
      </c>
      <c r="H3242" s="1">
        <v>4308</v>
      </c>
      <c r="I3242" s="1">
        <v>0</v>
      </c>
      <c r="J3242" s="1">
        <v>1</v>
      </c>
      <c r="K3242" s="1">
        <v>0</v>
      </c>
    </row>
    <row r="3243" spans="1:11" x14ac:dyDescent="0.2">
      <c r="A3243" s="1" t="s">
        <v>2940</v>
      </c>
      <c r="B3243" s="1" t="s">
        <v>2967</v>
      </c>
      <c r="C3243" s="1" t="str">
        <f>"56111H2C000H000"</f>
        <v>56111H2C000H000</v>
      </c>
      <c r="D3243" s="1" t="str">
        <f>"56111H2C000H000"</f>
        <v>56111H2C000H000</v>
      </c>
      <c r="E3243" s="1" t="s">
        <v>17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</row>
    <row r="3244" spans="1:11" x14ac:dyDescent="0.2">
      <c r="A3244" s="1" t="s">
        <v>2940</v>
      </c>
      <c r="B3244" s="1" t="s">
        <v>2968</v>
      </c>
      <c r="C3244" s="1" t="str">
        <f>"66298906998637"</f>
        <v>66298906998637</v>
      </c>
      <c r="D3244" s="1" t="str">
        <f>"83185"</f>
        <v>83185</v>
      </c>
      <c r="E3244" s="1" t="s">
        <v>17</v>
      </c>
      <c r="F3244" s="1">
        <v>10</v>
      </c>
      <c r="G3244" s="1">
        <v>5334</v>
      </c>
      <c r="H3244" s="1">
        <v>53340</v>
      </c>
      <c r="I3244" s="1">
        <v>0</v>
      </c>
      <c r="J3244" s="1">
        <v>10</v>
      </c>
      <c r="K3244" s="1">
        <v>0</v>
      </c>
    </row>
    <row r="3245" spans="1:11" x14ac:dyDescent="0.2">
      <c r="A3245" s="1" t="s">
        <v>2940</v>
      </c>
      <c r="B3245" s="1" t="s">
        <v>2969</v>
      </c>
      <c r="C3245" s="1" t="str">
        <f>"56110H40102H000"</f>
        <v>56110H40102H000</v>
      </c>
      <c r="D3245" s="1" t="str">
        <f>"56110H40102H000"</f>
        <v>56110H40102H000</v>
      </c>
      <c r="E3245" s="1" t="s">
        <v>17</v>
      </c>
      <c r="F3245" s="1">
        <v>3</v>
      </c>
      <c r="G3245" s="1">
        <v>22500.02</v>
      </c>
      <c r="H3245" s="1">
        <v>67500</v>
      </c>
      <c r="I3245" s="1">
        <v>0</v>
      </c>
      <c r="J3245" s="1">
        <v>3</v>
      </c>
      <c r="K3245" s="1">
        <v>0</v>
      </c>
    </row>
    <row r="3246" spans="1:11" x14ac:dyDescent="0.2">
      <c r="A3246" s="1" t="s">
        <v>2940</v>
      </c>
      <c r="B3246" s="1" t="s">
        <v>2970</v>
      </c>
      <c r="C3246" s="1" t="str">
        <f>"84360"</f>
        <v>84360</v>
      </c>
      <c r="D3246" s="1" t="str">
        <f>"84360"</f>
        <v>84360</v>
      </c>
      <c r="E3246" s="1" t="s">
        <v>17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</row>
    <row r="3247" spans="1:11" x14ac:dyDescent="0.2">
      <c r="A3247" s="1" t="s">
        <v>2940</v>
      </c>
      <c r="B3247" s="1" t="s">
        <v>2971</v>
      </c>
      <c r="C3247" s="1" t="str">
        <f>"66298907091087"</f>
        <v>66298907091087</v>
      </c>
      <c r="D3247" s="1" t="str">
        <f>"83458"</f>
        <v>83458</v>
      </c>
      <c r="E3247" s="1" t="s">
        <v>17</v>
      </c>
      <c r="F3247" s="1">
        <v>4</v>
      </c>
      <c r="G3247" s="1">
        <v>2684</v>
      </c>
      <c r="H3247" s="1">
        <v>10736</v>
      </c>
      <c r="I3247" s="1">
        <v>0</v>
      </c>
      <c r="J3247" s="1">
        <v>4</v>
      </c>
      <c r="K3247" s="1">
        <v>0</v>
      </c>
    </row>
    <row r="3248" spans="1:11" x14ac:dyDescent="0.2">
      <c r="A3248" s="1" t="s">
        <v>2940</v>
      </c>
      <c r="B3248" s="1" t="s">
        <v>2972</v>
      </c>
      <c r="C3248" s="1" t="str">
        <f>"66298907133506"</f>
        <v>66298907133506</v>
      </c>
      <c r="D3248" s="1" t="str">
        <f>"GF022-NEGRO"</f>
        <v>GF022-NEGRO</v>
      </c>
      <c r="E3248" s="1" t="s">
        <v>17</v>
      </c>
      <c r="F3248" s="1">
        <v>2</v>
      </c>
      <c r="G3248" s="1">
        <v>4018</v>
      </c>
      <c r="H3248" s="1">
        <v>8036</v>
      </c>
      <c r="I3248" s="1">
        <v>0</v>
      </c>
      <c r="J3248" s="1">
        <v>2</v>
      </c>
      <c r="K3248" s="1">
        <v>0</v>
      </c>
    </row>
    <row r="3249" spans="1:11" x14ac:dyDescent="0.2">
      <c r="A3249" s="1" t="s">
        <v>2940</v>
      </c>
      <c r="B3249" s="1" t="s">
        <v>2972</v>
      </c>
      <c r="C3249" s="1" t="str">
        <f>"66298907139349"</f>
        <v>66298907139349</v>
      </c>
      <c r="D3249" s="1" t="str">
        <f>"GF022-CROMADO"</f>
        <v>GF022-CROMADO</v>
      </c>
      <c r="E3249" s="1" t="s">
        <v>17</v>
      </c>
      <c r="F3249" s="1">
        <v>5</v>
      </c>
      <c r="G3249" s="1">
        <v>4018</v>
      </c>
      <c r="H3249" s="1">
        <v>20090</v>
      </c>
      <c r="I3249" s="1">
        <v>0</v>
      </c>
      <c r="J3249" s="1">
        <v>5</v>
      </c>
      <c r="K3249" s="1">
        <v>0</v>
      </c>
    </row>
    <row r="3250" spans="1:11" x14ac:dyDescent="0.2">
      <c r="A3250" s="1" t="s">
        <v>2940</v>
      </c>
      <c r="B3250" s="1" t="s">
        <v>2973</v>
      </c>
      <c r="C3250" s="1" t="str">
        <f>"66298907191908"</f>
        <v>66298907191908</v>
      </c>
      <c r="D3250" s="1" t="str">
        <f>"GF010-SILVER"</f>
        <v>GF010-SILVER</v>
      </c>
      <c r="E3250" s="1" t="s">
        <v>17</v>
      </c>
      <c r="F3250" s="1">
        <v>1</v>
      </c>
      <c r="G3250" s="1">
        <v>8212</v>
      </c>
      <c r="H3250" s="1">
        <v>8212</v>
      </c>
      <c r="I3250" s="1">
        <v>0</v>
      </c>
      <c r="J3250" s="1">
        <v>1</v>
      </c>
      <c r="K3250" s="1">
        <v>0</v>
      </c>
    </row>
    <row r="3251" spans="1:11" x14ac:dyDescent="0.2">
      <c r="A3251" s="1" t="s">
        <v>2940</v>
      </c>
      <c r="B3251" s="1" t="s">
        <v>2973</v>
      </c>
      <c r="C3251" s="1" t="str">
        <f>"66298907236511"</f>
        <v>66298907236511</v>
      </c>
      <c r="D3251" s="1" t="str">
        <f>"GF010-ROJO"</f>
        <v>GF010-ROJO</v>
      </c>
      <c r="E3251" s="1" t="s">
        <v>17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</row>
    <row r="3252" spans="1:11" x14ac:dyDescent="0.2">
      <c r="A3252" s="1" t="s">
        <v>2940</v>
      </c>
      <c r="B3252" s="1" t="s">
        <v>2973</v>
      </c>
      <c r="C3252" s="1" t="str">
        <f>"66298907243433"</f>
        <v>66298907243433</v>
      </c>
      <c r="D3252" s="1" t="str">
        <f>"GF010-AZUL"</f>
        <v>GF010-AZUL</v>
      </c>
      <c r="E3252" s="1" t="s">
        <v>17</v>
      </c>
      <c r="F3252" s="1">
        <v>3</v>
      </c>
      <c r="G3252" s="1">
        <v>8212</v>
      </c>
      <c r="H3252" s="1">
        <v>24636</v>
      </c>
      <c r="I3252" s="1">
        <v>0</v>
      </c>
      <c r="J3252" s="1">
        <v>3</v>
      </c>
      <c r="K3252" s="1">
        <v>0</v>
      </c>
    </row>
    <row r="3253" spans="1:11" x14ac:dyDescent="0.2">
      <c r="A3253" s="1" t="s">
        <v>2940</v>
      </c>
      <c r="B3253" s="1" t="s">
        <v>2974</v>
      </c>
      <c r="C3253" s="1" t="str">
        <f>"GF011"</f>
        <v>GF011</v>
      </c>
      <c r="D3253" s="1" t="str">
        <f>"GF011"</f>
        <v>GF011</v>
      </c>
      <c r="E3253" s="1" t="s">
        <v>17</v>
      </c>
      <c r="F3253" s="1">
        <v>3</v>
      </c>
      <c r="G3253" s="1">
        <v>9680</v>
      </c>
      <c r="H3253" s="1">
        <v>29040</v>
      </c>
      <c r="I3253" s="1">
        <v>0</v>
      </c>
      <c r="J3253" s="1">
        <v>3</v>
      </c>
      <c r="K3253" s="1">
        <v>0</v>
      </c>
    </row>
    <row r="3254" spans="1:11" x14ac:dyDescent="0.2">
      <c r="A3254" s="1" t="s">
        <v>2940</v>
      </c>
      <c r="B3254" s="1" t="s">
        <v>2975</v>
      </c>
      <c r="C3254" s="1" t="str">
        <f>"B005R"</f>
        <v>B005R</v>
      </c>
      <c r="D3254" s="1" t="str">
        <f>"B005R"</f>
        <v>B005R</v>
      </c>
      <c r="E3254" s="1" t="s">
        <v>17</v>
      </c>
      <c r="F3254" s="1">
        <v>1</v>
      </c>
      <c r="G3254" s="1">
        <v>9450</v>
      </c>
      <c r="H3254" s="1">
        <v>9450</v>
      </c>
      <c r="I3254" s="1">
        <v>0</v>
      </c>
      <c r="J3254" s="1">
        <v>1</v>
      </c>
      <c r="K3254" s="1">
        <v>0</v>
      </c>
    </row>
    <row r="3255" spans="1:11" x14ac:dyDescent="0.2">
      <c r="A3255" s="1" t="s">
        <v>2940</v>
      </c>
      <c r="B3255" s="1" t="s">
        <v>2976</v>
      </c>
      <c r="C3255" s="1" t="str">
        <f>"66298907301405"</f>
        <v>66298907301405</v>
      </c>
      <c r="D3255" s="1" t="str">
        <f>"80955"</f>
        <v>80955</v>
      </c>
      <c r="E3255" s="1" t="s">
        <v>17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</row>
    <row r="3256" spans="1:11" x14ac:dyDescent="0.2">
      <c r="A3256" s="1" t="s">
        <v>2940</v>
      </c>
      <c r="B3256" s="1" t="s">
        <v>2977</v>
      </c>
      <c r="C3256" s="1" t="str">
        <f>"GF008"</f>
        <v>GF008</v>
      </c>
      <c r="D3256" s="1" t="str">
        <f>"GF008"</f>
        <v>GF008</v>
      </c>
      <c r="E3256" s="1" t="s">
        <v>17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</row>
    <row r="3257" spans="1:11" x14ac:dyDescent="0.2">
      <c r="A3257" s="1" t="s">
        <v>2940</v>
      </c>
      <c r="B3257" s="1" t="s">
        <v>2978</v>
      </c>
      <c r="C3257" s="1" t="str">
        <f>"12637"</f>
        <v>12637</v>
      </c>
      <c r="D3257" s="1" t="str">
        <f>"12637"</f>
        <v>12637</v>
      </c>
      <c r="E3257" s="1" t="s">
        <v>17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</row>
    <row r="3258" spans="1:11" x14ac:dyDescent="0.2">
      <c r="A3258" s="1" t="s">
        <v>2940</v>
      </c>
      <c r="B3258" s="1" t="s">
        <v>2979</v>
      </c>
      <c r="C3258" s="1" t="str">
        <f>"66298907392504"</f>
        <v>66298907392504</v>
      </c>
      <c r="D3258" s="1" t="str">
        <f>"K353037400"</f>
        <v>K353037400</v>
      </c>
      <c r="E3258" s="1" t="s">
        <v>17</v>
      </c>
      <c r="F3258" s="1">
        <v>7</v>
      </c>
      <c r="G3258" s="1">
        <v>6764.48</v>
      </c>
      <c r="H3258" s="1">
        <v>47351</v>
      </c>
      <c r="I3258" s="1">
        <v>0</v>
      </c>
      <c r="J3258" s="1">
        <v>7</v>
      </c>
      <c r="K3258" s="1">
        <v>0</v>
      </c>
    </row>
    <row r="3259" spans="1:11" x14ac:dyDescent="0.2">
      <c r="A3259" s="1" t="s">
        <v>2940</v>
      </c>
      <c r="B3259" s="1" t="s">
        <v>2980</v>
      </c>
      <c r="C3259" s="1" t="str">
        <f>"66298907434289"</f>
        <v>66298907434289</v>
      </c>
      <c r="D3259" s="1" t="str">
        <f>"85038"</f>
        <v>85038</v>
      </c>
      <c r="E3259" s="1" t="s">
        <v>17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</row>
    <row r="3260" spans="1:11" x14ac:dyDescent="0.2">
      <c r="A3260" s="1" t="s">
        <v>102</v>
      </c>
      <c r="B3260" s="1" t="s">
        <v>2981</v>
      </c>
      <c r="C3260" s="1" t="str">
        <f>"66298907473520"</f>
        <v>66298907473520</v>
      </c>
      <c r="D3260" s="1" t="str">
        <f>"82593"</f>
        <v>82593</v>
      </c>
      <c r="E3260" s="1" t="s">
        <v>17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</row>
    <row r="3261" spans="1:11" x14ac:dyDescent="0.2">
      <c r="A3261" s="1" t="s">
        <v>18</v>
      </c>
      <c r="B3261" s="1" t="s">
        <v>2982</v>
      </c>
      <c r="C3261" s="1" t="str">
        <f>"H025"</f>
        <v>H025</v>
      </c>
      <c r="D3261" s="1" t="str">
        <f>"H025"</f>
        <v>H025</v>
      </c>
      <c r="E3261" s="1" t="s">
        <v>17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</row>
    <row r="3262" spans="1:11" x14ac:dyDescent="0.2">
      <c r="A3262" s="1" t="s">
        <v>102</v>
      </c>
      <c r="B3262" s="1" t="s">
        <v>2983</v>
      </c>
      <c r="C3262" s="1" t="str">
        <f>"66298907512413"</f>
        <v>66298907512413</v>
      </c>
      <c r="D3262" s="1" t="str">
        <f>"H040"</f>
        <v>H040</v>
      </c>
      <c r="E3262" s="1" t="s">
        <v>17</v>
      </c>
      <c r="F3262" s="1">
        <v>8</v>
      </c>
      <c r="G3262" s="1">
        <v>2365.1999999999998</v>
      </c>
      <c r="H3262" s="1">
        <v>18922</v>
      </c>
      <c r="I3262" s="1">
        <v>0</v>
      </c>
      <c r="J3262" s="1">
        <v>8</v>
      </c>
      <c r="K3262" s="1">
        <v>0</v>
      </c>
    </row>
    <row r="3263" spans="1:11" x14ac:dyDescent="0.2">
      <c r="A3263" s="1" t="s">
        <v>18</v>
      </c>
      <c r="B3263" s="1" t="s">
        <v>2983</v>
      </c>
      <c r="C3263" s="1" t="str">
        <f>"125102"</f>
        <v>125102</v>
      </c>
      <c r="D3263" s="1" t="str">
        <f>"125102"</f>
        <v>125102</v>
      </c>
      <c r="E3263" s="1" t="s">
        <v>17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</row>
    <row r="3264" spans="1:11" x14ac:dyDescent="0.2">
      <c r="A3264" s="1" t="s">
        <v>102</v>
      </c>
      <c r="B3264" s="1" t="s">
        <v>2984</v>
      </c>
      <c r="C3264" s="1" t="str">
        <f>"138390"</f>
        <v>138390</v>
      </c>
      <c r="D3264" s="1" t="str">
        <f>"138390"</f>
        <v>138390</v>
      </c>
      <c r="E3264" s="1" t="s">
        <v>17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</row>
    <row r="3265" spans="1:11" x14ac:dyDescent="0.2">
      <c r="A3265" s="1" t="s">
        <v>102</v>
      </c>
      <c r="B3265" s="1" t="s">
        <v>2985</v>
      </c>
      <c r="C3265" s="1" t="str">
        <f>"66298907551369"</f>
        <v>66298907551369</v>
      </c>
      <c r="D3265" s="1" t="str">
        <f>"H187"</f>
        <v>H187</v>
      </c>
      <c r="E3265" s="1" t="s">
        <v>17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</row>
    <row r="3266" spans="1:11" x14ac:dyDescent="0.2">
      <c r="A3266" s="1" t="s">
        <v>18</v>
      </c>
      <c r="B3266" s="1" t="s">
        <v>2986</v>
      </c>
      <c r="C3266" s="1" t="str">
        <f>"66298907590072"</f>
        <v>66298907590072</v>
      </c>
      <c r="D3266" s="1" t="str">
        <f>"84994"</f>
        <v>84994</v>
      </c>
      <c r="E3266" s="1" t="s">
        <v>17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</row>
    <row r="3267" spans="1:11" x14ac:dyDescent="0.2">
      <c r="A3267" s="1" t="s">
        <v>1413</v>
      </c>
      <c r="B3267" s="1" t="s">
        <v>2987</v>
      </c>
      <c r="C3267" s="1" t="str">
        <f>"Y158"</f>
        <v>Y158</v>
      </c>
      <c r="D3267" s="1" t="str">
        <f>"Y158"</f>
        <v>Y158</v>
      </c>
      <c r="E3267" s="1" t="s">
        <v>17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</row>
    <row r="3268" spans="1:11" x14ac:dyDescent="0.2">
      <c r="A3268" s="1" t="s">
        <v>1413</v>
      </c>
      <c r="B3268" s="1" t="s">
        <v>2988</v>
      </c>
      <c r="C3268" s="1" t="str">
        <f>"66298907631904"</f>
        <v>66298907631904</v>
      </c>
      <c r="D3268" s="1" t="str">
        <f>"Y141"</f>
        <v>Y141</v>
      </c>
      <c r="E3268" s="1" t="s">
        <v>17</v>
      </c>
      <c r="F3268" s="1">
        <v>1</v>
      </c>
      <c r="G3268" s="1">
        <v>4232</v>
      </c>
      <c r="H3268" s="1">
        <v>4232</v>
      </c>
      <c r="I3268" s="1">
        <v>0</v>
      </c>
      <c r="J3268" s="1">
        <v>1</v>
      </c>
      <c r="K3268" s="1">
        <v>0</v>
      </c>
    </row>
    <row r="3269" spans="1:11" x14ac:dyDescent="0.2">
      <c r="A3269" s="1" t="s">
        <v>1413</v>
      </c>
      <c r="B3269" s="1" t="s">
        <v>2989</v>
      </c>
      <c r="C3269" s="1" t="str">
        <f>"U018"</f>
        <v>U018</v>
      </c>
      <c r="D3269" s="1" t="str">
        <f>"U018"</f>
        <v>U018</v>
      </c>
      <c r="E3269" s="1" t="s">
        <v>17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</row>
    <row r="3270" spans="1:11" x14ac:dyDescent="0.2">
      <c r="A3270" s="1" t="s">
        <v>1413</v>
      </c>
      <c r="B3270" s="1" t="s">
        <v>2990</v>
      </c>
      <c r="C3270" s="1" t="str">
        <f>"66298907675075"</f>
        <v>66298907675075</v>
      </c>
      <c r="D3270" s="1" t="str">
        <f>"94414H40100H521"</f>
        <v>94414H40100H521</v>
      </c>
      <c r="E3270" s="1" t="s">
        <v>17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</row>
    <row r="3271" spans="1:11" x14ac:dyDescent="0.2">
      <c r="A3271" s="1" t="s">
        <v>1413</v>
      </c>
      <c r="B3271" s="1" t="s">
        <v>2991</v>
      </c>
      <c r="C3271" s="1" t="str">
        <f>"Y332-NEGRO"</f>
        <v>Y332-NEGRO</v>
      </c>
      <c r="D3271" s="1" t="str">
        <f>"Y332-NEGRO"</f>
        <v>Y332-NEGRO</v>
      </c>
      <c r="E3271" s="1" t="s">
        <v>17</v>
      </c>
      <c r="F3271" s="1">
        <v>1</v>
      </c>
      <c r="G3271" s="1">
        <v>6777.02</v>
      </c>
      <c r="H3271" s="1">
        <v>6777</v>
      </c>
      <c r="I3271" s="1">
        <v>0</v>
      </c>
      <c r="J3271" s="1">
        <v>1</v>
      </c>
      <c r="K3271" s="1">
        <v>0</v>
      </c>
    </row>
    <row r="3272" spans="1:11" x14ac:dyDescent="0.2">
      <c r="A3272" s="1" t="s">
        <v>1413</v>
      </c>
      <c r="B3272" s="1" t="s">
        <v>2992</v>
      </c>
      <c r="C3272" s="1" t="str">
        <f>"Y010"</f>
        <v>Y010</v>
      </c>
      <c r="D3272" s="1" t="str">
        <f>"Y010"</f>
        <v>Y010</v>
      </c>
      <c r="E3272" s="1" t="s">
        <v>17</v>
      </c>
      <c r="F3272" s="1">
        <v>1</v>
      </c>
      <c r="G3272" s="1">
        <v>3374.99</v>
      </c>
      <c r="H3272" s="1">
        <v>3375</v>
      </c>
      <c r="I3272" s="1">
        <v>0</v>
      </c>
      <c r="J3272" s="1">
        <v>1</v>
      </c>
      <c r="K3272" s="1">
        <v>0</v>
      </c>
    </row>
    <row r="3273" spans="1:11" x14ac:dyDescent="0.2">
      <c r="A3273" s="1" t="s">
        <v>1413</v>
      </c>
      <c r="B3273" s="1" t="s">
        <v>2993</v>
      </c>
      <c r="C3273" s="1" t="str">
        <f>"66298907715422"</f>
        <v>66298907715422</v>
      </c>
      <c r="D3273" s="1" t="str">
        <f>"Y166"</f>
        <v>Y166</v>
      </c>
      <c r="E3273" s="1" t="s">
        <v>17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</row>
    <row r="3274" spans="1:11" x14ac:dyDescent="0.2">
      <c r="A3274" s="1" t="s">
        <v>1413</v>
      </c>
      <c r="B3274" s="1" t="s">
        <v>2994</v>
      </c>
      <c r="C3274" s="1" t="str">
        <f>"Y054"</f>
        <v>Y054</v>
      </c>
      <c r="D3274" s="1" t="str">
        <f>"Y054"</f>
        <v>Y054</v>
      </c>
      <c r="E3274" s="1" t="s">
        <v>17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</row>
    <row r="3275" spans="1:11" x14ac:dyDescent="0.2">
      <c r="A3275" s="1" t="s">
        <v>98</v>
      </c>
      <c r="B3275" s="1" t="s">
        <v>2995</v>
      </c>
      <c r="C3275" s="1" t="str">
        <f>"64110-44A10"</f>
        <v>64110-44A10</v>
      </c>
      <c r="D3275" s="1" t="str">
        <f>"64110-44A10"</f>
        <v>64110-44A10</v>
      </c>
      <c r="E3275" s="1" t="s">
        <v>17</v>
      </c>
      <c r="F3275" s="1">
        <v>1</v>
      </c>
      <c r="G3275" s="1">
        <v>23184</v>
      </c>
      <c r="H3275" s="1">
        <v>23184</v>
      </c>
      <c r="I3275" s="1">
        <v>0</v>
      </c>
      <c r="J3275" s="1">
        <v>1</v>
      </c>
      <c r="K3275" s="1">
        <v>0</v>
      </c>
    </row>
    <row r="3276" spans="1:11" x14ac:dyDescent="0.2">
      <c r="A3276" s="1" t="s">
        <v>98</v>
      </c>
      <c r="B3276" s="1" t="s">
        <v>2996</v>
      </c>
      <c r="C3276" s="1" t="str">
        <f>"42601-KW8-902"</f>
        <v>42601-KW8-902</v>
      </c>
      <c r="D3276" s="1" t="str">
        <f>"42601-KW8-902"</f>
        <v>42601-KW8-902</v>
      </c>
      <c r="E3276" s="1" t="s">
        <v>17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</row>
    <row r="3277" spans="1:11" x14ac:dyDescent="0.2">
      <c r="A3277" s="1" t="s">
        <v>1050</v>
      </c>
      <c r="B3277" s="1" t="s">
        <v>2997</v>
      </c>
      <c r="C3277" s="1" t="str">
        <f>"66298907763204"</f>
        <v>66298907763204</v>
      </c>
      <c r="D3277" s="1" t="str">
        <f>"XA012"</f>
        <v>XA012</v>
      </c>
      <c r="E3277" s="1" t="s">
        <v>17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</row>
    <row r="3278" spans="1:11" x14ac:dyDescent="0.2">
      <c r="A3278" s="1" t="s">
        <v>1050</v>
      </c>
      <c r="B3278" s="1" t="s">
        <v>2998</v>
      </c>
      <c r="C3278" s="1" t="str">
        <f>"66298907847213"</f>
        <v>66298907847213</v>
      </c>
      <c r="D3278" s="1" t="str">
        <f>"GY622"</f>
        <v>GY622</v>
      </c>
      <c r="E3278" s="1" t="s">
        <v>17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</row>
    <row r="3279" spans="1:11" x14ac:dyDescent="0.2">
      <c r="A3279" s="1" t="s">
        <v>1050</v>
      </c>
      <c r="B3279" s="1" t="s">
        <v>2999</v>
      </c>
      <c r="C3279" s="1" t="str">
        <f>"66298907888283"</f>
        <v>66298907888283</v>
      </c>
      <c r="D3279" s="1" t="str">
        <f>"GY624"</f>
        <v>GY624</v>
      </c>
      <c r="E3279" s="1" t="s">
        <v>17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</row>
    <row r="3280" spans="1:11" x14ac:dyDescent="0.2">
      <c r="A3280" s="1" t="s">
        <v>1050</v>
      </c>
      <c r="B3280" s="1" t="s">
        <v>3000</v>
      </c>
      <c r="C3280" s="1" t="str">
        <f>"66298907803488"</f>
        <v>66298907803488</v>
      </c>
      <c r="D3280" s="1" t="str">
        <f>"XA011"</f>
        <v>XA011</v>
      </c>
      <c r="E3280" s="1" t="s">
        <v>17</v>
      </c>
      <c r="F3280" s="1">
        <v>6</v>
      </c>
      <c r="G3280" s="1">
        <v>2205</v>
      </c>
      <c r="H3280" s="1">
        <v>13230</v>
      </c>
      <c r="I3280" s="1">
        <v>0</v>
      </c>
      <c r="J3280" s="1">
        <v>6</v>
      </c>
      <c r="K3280" s="1">
        <v>0</v>
      </c>
    </row>
    <row r="3281" spans="1:11" x14ac:dyDescent="0.2">
      <c r="A3281" s="1" t="s">
        <v>1096</v>
      </c>
      <c r="B3281" s="1" t="s">
        <v>3001</v>
      </c>
      <c r="C3281" s="1" t="str">
        <f>"134012"</f>
        <v>134012</v>
      </c>
      <c r="D3281" s="1" t="str">
        <f>"134012"</f>
        <v>134012</v>
      </c>
      <c r="E3281" s="1" t="s">
        <v>17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</row>
    <row r="3282" spans="1:11" x14ac:dyDescent="0.2">
      <c r="A3282" s="1" t="s">
        <v>98</v>
      </c>
      <c r="B3282" s="1" t="s">
        <v>3002</v>
      </c>
      <c r="C3282" s="1" t="str">
        <f>"MS-3401"</f>
        <v>MS-3401</v>
      </c>
      <c r="D3282" s="1" t="str">
        <f>"MS-3401"</f>
        <v>MS-3401</v>
      </c>
      <c r="E3282" s="1" t="s">
        <v>17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</row>
    <row r="3283" spans="1:11" x14ac:dyDescent="0.2">
      <c r="A3283" s="1" t="s">
        <v>98</v>
      </c>
      <c r="B3283" s="1" t="s">
        <v>3003</v>
      </c>
      <c r="C3283" s="1" t="str">
        <f>"66298907929479"</f>
        <v>66298907929479</v>
      </c>
      <c r="D3283" s="1" t="str">
        <f>"Y095-MICA"</f>
        <v>Y095-MICA</v>
      </c>
      <c r="E3283" s="1" t="s">
        <v>17</v>
      </c>
      <c r="F3283" s="1">
        <v>2</v>
      </c>
      <c r="G3283" s="1">
        <v>3290</v>
      </c>
      <c r="H3283" s="1">
        <v>6580</v>
      </c>
      <c r="I3283" s="1">
        <v>0</v>
      </c>
      <c r="J3283" s="1">
        <v>2</v>
      </c>
      <c r="K3283" s="1">
        <v>0</v>
      </c>
    </row>
    <row r="3284" spans="1:11" x14ac:dyDescent="0.2">
      <c r="A3284" s="1" t="s">
        <v>2004</v>
      </c>
      <c r="B3284" s="1" t="s">
        <v>3004</v>
      </c>
      <c r="C3284" s="1" t="str">
        <f>"66298908013017"</f>
        <v>66298908013017</v>
      </c>
      <c r="D3284" s="1" t="str">
        <f>"R011"</f>
        <v>R011</v>
      </c>
      <c r="E3284" s="1" t="s">
        <v>17</v>
      </c>
      <c r="F3284" s="1">
        <v>19</v>
      </c>
      <c r="G3284" s="1">
        <v>1602</v>
      </c>
      <c r="H3284" s="1">
        <v>30438</v>
      </c>
      <c r="I3284" s="1">
        <v>0</v>
      </c>
      <c r="J3284" s="1">
        <v>19</v>
      </c>
      <c r="K3284" s="1">
        <v>0</v>
      </c>
    </row>
    <row r="3285" spans="1:11" x14ac:dyDescent="0.2">
      <c r="A3285" s="1" t="s">
        <v>2004</v>
      </c>
      <c r="B3285" s="1" t="s">
        <v>3005</v>
      </c>
      <c r="C3285" s="1" t="str">
        <f>"66298907971658"</f>
        <v>66298907971658</v>
      </c>
      <c r="D3285" s="1" t="str">
        <f>"S021"</f>
        <v>S021</v>
      </c>
      <c r="E3285" s="1" t="s">
        <v>17</v>
      </c>
      <c r="F3285" s="1">
        <v>54</v>
      </c>
      <c r="G3285" s="1">
        <v>225</v>
      </c>
      <c r="H3285" s="1">
        <v>12150</v>
      </c>
      <c r="I3285" s="1">
        <v>0</v>
      </c>
      <c r="J3285" s="1">
        <v>54</v>
      </c>
      <c r="K3285" s="1">
        <v>0</v>
      </c>
    </row>
    <row r="3286" spans="1:11" x14ac:dyDescent="0.2">
      <c r="A3286" s="1" t="s">
        <v>18</v>
      </c>
      <c r="B3286" s="1" t="s">
        <v>3006</v>
      </c>
      <c r="C3286" s="1" t="str">
        <f>"66298908059213"</f>
        <v>66298908059213</v>
      </c>
      <c r="D3286" s="1" t="str">
        <f>"WD051"</f>
        <v>WD051</v>
      </c>
      <c r="E3286" s="1" t="s">
        <v>17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</row>
    <row r="3287" spans="1:11" x14ac:dyDescent="0.2">
      <c r="A3287" s="1" t="s">
        <v>18</v>
      </c>
      <c r="B3287" s="1" t="s">
        <v>3007</v>
      </c>
      <c r="C3287" s="1" t="str">
        <f>"66298908099189"</f>
        <v>66298908099189</v>
      </c>
      <c r="D3287" s="1" t="str">
        <f>"WD019"</f>
        <v>WD019</v>
      </c>
      <c r="E3287" s="1" t="s">
        <v>17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</row>
    <row r="3288" spans="1:11" x14ac:dyDescent="0.2">
      <c r="A3288" s="1" t="s">
        <v>3008</v>
      </c>
      <c r="B3288" s="1" t="s">
        <v>3009</v>
      </c>
      <c r="C3288" s="1" t="str">
        <f>"FA012"</f>
        <v>FA012</v>
      </c>
      <c r="D3288" s="1" t="str">
        <f>"FA012"</f>
        <v>FA012</v>
      </c>
      <c r="E3288" s="1" t="s">
        <v>17</v>
      </c>
      <c r="F3288" s="1">
        <v>4</v>
      </c>
      <c r="G3288" s="1">
        <v>10143</v>
      </c>
      <c r="H3288" s="1">
        <v>40572</v>
      </c>
      <c r="I3288" s="1">
        <v>0</v>
      </c>
      <c r="J3288" s="1">
        <v>4</v>
      </c>
      <c r="K3288" s="1">
        <v>0</v>
      </c>
    </row>
    <row r="3289" spans="1:11" x14ac:dyDescent="0.2">
      <c r="A3289" s="1" t="s">
        <v>3008</v>
      </c>
      <c r="B3289" s="1" t="s">
        <v>3010</v>
      </c>
      <c r="C3289" s="1" t="str">
        <f>"66298908177121"</f>
        <v>66298908177121</v>
      </c>
      <c r="D3289" s="1" t="str">
        <f>"400134"</f>
        <v>400134</v>
      </c>
      <c r="E3289" s="1" t="s">
        <v>17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</row>
    <row r="3290" spans="1:11" ht="30" x14ac:dyDescent="0.2">
      <c r="A3290" s="1" t="s">
        <v>3008</v>
      </c>
      <c r="B3290" s="1" t="s">
        <v>3011</v>
      </c>
      <c r="C3290" s="1" t="str">
        <f>"66298908137937"</f>
        <v>66298908137937</v>
      </c>
      <c r="D3290" s="1" t="str">
        <f>"FA007"</f>
        <v>FA007</v>
      </c>
      <c r="E3290" s="1" t="s">
        <v>17</v>
      </c>
      <c r="F3290" s="1">
        <v>4</v>
      </c>
      <c r="G3290" s="1">
        <v>9882</v>
      </c>
      <c r="H3290" s="1">
        <v>39528</v>
      </c>
      <c r="I3290" s="1">
        <v>0</v>
      </c>
      <c r="J3290" s="1">
        <v>4</v>
      </c>
      <c r="K3290" s="1">
        <v>0</v>
      </c>
    </row>
    <row r="3291" spans="1:11" x14ac:dyDescent="0.2">
      <c r="A3291" s="1" t="s">
        <v>3008</v>
      </c>
      <c r="B3291" s="1" t="s">
        <v>3012</v>
      </c>
      <c r="C3291" s="1" t="str">
        <f>"MPAR-49CC"</f>
        <v>MPAR-49CC</v>
      </c>
      <c r="D3291" s="1" t="str">
        <f>"MPAR-49CC"</f>
        <v>MPAR-49CC</v>
      </c>
      <c r="E3291" s="1" t="s">
        <v>17</v>
      </c>
      <c r="F3291" s="1">
        <v>2</v>
      </c>
      <c r="G3291" s="1">
        <v>12374.57</v>
      </c>
      <c r="H3291" s="1">
        <v>24749</v>
      </c>
      <c r="I3291" s="1">
        <v>0</v>
      </c>
      <c r="J3291" s="1">
        <v>2</v>
      </c>
      <c r="K3291" s="1">
        <v>0</v>
      </c>
    </row>
    <row r="3292" spans="1:11" x14ac:dyDescent="0.2">
      <c r="A3292" s="1" t="s">
        <v>3008</v>
      </c>
      <c r="B3292" s="1" t="s">
        <v>3013</v>
      </c>
      <c r="C3292" s="1" t="str">
        <f>"66298908214532"</f>
        <v>66298908214532</v>
      </c>
      <c r="D3292" s="1" t="str">
        <f>"400667"</f>
        <v>400667</v>
      </c>
      <c r="E3292" s="1" t="s">
        <v>17</v>
      </c>
      <c r="F3292" s="1">
        <v>6</v>
      </c>
      <c r="G3292" s="1">
        <v>8037</v>
      </c>
      <c r="H3292" s="1">
        <v>48222</v>
      </c>
      <c r="I3292" s="1">
        <v>0</v>
      </c>
      <c r="J3292" s="1">
        <v>6</v>
      </c>
      <c r="K3292" s="1">
        <v>0</v>
      </c>
    </row>
    <row r="3293" spans="1:11" x14ac:dyDescent="0.2">
      <c r="A3293" s="1" t="s">
        <v>3008</v>
      </c>
      <c r="B3293" s="1" t="s">
        <v>3014</v>
      </c>
      <c r="C3293" s="1" t="str">
        <f>"FA017"</f>
        <v>FA017</v>
      </c>
      <c r="D3293" s="1" t="str">
        <f>"FA017"</f>
        <v>FA017</v>
      </c>
      <c r="E3293" s="1" t="s">
        <v>17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</row>
    <row r="3294" spans="1:11" x14ac:dyDescent="0.2">
      <c r="A3294" s="1" t="s">
        <v>3008</v>
      </c>
      <c r="B3294" s="1" t="s">
        <v>3015</v>
      </c>
      <c r="C3294" s="1" t="str">
        <f>"66298908318810"</f>
        <v>66298908318810</v>
      </c>
      <c r="D3294" s="1" t="str">
        <f>"400654"</f>
        <v>400654</v>
      </c>
      <c r="E3294" s="1" t="s">
        <v>17</v>
      </c>
      <c r="F3294" s="1">
        <v>2</v>
      </c>
      <c r="G3294" s="1">
        <v>7412</v>
      </c>
      <c r="H3294" s="1">
        <v>14824</v>
      </c>
      <c r="I3294" s="1">
        <v>0</v>
      </c>
      <c r="J3294" s="1">
        <v>2</v>
      </c>
      <c r="K3294" s="1">
        <v>0</v>
      </c>
    </row>
    <row r="3295" spans="1:11" x14ac:dyDescent="0.2">
      <c r="A3295" s="1" t="s">
        <v>3008</v>
      </c>
      <c r="B3295" s="1" t="s">
        <v>3016</v>
      </c>
      <c r="C3295" s="1" t="str">
        <f>"66298908255747"</f>
        <v>66298908255747</v>
      </c>
      <c r="D3295" s="1" t="str">
        <f>"31200-KSP-901"</f>
        <v>31200-KSP-901</v>
      </c>
      <c r="E3295" s="1" t="s">
        <v>17</v>
      </c>
      <c r="F3295" s="1">
        <v>3</v>
      </c>
      <c r="G3295" s="1">
        <v>19117</v>
      </c>
      <c r="H3295" s="1">
        <v>57351</v>
      </c>
      <c r="I3295" s="1">
        <v>0</v>
      </c>
      <c r="J3295" s="1">
        <v>3</v>
      </c>
      <c r="K3295" s="1">
        <v>0</v>
      </c>
    </row>
    <row r="3296" spans="1:11" x14ac:dyDescent="0.2">
      <c r="A3296" s="1" t="s">
        <v>3008</v>
      </c>
      <c r="B3296" s="1" t="s">
        <v>3016</v>
      </c>
      <c r="C3296" s="1" t="str">
        <f>"66298908263301"</f>
        <v>66298908263301</v>
      </c>
      <c r="D3296" s="1" t="str">
        <f>"FA011"</f>
        <v>FA011</v>
      </c>
      <c r="E3296" s="1" t="s">
        <v>17</v>
      </c>
      <c r="F3296" s="1">
        <v>1</v>
      </c>
      <c r="G3296" s="1">
        <v>11178</v>
      </c>
      <c r="H3296" s="1">
        <v>11178</v>
      </c>
      <c r="I3296" s="1">
        <v>0</v>
      </c>
      <c r="J3296" s="1">
        <v>1</v>
      </c>
      <c r="K3296" s="1">
        <v>0</v>
      </c>
    </row>
    <row r="3297" spans="1:11" x14ac:dyDescent="0.2">
      <c r="A3297" s="1" t="s">
        <v>3008</v>
      </c>
      <c r="B3297" s="1" t="s">
        <v>3017</v>
      </c>
      <c r="C3297" s="1" t="str">
        <f>"66298908364945"</f>
        <v>66298908364945</v>
      </c>
      <c r="D3297" s="1" t="str">
        <f>"FA003"</f>
        <v>FA003</v>
      </c>
      <c r="E3297" s="1" t="s">
        <v>17</v>
      </c>
      <c r="F3297" s="1">
        <v>3</v>
      </c>
      <c r="G3297" s="1">
        <v>17802</v>
      </c>
      <c r="H3297" s="1">
        <v>53406</v>
      </c>
      <c r="I3297" s="1">
        <v>0</v>
      </c>
      <c r="J3297" s="1">
        <v>3</v>
      </c>
      <c r="K3297" s="1">
        <v>0</v>
      </c>
    </row>
    <row r="3298" spans="1:11" x14ac:dyDescent="0.2">
      <c r="A3298" s="1" t="s">
        <v>3008</v>
      </c>
      <c r="B3298" s="1" t="s">
        <v>3018</v>
      </c>
      <c r="C3298" s="1" t="str">
        <f>"66298908412494"</f>
        <v>66298908412494</v>
      </c>
      <c r="D3298" s="1" t="str">
        <f>"400664"</f>
        <v>400664</v>
      </c>
      <c r="E3298" s="1" t="s">
        <v>17</v>
      </c>
      <c r="F3298" s="1">
        <v>8</v>
      </c>
      <c r="G3298" s="1">
        <v>5782</v>
      </c>
      <c r="H3298" s="1">
        <v>46256</v>
      </c>
      <c r="I3298" s="1">
        <v>0</v>
      </c>
      <c r="J3298" s="1">
        <v>8</v>
      </c>
      <c r="K3298" s="1">
        <v>0</v>
      </c>
    </row>
    <row r="3299" spans="1:11" x14ac:dyDescent="0.2">
      <c r="A3299" s="1" t="s">
        <v>3008</v>
      </c>
      <c r="B3299" s="1" t="s">
        <v>3019</v>
      </c>
      <c r="C3299" s="1" t="str">
        <f>"66298908457663"</f>
        <v>66298908457663</v>
      </c>
      <c r="D3299" s="1" t="str">
        <f>"31210-KWA-941HB"</f>
        <v>31210-KWA-941HB</v>
      </c>
      <c r="E3299" s="1" t="s">
        <v>17</v>
      </c>
      <c r="F3299" s="1">
        <v>3</v>
      </c>
      <c r="G3299" s="1">
        <v>13288</v>
      </c>
      <c r="H3299" s="1">
        <v>39864</v>
      </c>
      <c r="I3299" s="1">
        <v>0</v>
      </c>
      <c r="J3299" s="1">
        <v>3</v>
      </c>
      <c r="K3299" s="1">
        <v>0</v>
      </c>
    </row>
    <row r="3300" spans="1:11" x14ac:dyDescent="0.2">
      <c r="A3300" s="1" t="s">
        <v>3008</v>
      </c>
      <c r="B3300" s="1" t="s">
        <v>3020</v>
      </c>
      <c r="C3300" s="1" t="str">
        <f>"66298908499968"</f>
        <v>66298908499968</v>
      </c>
      <c r="D3300" s="1" t="str">
        <f>"FA005"</f>
        <v>FA005</v>
      </c>
      <c r="E3300" s="1" t="s">
        <v>17</v>
      </c>
      <c r="F3300" s="1">
        <v>1</v>
      </c>
      <c r="G3300" s="1">
        <v>11132</v>
      </c>
      <c r="H3300" s="1">
        <v>11132</v>
      </c>
      <c r="I3300" s="1">
        <v>0</v>
      </c>
      <c r="J3300" s="1">
        <v>1</v>
      </c>
      <c r="K3300" s="1">
        <v>0</v>
      </c>
    </row>
    <row r="3301" spans="1:11" x14ac:dyDescent="0.2">
      <c r="A3301" s="1" t="s">
        <v>3008</v>
      </c>
      <c r="B3301" s="1" t="s">
        <v>3021</v>
      </c>
      <c r="C3301" s="1" t="str">
        <f>"66298908592904"</f>
        <v>66298908592904</v>
      </c>
      <c r="D3301" s="1" t="str">
        <f>"400655"</f>
        <v>400655</v>
      </c>
      <c r="E3301" s="1" t="s">
        <v>17</v>
      </c>
      <c r="F3301" s="1">
        <v>5</v>
      </c>
      <c r="G3301" s="1">
        <v>8778</v>
      </c>
      <c r="H3301" s="1">
        <v>43890</v>
      </c>
      <c r="I3301" s="1">
        <v>0</v>
      </c>
      <c r="J3301" s="1">
        <v>5</v>
      </c>
      <c r="K3301" s="1">
        <v>0</v>
      </c>
    </row>
    <row r="3302" spans="1:11" x14ac:dyDescent="0.2">
      <c r="A3302" s="1" t="s">
        <v>3008</v>
      </c>
      <c r="B3302" s="1" t="s">
        <v>3022</v>
      </c>
      <c r="C3302" s="1" t="str">
        <f>"66298908542255"</f>
        <v>66298908542255</v>
      </c>
      <c r="D3302" s="1" t="str">
        <f>"31100-42A20"</f>
        <v>31100-42A20</v>
      </c>
      <c r="E3302" s="1" t="s">
        <v>17</v>
      </c>
      <c r="F3302" s="1">
        <v>1</v>
      </c>
      <c r="G3302" s="1">
        <v>18381</v>
      </c>
      <c r="H3302" s="1">
        <v>18381</v>
      </c>
      <c r="I3302" s="1">
        <v>0</v>
      </c>
      <c r="J3302" s="1">
        <v>1</v>
      </c>
      <c r="K3302" s="1">
        <v>0</v>
      </c>
    </row>
    <row r="3303" spans="1:11" x14ac:dyDescent="0.2">
      <c r="A3303" s="1" t="s">
        <v>3008</v>
      </c>
      <c r="B3303" s="1" t="s">
        <v>3023</v>
      </c>
      <c r="C3303" s="1" t="str">
        <f>"66298908641210"</f>
        <v>66298908641210</v>
      </c>
      <c r="D3303" s="1" t="str">
        <f>"21C-H1800-10HB"</f>
        <v>21C-H1800-10HB</v>
      </c>
      <c r="E3303" s="1" t="s">
        <v>17</v>
      </c>
      <c r="F3303" s="1">
        <v>2</v>
      </c>
      <c r="G3303" s="1">
        <v>15069</v>
      </c>
      <c r="H3303" s="1">
        <v>30138</v>
      </c>
      <c r="I3303" s="1">
        <v>0</v>
      </c>
      <c r="J3303" s="1">
        <v>2</v>
      </c>
      <c r="K3303" s="1">
        <v>0</v>
      </c>
    </row>
    <row r="3304" spans="1:11" x14ac:dyDescent="0.2">
      <c r="A3304" s="1" t="s">
        <v>3008</v>
      </c>
      <c r="B3304" s="1" t="s">
        <v>3024</v>
      </c>
      <c r="C3304" s="1" t="str">
        <f>"66298908689420"</f>
        <v>66298908689420</v>
      </c>
      <c r="D3304" s="1" t="str">
        <f>"400662"</f>
        <v>400662</v>
      </c>
      <c r="E3304" s="1" t="s">
        <v>17</v>
      </c>
      <c r="F3304" s="1">
        <v>7</v>
      </c>
      <c r="G3304" s="1">
        <v>7966</v>
      </c>
      <c r="H3304" s="1">
        <v>55762</v>
      </c>
      <c r="I3304" s="1">
        <v>0</v>
      </c>
      <c r="J3304" s="1">
        <v>7</v>
      </c>
      <c r="K3304" s="1">
        <v>0</v>
      </c>
    </row>
    <row r="3305" spans="1:11" x14ac:dyDescent="0.2">
      <c r="A3305" s="1" t="s">
        <v>3008</v>
      </c>
      <c r="B3305" s="1" t="s">
        <v>3025</v>
      </c>
      <c r="C3305" s="1" t="str">
        <f>"66298908739720"</f>
        <v>66298908739720</v>
      </c>
      <c r="D3305" s="1" t="str">
        <f>"400666"</f>
        <v>400666</v>
      </c>
      <c r="E3305" s="1" t="s">
        <v>17</v>
      </c>
      <c r="F3305" s="1">
        <v>3</v>
      </c>
      <c r="G3305" s="1">
        <v>7568</v>
      </c>
      <c r="H3305" s="1">
        <v>22704</v>
      </c>
      <c r="I3305" s="1">
        <v>0</v>
      </c>
      <c r="J3305" s="1">
        <v>3</v>
      </c>
      <c r="K3305" s="1">
        <v>0</v>
      </c>
    </row>
    <row r="3306" spans="1:11" x14ac:dyDescent="0.2">
      <c r="A3306" s="1" t="s">
        <v>3008</v>
      </c>
      <c r="B3306" s="1" t="s">
        <v>3026</v>
      </c>
      <c r="C3306" s="1" t="str">
        <f>"66298908788880"</f>
        <v>66298908788880</v>
      </c>
      <c r="D3306" s="1" t="str">
        <f>"31100-34J00HB"</f>
        <v>31100-34J00HB</v>
      </c>
      <c r="E3306" s="1" t="s">
        <v>17</v>
      </c>
      <c r="F3306" s="1">
        <v>2</v>
      </c>
      <c r="G3306" s="1">
        <v>16287.5</v>
      </c>
      <c r="H3306" s="1">
        <v>32575</v>
      </c>
      <c r="I3306" s="1">
        <v>0</v>
      </c>
      <c r="J3306" s="1">
        <v>2</v>
      </c>
      <c r="K3306" s="1">
        <v>0</v>
      </c>
    </row>
    <row r="3307" spans="1:11" x14ac:dyDescent="0.2">
      <c r="A3307" s="1" t="s">
        <v>3008</v>
      </c>
      <c r="B3307" s="1" t="s">
        <v>3027</v>
      </c>
      <c r="C3307" s="1" t="str">
        <f>"66298908837115"</f>
        <v>66298908837115</v>
      </c>
      <c r="D3307" s="1" t="str">
        <f>"JL-3516-00"</f>
        <v>JL-3516-00</v>
      </c>
      <c r="E3307" s="1" t="s">
        <v>17</v>
      </c>
      <c r="F3307" s="1">
        <v>6</v>
      </c>
      <c r="G3307" s="1">
        <v>24095</v>
      </c>
      <c r="H3307" s="1">
        <v>144570</v>
      </c>
      <c r="I3307" s="1">
        <v>0</v>
      </c>
      <c r="J3307" s="1">
        <v>6</v>
      </c>
      <c r="K3307" s="1">
        <v>0</v>
      </c>
    </row>
    <row r="3308" spans="1:11" x14ac:dyDescent="0.2">
      <c r="A3308" s="1" t="s">
        <v>3008</v>
      </c>
      <c r="B3308" s="1" t="s">
        <v>3028</v>
      </c>
      <c r="C3308" s="1" t="str">
        <f>"66298908882968"</f>
        <v>66298908882968</v>
      </c>
      <c r="D3308" s="1" t="str">
        <f>"JA-3516-00HB"</f>
        <v>JA-3516-00HB</v>
      </c>
      <c r="E3308" s="1" t="s">
        <v>17</v>
      </c>
      <c r="F3308" s="1">
        <v>5</v>
      </c>
      <c r="G3308" s="1">
        <v>20899</v>
      </c>
      <c r="H3308" s="1">
        <v>104495</v>
      </c>
      <c r="I3308" s="1">
        <v>0</v>
      </c>
      <c r="J3308" s="1">
        <v>5</v>
      </c>
      <c r="K3308" s="1">
        <v>0</v>
      </c>
    </row>
    <row r="3309" spans="1:11" x14ac:dyDescent="0.2">
      <c r="A3309" s="1" t="s">
        <v>3008</v>
      </c>
      <c r="B3309" s="1" t="s">
        <v>3029</v>
      </c>
      <c r="C3309" s="1" t="str">
        <f>"66298908927918"</f>
        <v>66298908927918</v>
      </c>
      <c r="D3309" s="1" t="str">
        <f>"400661"</f>
        <v>400661</v>
      </c>
      <c r="E3309" s="1" t="s">
        <v>17</v>
      </c>
      <c r="F3309" s="1">
        <v>5</v>
      </c>
      <c r="G3309" s="1">
        <v>8626</v>
      </c>
      <c r="H3309" s="1">
        <v>43130</v>
      </c>
      <c r="I3309" s="1">
        <v>0</v>
      </c>
      <c r="J3309" s="1">
        <v>5</v>
      </c>
      <c r="K3309" s="1">
        <v>0</v>
      </c>
    </row>
    <row r="3310" spans="1:11" x14ac:dyDescent="0.2">
      <c r="A3310" s="1" t="s">
        <v>3008</v>
      </c>
      <c r="B3310" s="1" t="s">
        <v>3030</v>
      </c>
      <c r="C3310" s="1" t="str">
        <f>"66298908970063"</f>
        <v>66298908970063</v>
      </c>
      <c r="D3310" s="1" t="str">
        <f>"DH-1110-58"</f>
        <v>DH-1110-58</v>
      </c>
      <c r="E3310" s="1" t="s">
        <v>17</v>
      </c>
      <c r="F3310" s="1">
        <v>2</v>
      </c>
      <c r="G3310" s="1">
        <v>11870</v>
      </c>
      <c r="H3310" s="1">
        <v>23740</v>
      </c>
      <c r="I3310" s="1">
        <v>0</v>
      </c>
      <c r="J3310" s="1">
        <v>2</v>
      </c>
      <c r="K3310" s="1">
        <v>0</v>
      </c>
    </row>
    <row r="3311" spans="1:11" x14ac:dyDescent="0.2">
      <c r="A3311" s="1" t="s">
        <v>3008</v>
      </c>
      <c r="B3311" s="1" t="s">
        <v>3031</v>
      </c>
      <c r="C3311" s="1" t="str">
        <f>"66298909010754"</f>
        <v>66298909010754</v>
      </c>
      <c r="D3311" s="1" t="str">
        <f>"JC-1110-07"</f>
        <v>JC-1110-07</v>
      </c>
      <c r="E3311" s="1" t="s">
        <v>17</v>
      </c>
      <c r="F3311" s="1">
        <v>1</v>
      </c>
      <c r="G3311" s="1">
        <v>12521</v>
      </c>
      <c r="H3311" s="1">
        <v>12521</v>
      </c>
      <c r="I3311" s="1">
        <v>0</v>
      </c>
      <c r="J3311" s="1">
        <v>1</v>
      </c>
      <c r="K3311" s="1">
        <v>0</v>
      </c>
    </row>
    <row r="3312" spans="1:11" x14ac:dyDescent="0.2">
      <c r="A3312" s="1" t="s">
        <v>3008</v>
      </c>
      <c r="B3312" s="1" t="s">
        <v>3032</v>
      </c>
      <c r="C3312" s="1" t="str">
        <f>"66298909049495"</f>
        <v>66298909049495</v>
      </c>
      <c r="D3312" s="1" t="str">
        <f>"400660"</f>
        <v>400660</v>
      </c>
      <c r="E3312" s="1" t="s">
        <v>17</v>
      </c>
      <c r="F3312" s="1">
        <v>11</v>
      </c>
      <c r="G3312" s="1">
        <v>8487</v>
      </c>
      <c r="H3312" s="1">
        <v>93357</v>
      </c>
      <c r="I3312" s="1">
        <v>0</v>
      </c>
      <c r="J3312" s="1">
        <v>11</v>
      </c>
      <c r="K3312" s="1">
        <v>0</v>
      </c>
    </row>
    <row r="3313" spans="1:11" x14ac:dyDescent="0.2">
      <c r="A3313" s="1" t="s">
        <v>3008</v>
      </c>
      <c r="B3313" s="1" t="s">
        <v>3033</v>
      </c>
      <c r="C3313" s="1" t="str">
        <f>"66298909088435"</f>
        <v>66298909088435</v>
      </c>
      <c r="D3313" s="1" t="str">
        <f>"400656"</f>
        <v>400656</v>
      </c>
      <c r="E3313" s="1" t="s">
        <v>17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</row>
    <row r="3314" spans="1:11" x14ac:dyDescent="0.2">
      <c r="A3314" s="1" t="s">
        <v>3008</v>
      </c>
      <c r="B3314" s="1" t="s">
        <v>3034</v>
      </c>
      <c r="C3314" s="1" t="str">
        <f>"80394"</f>
        <v>80394</v>
      </c>
      <c r="D3314" s="1" t="str">
        <f>"80394"</f>
        <v>80394</v>
      </c>
      <c r="E3314" s="1" t="s">
        <v>17</v>
      </c>
      <c r="F3314" s="1">
        <v>5</v>
      </c>
      <c r="G3314" s="1">
        <v>10211.39</v>
      </c>
      <c r="H3314" s="1">
        <v>51057</v>
      </c>
      <c r="I3314" s="1">
        <v>0</v>
      </c>
      <c r="J3314" s="1">
        <v>5</v>
      </c>
      <c r="K3314" s="1">
        <v>0</v>
      </c>
    </row>
    <row r="3315" spans="1:11" x14ac:dyDescent="0.2">
      <c r="A3315" s="1" t="s">
        <v>3008</v>
      </c>
      <c r="B3315" s="1" t="s">
        <v>3035</v>
      </c>
      <c r="C3315" s="1" t="str">
        <f>"66298909126234"</f>
        <v>66298909126234</v>
      </c>
      <c r="D3315" s="1" t="str">
        <f>"31200-KVC-890"</f>
        <v>31200-KVC-890</v>
      </c>
      <c r="E3315" s="1" t="s">
        <v>17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</row>
    <row r="3316" spans="1:11" x14ac:dyDescent="0.2">
      <c r="A3316" s="1" t="s">
        <v>3008</v>
      </c>
      <c r="B3316" s="1" t="s">
        <v>3036</v>
      </c>
      <c r="C3316" s="1" t="str">
        <f>"66298909171888"</f>
        <v>66298909171888</v>
      </c>
      <c r="D3316" s="1" t="str">
        <f>"5DW-H1800-00HB"</f>
        <v>5DW-H1800-00HB</v>
      </c>
      <c r="E3316" s="1" t="s">
        <v>17</v>
      </c>
      <c r="F3316" s="1">
        <v>2</v>
      </c>
      <c r="G3316" s="1">
        <v>4970</v>
      </c>
      <c r="H3316" s="1">
        <v>9940</v>
      </c>
      <c r="I3316" s="1">
        <v>0</v>
      </c>
      <c r="J3316" s="1">
        <v>2</v>
      </c>
      <c r="K3316" s="1">
        <v>0</v>
      </c>
    </row>
    <row r="3317" spans="1:11" x14ac:dyDescent="0.2">
      <c r="A3317" s="1" t="s">
        <v>3008</v>
      </c>
      <c r="B3317" s="1" t="s">
        <v>3037</v>
      </c>
      <c r="C3317" s="1" t="str">
        <f>"66298909212340"</f>
        <v>66298909212340</v>
      </c>
      <c r="D3317" s="1" t="str">
        <f>"31200-KBB-901"</f>
        <v>31200-KBB-901</v>
      </c>
      <c r="E3317" s="1" t="s">
        <v>17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</row>
    <row r="3318" spans="1:11" x14ac:dyDescent="0.2">
      <c r="A3318" s="1" t="s">
        <v>3008</v>
      </c>
      <c r="B3318" s="1" t="s">
        <v>3038</v>
      </c>
      <c r="C3318" s="1" t="str">
        <f>"66298909250889"</f>
        <v>66298909250889</v>
      </c>
      <c r="D3318" s="1" t="str">
        <f>"400138"</f>
        <v>400138</v>
      </c>
      <c r="E3318" s="1" t="s">
        <v>17</v>
      </c>
      <c r="F3318" s="1">
        <v>3</v>
      </c>
      <c r="G3318" s="1">
        <v>30904</v>
      </c>
      <c r="H3318" s="1">
        <v>92712</v>
      </c>
      <c r="I3318" s="1">
        <v>0</v>
      </c>
      <c r="J3318" s="1">
        <v>3</v>
      </c>
      <c r="K3318" s="1">
        <v>0</v>
      </c>
    </row>
    <row r="3319" spans="1:11" x14ac:dyDescent="0.2">
      <c r="A3319" s="1" t="s">
        <v>3008</v>
      </c>
      <c r="B3319" s="1" t="s">
        <v>3039</v>
      </c>
      <c r="C3319" s="1" t="str">
        <f>"66298909288923"</f>
        <v>66298909288923</v>
      </c>
      <c r="D3319" s="1" t="str">
        <f>"80359"</f>
        <v>80359</v>
      </c>
      <c r="E3319" s="1" t="s">
        <v>17</v>
      </c>
      <c r="F3319" s="1">
        <v>2</v>
      </c>
      <c r="G3319" s="1">
        <v>10051</v>
      </c>
      <c r="H3319" s="1">
        <v>20102</v>
      </c>
      <c r="I3319" s="1">
        <v>0</v>
      </c>
      <c r="J3319" s="1">
        <v>2</v>
      </c>
      <c r="K3319" s="1">
        <v>0</v>
      </c>
    </row>
    <row r="3320" spans="1:11" x14ac:dyDescent="0.2">
      <c r="A3320" s="1" t="s">
        <v>3008</v>
      </c>
      <c r="B3320" s="1" t="s">
        <v>3039</v>
      </c>
      <c r="C3320" s="1" t="str">
        <f>"66298909295509"</f>
        <v>66298909295509</v>
      </c>
      <c r="D3320" s="1" t="str">
        <f>"FA009"</f>
        <v>FA009</v>
      </c>
      <c r="E3320" s="1" t="s">
        <v>17</v>
      </c>
      <c r="F3320" s="1">
        <v>2</v>
      </c>
      <c r="G3320" s="1">
        <v>12573</v>
      </c>
      <c r="H3320" s="1">
        <v>25146</v>
      </c>
      <c r="I3320" s="1">
        <v>0</v>
      </c>
      <c r="J3320" s="1">
        <v>2</v>
      </c>
      <c r="K3320" s="1">
        <v>0</v>
      </c>
    </row>
    <row r="3321" spans="1:11" x14ac:dyDescent="0.2">
      <c r="A3321" s="1" t="s">
        <v>3008</v>
      </c>
      <c r="B3321" s="1" t="s">
        <v>3040</v>
      </c>
      <c r="C3321" s="1" t="str">
        <f>"66298909351047"</f>
        <v>66298909351047</v>
      </c>
      <c r="D3321" s="1" t="str">
        <f>"5YY-H1800-00HB"</f>
        <v>5YY-H1800-00HB</v>
      </c>
      <c r="E3321" s="1" t="s">
        <v>17</v>
      </c>
      <c r="F3321" s="1">
        <v>3</v>
      </c>
      <c r="G3321" s="1">
        <v>13647</v>
      </c>
      <c r="H3321" s="1">
        <v>40941</v>
      </c>
      <c r="I3321" s="1">
        <v>0</v>
      </c>
      <c r="J3321" s="1">
        <v>3</v>
      </c>
      <c r="K3321" s="1">
        <v>0</v>
      </c>
    </row>
    <row r="3322" spans="1:11" x14ac:dyDescent="0.2">
      <c r="A3322" s="1" t="s">
        <v>15</v>
      </c>
      <c r="B3322" s="1" t="s">
        <v>3041</v>
      </c>
      <c r="C3322" s="1" t="str">
        <f>"21680"</f>
        <v>21680</v>
      </c>
      <c r="D3322" s="1" t="str">
        <f>"21680"</f>
        <v>21680</v>
      </c>
      <c r="E3322" s="1" t="s">
        <v>17</v>
      </c>
      <c r="F3322" s="1">
        <v>12</v>
      </c>
      <c r="G3322" s="1">
        <v>6728</v>
      </c>
      <c r="H3322" s="1">
        <v>80736</v>
      </c>
      <c r="I3322" s="1">
        <v>0</v>
      </c>
      <c r="J3322" s="1">
        <v>12</v>
      </c>
      <c r="K3322" s="1">
        <v>0</v>
      </c>
    </row>
    <row r="3323" spans="1:11" x14ac:dyDescent="0.2">
      <c r="A3323" s="1" t="s">
        <v>3042</v>
      </c>
      <c r="B3323" s="1" t="s">
        <v>3043</v>
      </c>
      <c r="C3323" s="1" t="str">
        <f>"66298909438678"</f>
        <v>66298909438678</v>
      </c>
      <c r="D3323" s="1" t="str">
        <f>"145/70-6DURO"</f>
        <v>145/70-6DURO</v>
      </c>
      <c r="E3323" s="1" t="s">
        <v>17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</row>
    <row r="3324" spans="1:11" x14ac:dyDescent="0.2">
      <c r="A3324" s="1" t="s">
        <v>3042</v>
      </c>
      <c r="B3324" s="1" t="s">
        <v>3044</v>
      </c>
      <c r="C3324" s="1" t="str">
        <f>"66298909491669"</f>
        <v>66298909491669</v>
      </c>
      <c r="D3324" s="1" t="str">
        <f>"145X7-6APEX"</f>
        <v>145X7-6APEX</v>
      </c>
      <c r="E3324" s="1" t="s">
        <v>17</v>
      </c>
      <c r="F3324" s="1">
        <v>6</v>
      </c>
      <c r="G3324" s="1">
        <v>17550</v>
      </c>
      <c r="H3324" s="1">
        <v>105300</v>
      </c>
      <c r="I3324" s="1">
        <v>0</v>
      </c>
      <c r="J3324" s="1">
        <v>6</v>
      </c>
      <c r="K3324" s="1">
        <v>0</v>
      </c>
    </row>
    <row r="3325" spans="1:11" x14ac:dyDescent="0.2">
      <c r="A3325" s="1" t="s">
        <v>3042</v>
      </c>
      <c r="B3325" s="1" t="s">
        <v>3045</v>
      </c>
      <c r="C3325" s="1" t="str">
        <f>"66298909532842"</f>
        <v>66298909532842</v>
      </c>
      <c r="D3325" s="1" t="str">
        <f>"13X5-6APEX"</f>
        <v>13X5-6APEX</v>
      </c>
      <c r="E3325" s="1" t="s">
        <v>17</v>
      </c>
      <c r="F3325" s="1">
        <v>3</v>
      </c>
      <c r="G3325" s="1">
        <v>16830</v>
      </c>
      <c r="H3325" s="1">
        <v>50490</v>
      </c>
      <c r="I3325" s="1">
        <v>0</v>
      </c>
      <c r="J3325" s="1">
        <v>3</v>
      </c>
      <c r="K3325" s="1">
        <v>0</v>
      </c>
    </row>
    <row r="3326" spans="1:11" x14ac:dyDescent="0.2">
      <c r="A3326" s="1" t="s">
        <v>3042</v>
      </c>
      <c r="B3326" s="1" t="s">
        <v>3046</v>
      </c>
      <c r="C3326" s="1" t="str">
        <f>"66298909396265"</f>
        <v>66298909396265</v>
      </c>
      <c r="D3326" s="1" t="str">
        <f>"13X5.00-6CN"</f>
        <v>13X5.00-6CN</v>
      </c>
      <c r="E3326" s="1" t="s">
        <v>17</v>
      </c>
      <c r="F3326" s="1">
        <v>1</v>
      </c>
      <c r="G3326" s="1">
        <v>7250</v>
      </c>
      <c r="H3326" s="1">
        <v>7250</v>
      </c>
      <c r="I3326" s="1">
        <v>0</v>
      </c>
      <c r="J3326" s="1">
        <v>1</v>
      </c>
      <c r="K3326" s="1">
        <v>0</v>
      </c>
    </row>
    <row r="3327" spans="1:11" x14ac:dyDescent="0.2">
      <c r="A3327" s="1" t="s">
        <v>3042</v>
      </c>
      <c r="B3327" s="1" t="s">
        <v>3047</v>
      </c>
      <c r="C3327" s="1" t="str">
        <f>"66298909574815"</f>
        <v>66298909574815</v>
      </c>
      <c r="D3327" s="1" t="str">
        <f>"16X8-7JUNKAI"</f>
        <v>16X8-7JUNKAI</v>
      </c>
      <c r="E3327" s="1" t="s">
        <v>17</v>
      </c>
      <c r="F3327" s="1">
        <v>1</v>
      </c>
      <c r="G3327" s="1">
        <v>12920</v>
      </c>
      <c r="H3327" s="1">
        <v>12920</v>
      </c>
      <c r="I3327" s="1">
        <v>0</v>
      </c>
      <c r="J3327" s="1">
        <v>1</v>
      </c>
      <c r="K3327" s="1">
        <v>0</v>
      </c>
    </row>
    <row r="3328" spans="1:11" x14ac:dyDescent="0.2">
      <c r="A3328" s="1" t="s">
        <v>3042</v>
      </c>
      <c r="B3328" s="1" t="s">
        <v>3048</v>
      </c>
      <c r="C3328" s="1" t="str">
        <f>"66298909620028"</f>
        <v>66298909620028</v>
      </c>
      <c r="D3328" s="1" t="str">
        <f>"16X8-7APEX"</f>
        <v>16X8-7APEX</v>
      </c>
      <c r="E3328" s="1" t="s">
        <v>17</v>
      </c>
      <c r="F3328" s="1">
        <v>1</v>
      </c>
      <c r="G3328" s="1">
        <v>24210</v>
      </c>
      <c r="H3328" s="1">
        <v>24210</v>
      </c>
      <c r="I3328" s="1">
        <v>0</v>
      </c>
      <c r="J3328" s="1">
        <v>1</v>
      </c>
      <c r="K3328" s="1">
        <v>0</v>
      </c>
    </row>
    <row r="3329" spans="1:11" x14ac:dyDescent="0.2">
      <c r="A3329" s="1" t="s">
        <v>3042</v>
      </c>
      <c r="B3329" s="1" t="s">
        <v>3049</v>
      </c>
      <c r="C3329" s="1" t="str">
        <f>"66298909662026"</f>
        <v>66298909662026</v>
      </c>
      <c r="D3329" s="1" t="str">
        <f>"20X7.00-8DURO"</f>
        <v>20X7.00-8DURO</v>
      </c>
      <c r="E3329" s="1" t="s">
        <v>17</v>
      </c>
      <c r="F3329" s="1">
        <v>4</v>
      </c>
      <c r="G3329" s="1">
        <v>28509</v>
      </c>
      <c r="H3329" s="1">
        <v>114036</v>
      </c>
      <c r="I3329" s="1">
        <v>0</v>
      </c>
      <c r="J3329" s="1">
        <v>4</v>
      </c>
      <c r="K3329" s="1">
        <v>0</v>
      </c>
    </row>
    <row r="3330" spans="1:11" x14ac:dyDescent="0.2">
      <c r="A3330" s="1" t="s">
        <v>3042</v>
      </c>
      <c r="B3330" s="1" t="s">
        <v>3050</v>
      </c>
      <c r="C3330" s="1" t="str">
        <f>"66298909703522"</f>
        <v>66298909703522</v>
      </c>
      <c r="D3330" s="1" t="str">
        <f>"20X7-8DURO"</f>
        <v>20X7-8DURO</v>
      </c>
      <c r="E3330" s="1" t="s">
        <v>17</v>
      </c>
      <c r="F3330" s="1">
        <v>4</v>
      </c>
      <c r="G3330" s="1">
        <v>28458</v>
      </c>
      <c r="H3330" s="1">
        <v>113832</v>
      </c>
      <c r="I3330" s="1">
        <v>0</v>
      </c>
      <c r="J3330" s="1">
        <v>4</v>
      </c>
      <c r="K3330" s="1">
        <v>0</v>
      </c>
    </row>
    <row r="3331" spans="1:11" x14ac:dyDescent="0.2">
      <c r="A3331" s="1" t="s">
        <v>3042</v>
      </c>
      <c r="B3331" s="1" t="s">
        <v>3051</v>
      </c>
      <c r="C3331" s="1" t="str">
        <f>"66298909745553"</f>
        <v>66298909745553</v>
      </c>
      <c r="D3331" s="1" t="str">
        <f>"19X7-8APEX"</f>
        <v>19X7-8APEX</v>
      </c>
      <c r="E3331" s="1" t="s">
        <v>17</v>
      </c>
      <c r="F3331" s="1">
        <v>1</v>
      </c>
      <c r="G3331" s="1">
        <v>31950</v>
      </c>
      <c r="H3331" s="1">
        <v>31950</v>
      </c>
      <c r="I3331" s="1">
        <v>0</v>
      </c>
      <c r="J3331" s="1">
        <v>1</v>
      </c>
      <c r="K3331" s="1">
        <v>0</v>
      </c>
    </row>
    <row r="3332" spans="1:11" x14ac:dyDescent="0.2">
      <c r="A3332" s="1" t="s">
        <v>3042</v>
      </c>
      <c r="B3332" s="1" t="s">
        <v>3052</v>
      </c>
      <c r="C3332" s="1" t="str">
        <f>"66298909787479"</f>
        <v>66298909787479</v>
      </c>
      <c r="D3332" s="1" t="str">
        <f>"18X9.5-8APEX"</f>
        <v>18X9.5-8APEX</v>
      </c>
      <c r="E3332" s="1" t="s">
        <v>17</v>
      </c>
      <c r="F3332" s="1">
        <v>4</v>
      </c>
      <c r="G3332" s="1">
        <v>31050</v>
      </c>
      <c r="H3332" s="1">
        <v>124200</v>
      </c>
      <c r="I3332" s="1">
        <v>0</v>
      </c>
      <c r="J3332" s="1">
        <v>4</v>
      </c>
      <c r="K3332" s="1">
        <v>0</v>
      </c>
    </row>
    <row r="3333" spans="1:11" x14ac:dyDescent="0.2">
      <c r="A3333" s="1" t="s">
        <v>3042</v>
      </c>
      <c r="B3333" s="1" t="s">
        <v>3053</v>
      </c>
      <c r="C3333" s="1" t="str">
        <f>"66298909829262"</f>
        <v>66298909829262</v>
      </c>
      <c r="D3333" s="1" t="str">
        <f>"22X10-10SR"</f>
        <v>22X10-10SR</v>
      </c>
      <c r="E3333" s="1" t="s">
        <v>17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</row>
    <row r="3334" spans="1:11" x14ac:dyDescent="0.2">
      <c r="A3334" s="1" t="s">
        <v>3042</v>
      </c>
      <c r="B3334" s="1" t="s">
        <v>3054</v>
      </c>
      <c r="C3334" s="1" t="str">
        <f>"67822290402721"</f>
        <v>67822290402721</v>
      </c>
      <c r="D3334" s="1" t="str">
        <f>"21X7-10WANDA"</f>
        <v>21X7-10WANDA</v>
      </c>
      <c r="E3334" s="1" t="s">
        <v>17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</row>
    <row r="3335" spans="1:11" x14ac:dyDescent="0.2">
      <c r="A3335" s="1" t="s">
        <v>3042</v>
      </c>
      <c r="B3335" s="1" t="s">
        <v>3055</v>
      </c>
      <c r="C3335" s="1" t="str">
        <f>"66298909868590"</f>
        <v>66298909868590</v>
      </c>
      <c r="D3335" s="1" t="str">
        <f>"20X10-10APEX"</f>
        <v>20X10-10APEX</v>
      </c>
      <c r="E3335" s="1" t="s">
        <v>17</v>
      </c>
      <c r="F3335" s="1">
        <v>2</v>
      </c>
      <c r="G3335" s="1">
        <v>42210</v>
      </c>
      <c r="H3335" s="1">
        <v>84420</v>
      </c>
      <c r="I3335" s="1">
        <v>0</v>
      </c>
      <c r="J3335" s="1">
        <v>2</v>
      </c>
      <c r="K3335" s="1">
        <v>0</v>
      </c>
    </row>
    <row r="3336" spans="1:11" x14ac:dyDescent="0.2">
      <c r="A3336" s="1" t="s">
        <v>3042</v>
      </c>
      <c r="B3336" s="1" t="s">
        <v>3056</v>
      </c>
      <c r="C3336" s="1" t="str">
        <f>"66298909908040"</f>
        <v>66298909908040</v>
      </c>
      <c r="D3336" s="1" t="str">
        <f>"21X7-10APEX"</f>
        <v>21X7-10APEX</v>
      </c>
      <c r="E3336" s="1" t="s">
        <v>17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</row>
    <row r="3337" spans="1:11" x14ac:dyDescent="0.2">
      <c r="A3337" s="1" t="s">
        <v>3042</v>
      </c>
      <c r="B3337" s="1" t="s">
        <v>3057</v>
      </c>
      <c r="C3337" s="1" t="str">
        <f>"66298909952735"</f>
        <v>66298909952735</v>
      </c>
      <c r="D3337" s="1" t="str">
        <f>"24X10-11APEX"</f>
        <v>24X10-11APEX</v>
      </c>
      <c r="E3337" s="1" t="s">
        <v>17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</row>
    <row r="3338" spans="1:11" x14ac:dyDescent="0.2">
      <c r="A3338" s="1" t="s">
        <v>3042</v>
      </c>
      <c r="B3338" s="1" t="s">
        <v>3057</v>
      </c>
      <c r="C3338" s="1" t="str">
        <f>"66298909958954"</f>
        <v>66298909958954</v>
      </c>
      <c r="D3338" s="1" t="str">
        <f>"22X7-11APEX"</f>
        <v>22X7-11APEX</v>
      </c>
      <c r="E3338" s="1" t="s">
        <v>17</v>
      </c>
      <c r="F3338" s="1">
        <v>4</v>
      </c>
      <c r="G3338" s="1">
        <v>46350</v>
      </c>
      <c r="H3338" s="1">
        <v>185400</v>
      </c>
      <c r="I3338" s="1">
        <v>0</v>
      </c>
      <c r="J3338" s="1">
        <v>4</v>
      </c>
      <c r="K3338" s="1">
        <v>0</v>
      </c>
    </row>
    <row r="3339" spans="1:11" x14ac:dyDescent="0.2">
      <c r="A3339" s="1" t="s">
        <v>3042</v>
      </c>
      <c r="B3339" s="1" t="s">
        <v>3058</v>
      </c>
      <c r="C3339" s="1" t="str">
        <f>"66298910020193"</f>
        <v>66298910020193</v>
      </c>
      <c r="D3339" s="1" t="str">
        <f>"24X8-12APEX"</f>
        <v>24X8-12APEX</v>
      </c>
      <c r="E3339" s="1" t="s">
        <v>17</v>
      </c>
      <c r="F3339" s="1">
        <v>3</v>
      </c>
      <c r="G3339" s="1">
        <v>57150</v>
      </c>
      <c r="H3339" s="1">
        <v>171450</v>
      </c>
      <c r="I3339" s="1">
        <v>0</v>
      </c>
      <c r="J3339" s="1">
        <v>3</v>
      </c>
      <c r="K3339" s="1">
        <v>0</v>
      </c>
    </row>
    <row r="3340" spans="1:11" x14ac:dyDescent="0.2">
      <c r="A3340" s="1" t="s">
        <v>3042</v>
      </c>
      <c r="B3340" s="1" t="s">
        <v>3058</v>
      </c>
      <c r="C3340" s="1" t="str">
        <f>"66298910026488"</f>
        <v>66298910026488</v>
      </c>
      <c r="D3340" s="1" t="str">
        <f>"25X8-12APEX"</f>
        <v>25X8-12APEX</v>
      </c>
      <c r="E3340" s="1" t="s">
        <v>17</v>
      </c>
      <c r="F3340" s="1">
        <v>1</v>
      </c>
      <c r="G3340" s="1">
        <v>57150</v>
      </c>
      <c r="H3340" s="1">
        <v>57150</v>
      </c>
      <c r="I3340" s="1">
        <v>0</v>
      </c>
      <c r="J3340" s="1">
        <v>1</v>
      </c>
      <c r="K3340" s="1">
        <v>0</v>
      </c>
    </row>
    <row r="3341" spans="1:11" x14ac:dyDescent="0.2">
      <c r="A3341" s="1" t="s">
        <v>3042</v>
      </c>
      <c r="B3341" s="1" t="s">
        <v>3059</v>
      </c>
      <c r="C3341" s="1" t="str">
        <f>"130/90-10TLCST"</f>
        <v>130/90-10TLCST</v>
      </c>
      <c r="D3341" s="1" t="str">
        <f>"130/90-10TLCST"</f>
        <v>130/90-10TLCST</v>
      </c>
      <c r="E3341" s="1" t="s">
        <v>17</v>
      </c>
      <c r="F3341" s="1">
        <v>1</v>
      </c>
      <c r="G3341" s="1">
        <v>25137.25</v>
      </c>
      <c r="H3341" s="1">
        <v>25137</v>
      </c>
      <c r="I3341" s="1">
        <v>0</v>
      </c>
      <c r="J3341" s="1">
        <v>1</v>
      </c>
      <c r="K3341" s="1">
        <v>0</v>
      </c>
    </row>
    <row r="3342" spans="1:11" x14ac:dyDescent="0.2">
      <c r="A3342" s="1" t="s">
        <v>3042</v>
      </c>
      <c r="B3342" s="1" t="s">
        <v>3060</v>
      </c>
      <c r="C3342" s="1" t="str">
        <f>"350X10TLDURO"</f>
        <v>350X10TLDURO</v>
      </c>
      <c r="D3342" s="1" t="str">
        <f>"350X10TLDURO"</f>
        <v>350X10TLDURO</v>
      </c>
      <c r="E3342" s="1" t="s">
        <v>17</v>
      </c>
      <c r="F3342" s="1">
        <v>2</v>
      </c>
      <c r="G3342" s="1">
        <v>17764</v>
      </c>
      <c r="H3342" s="1">
        <v>35528</v>
      </c>
      <c r="I3342" s="1">
        <v>0</v>
      </c>
      <c r="J3342" s="1">
        <v>2</v>
      </c>
      <c r="K3342" s="1">
        <v>0</v>
      </c>
    </row>
    <row r="3343" spans="1:11" x14ac:dyDescent="0.2">
      <c r="A3343" s="1" t="s">
        <v>3042</v>
      </c>
      <c r="B3343" s="1" t="s">
        <v>3061</v>
      </c>
      <c r="C3343" s="1" t="str">
        <f>"350/10TLDURO"</f>
        <v>350/10TLDURO</v>
      </c>
      <c r="D3343" s="1" t="str">
        <f>"350/10TLDURO"</f>
        <v>350/10TLDURO</v>
      </c>
      <c r="E3343" s="1" t="s">
        <v>17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</row>
    <row r="3344" spans="1:11" x14ac:dyDescent="0.2">
      <c r="A3344" s="1" t="s">
        <v>3042</v>
      </c>
      <c r="B3344" s="1" t="s">
        <v>3062</v>
      </c>
      <c r="C3344" s="1" t="str">
        <f>"66298910107981"</f>
        <v>66298910107981</v>
      </c>
      <c r="D3344" s="1" t="str">
        <f>"350-10TLDURO"</f>
        <v>350-10TLDURO</v>
      </c>
      <c r="E3344" s="1" t="s">
        <v>17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</row>
    <row r="3345" spans="1:11" x14ac:dyDescent="0.2">
      <c r="A3345" s="1" t="s">
        <v>3042</v>
      </c>
      <c r="B3345" s="1" t="s">
        <v>3063</v>
      </c>
      <c r="C3345" s="1" t="str">
        <f>"67822289891465"</f>
        <v>67822289891465</v>
      </c>
      <c r="D3345" s="1" t="str">
        <f>"350X10-TLJD"</f>
        <v>350X10-TLJD</v>
      </c>
      <c r="E3345" s="1" t="s">
        <v>17</v>
      </c>
      <c r="F3345" s="1">
        <v>1</v>
      </c>
      <c r="G3345" s="1">
        <v>15075.63</v>
      </c>
      <c r="H3345" s="1">
        <v>15076</v>
      </c>
      <c r="I3345" s="1">
        <v>0</v>
      </c>
      <c r="J3345" s="1">
        <v>1</v>
      </c>
      <c r="K3345" s="1">
        <v>0</v>
      </c>
    </row>
    <row r="3346" spans="1:11" x14ac:dyDescent="0.2">
      <c r="A3346" s="1" t="s">
        <v>3042</v>
      </c>
      <c r="B3346" s="1" t="s">
        <v>3064</v>
      </c>
      <c r="C3346" s="1" t="str">
        <f>"350*10TLSR"</f>
        <v>350*10TLSR</v>
      </c>
      <c r="D3346" s="1" t="str">
        <f>"350*10TLSR"</f>
        <v>350*10TLSR</v>
      </c>
      <c r="E3346" s="1" t="s">
        <v>17</v>
      </c>
      <c r="F3346" s="1">
        <v>4</v>
      </c>
      <c r="G3346" s="1">
        <v>14143</v>
      </c>
      <c r="H3346" s="1">
        <v>56572</v>
      </c>
      <c r="I3346" s="1">
        <v>0</v>
      </c>
      <c r="J3346" s="1">
        <v>4</v>
      </c>
      <c r="K3346" s="1">
        <v>0</v>
      </c>
    </row>
    <row r="3347" spans="1:11" x14ac:dyDescent="0.2">
      <c r="A3347" s="1" t="s">
        <v>3042</v>
      </c>
      <c r="B3347" s="1" t="s">
        <v>3065</v>
      </c>
      <c r="C3347" s="1" t="str">
        <f>"350X10TLSR"</f>
        <v>350X10TLSR</v>
      </c>
      <c r="D3347" s="1" t="str">
        <f>"350X10TLSR"</f>
        <v>350X10TLSR</v>
      </c>
      <c r="E3347" s="1" t="s">
        <v>17</v>
      </c>
      <c r="F3347" s="1">
        <v>1</v>
      </c>
      <c r="G3347" s="1">
        <v>15000</v>
      </c>
      <c r="H3347" s="1">
        <v>15000</v>
      </c>
      <c r="I3347" s="1">
        <v>0</v>
      </c>
      <c r="J3347" s="1">
        <v>1</v>
      </c>
      <c r="K3347" s="1">
        <v>0</v>
      </c>
    </row>
    <row r="3348" spans="1:11" x14ac:dyDescent="0.2">
      <c r="A3348" s="1" t="s">
        <v>3042</v>
      </c>
      <c r="B3348" s="1" t="s">
        <v>3066</v>
      </c>
      <c r="C3348" s="1" t="str">
        <f>"350-10TLSR"</f>
        <v>350-10TLSR</v>
      </c>
      <c r="D3348" s="1" t="str">
        <f>"350-10TLSR"</f>
        <v>350-10TLSR</v>
      </c>
      <c r="E3348" s="1" t="s">
        <v>17</v>
      </c>
      <c r="F3348" s="1">
        <v>1</v>
      </c>
      <c r="G3348" s="1">
        <v>15000</v>
      </c>
      <c r="H3348" s="1">
        <v>15000</v>
      </c>
      <c r="I3348" s="1">
        <v>0</v>
      </c>
      <c r="J3348" s="1">
        <v>1</v>
      </c>
      <c r="K3348" s="1">
        <v>0</v>
      </c>
    </row>
    <row r="3349" spans="1:11" x14ac:dyDescent="0.2">
      <c r="A3349" s="1" t="s">
        <v>3042</v>
      </c>
      <c r="B3349" s="1" t="s">
        <v>3067</v>
      </c>
      <c r="C3349" s="1" t="str">
        <f>"66298910182690"</f>
        <v>66298910182690</v>
      </c>
      <c r="D3349" s="1" t="str">
        <f>"90/90-12TLCEAT"</f>
        <v>90/90-12TLCEAT</v>
      </c>
      <c r="E3349" s="1" t="s">
        <v>17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</row>
    <row r="3350" spans="1:11" x14ac:dyDescent="0.2">
      <c r="A3350" s="1" t="s">
        <v>3042</v>
      </c>
      <c r="B3350" s="1" t="s">
        <v>3068</v>
      </c>
      <c r="C3350" s="1" t="str">
        <f>"90/90-12TLDURO"</f>
        <v>90/90-12TLDURO</v>
      </c>
      <c r="D3350" s="1" t="str">
        <f>"90/90-12TLDURO"</f>
        <v>90/90-12TLDURO</v>
      </c>
      <c r="E3350" s="1" t="s">
        <v>17</v>
      </c>
      <c r="F3350" s="1">
        <v>1</v>
      </c>
      <c r="G3350" s="1">
        <v>13970</v>
      </c>
      <c r="H3350" s="1">
        <v>13970</v>
      </c>
      <c r="I3350" s="1">
        <v>0</v>
      </c>
      <c r="J3350" s="1">
        <v>1</v>
      </c>
      <c r="K3350" s="1">
        <v>0</v>
      </c>
    </row>
    <row r="3351" spans="1:11" x14ac:dyDescent="0.2">
      <c r="A3351" s="1" t="s">
        <v>3042</v>
      </c>
      <c r="B3351" s="1" t="s">
        <v>3069</v>
      </c>
      <c r="C3351" s="1" t="str">
        <f>"90/90-12TLGUANGBO"</f>
        <v>90/90-12TLGUANGBO</v>
      </c>
      <c r="D3351" s="1" t="str">
        <f>"90/90-12TLGUANGBO"</f>
        <v>90/90-12TLGUANGBO</v>
      </c>
      <c r="E3351" s="1" t="s">
        <v>17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</row>
    <row r="3352" spans="1:11" x14ac:dyDescent="0.2">
      <c r="A3352" s="1" t="s">
        <v>3042</v>
      </c>
      <c r="B3352" s="1" t="s">
        <v>3070</v>
      </c>
      <c r="C3352" s="1" t="str">
        <f>"66298910250041"</f>
        <v>66298910250041</v>
      </c>
      <c r="D3352" s="1" t="str">
        <f>"90/90X12TLMI"</f>
        <v>90/90X12TLMI</v>
      </c>
      <c r="E3352" s="1" t="s">
        <v>17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</row>
    <row r="3353" spans="1:11" x14ac:dyDescent="0.2">
      <c r="A3353" s="1" t="s">
        <v>3042</v>
      </c>
      <c r="B3353" s="1" t="s">
        <v>3071</v>
      </c>
      <c r="C3353" s="1" t="str">
        <f>"90/90-12TLSRUN"</f>
        <v>90/90-12TLSRUN</v>
      </c>
      <c r="D3353" s="1" t="str">
        <f>"90/90-12TLSRUN"</f>
        <v>90/90-12TLSRUN</v>
      </c>
      <c r="E3353" s="1" t="s">
        <v>17</v>
      </c>
      <c r="F3353" s="1">
        <v>4</v>
      </c>
      <c r="G3353" s="1">
        <v>14143</v>
      </c>
      <c r="H3353" s="1">
        <v>56572</v>
      </c>
      <c r="I3353" s="1">
        <v>0</v>
      </c>
      <c r="J3353" s="1">
        <v>4</v>
      </c>
      <c r="K3353" s="1">
        <v>0</v>
      </c>
    </row>
    <row r="3354" spans="1:11" x14ac:dyDescent="0.2">
      <c r="A3354" s="1" t="s">
        <v>3042</v>
      </c>
      <c r="B3354" s="1" t="s">
        <v>3072</v>
      </c>
      <c r="C3354" s="1" t="str">
        <f>"66298910294778"</f>
        <v>66298910294778</v>
      </c>
      <c r="D3354" s="1" t="str">
        <f>"120/70-12TLSR"</f>
        <v>120/70-12TLSR</v>
      </c>
      <c r="E3354" s="1" t="s">
        <v>17</v>
      </c>
      <c r="F3354" s="1">
        <v>3</v>
      </c>
      <c r="G3354" s="1">
        <v>19935.330000000002</v>
      </c>
      <c r="H3354" s="1">
        <v>59806</v>
      </c>
      <c r="I3354" s="1">
        <v>1</v>
      </c>
      <c r="J3354" s="1">
        <v>2</v>
      </c>
      <c r="K3354" s="1">
        <v>0</v>
      </c>
    </row>
    <row r="3355" spans="1:11" x14ac:dyDescent="0.2">
      <c r="A3355" s="1" t="s">
        <v>3042</v>
      </c>
      <c r="B3355" s="1" t="s">
        <v>3073</v>
      </c>
      <c r="C3355" s="1" t="str">
        <f>"66298910338806"</f>
        <v>66298910338806</v>
      </c>
      <c r="D3355" s="1" t="str">
        <f>"130/60-13TLSR"</f>
        <v>130/60-13TLSR</v>
      </c>
      <c r="E3355" s="1" t="s">
        <v>17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</row>
    <row r="3356" spans="1:11" ht="30" x14ac:dyDescent="0.2">
      <c r="A3356" s="1" t="s">
        <v>3042</v>
      </c>
      <c r="B3356" s="1" t="s">
        <v>3074</v>
      </c>
      <c r="C3356" s="1" t="str">
        <f>"275X14CHINO"</f>
        <v>275X14CHINO</v>
      </c>
      <c r="D3356" s="1" t="str">
        <f>"275X14CHINO"</f>
        <v>275X14CHINO</v>
      </c>
      <c r="E3356" s="1" t="s">
        <v>17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</row>
    <row r="3357" spans="1:11" x14ac:dyDescent="0.2">
      <c r="A3357" s="1" t="s">
        <v>3042</v>
      </c>
      <c r="B3357" s="1" t="s">
        <v>3075</v>
      </c>
      <c r="C3357" s="1" t="str">
        <f>"130/90-15TLDURO"</f>
        <v>130/90-15TLDURO</v>
      </c>
      <c r="D3357" s="1" t="str">
        <f>"130/90-15TLDURO"</f>
        <v>130/90-15TLDURO</v>
      </c>
      <c r="E3357" s="1" t="s">
        <v>17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</row>
    <row r="3358" spans="1:11" x14ac:dyDescent="0.2">
      <c r="A3358" s="1" t="s">
        <v>3042</v>
      </c>
      <c r="B3358" s="1" t="s">
        <v>3076</v>
      </c>
      <c r="C3358" s="1" t="str">
        <f>"130/90-15TLSR"</f>
        <v>130/90-15TLSR</v>
      </c>
      <c r="D3358" s="1" t="str">
        <f>"130/90-15TLSR"</f>
        <v>130/90-15TLSR</v>
      </c>
      <c r="E3358" s="1" t="s">
        <v>17</v>
      </c>
      <c r="F3358" s="1">
        <v>1</v>
      </c>
      <c r="G3358" s="1">
        <v>40000</v>
      </c>
      <c r="H3358" s="1">
        <v>40000</v>
      </c>
      <c r="I3358" s="1">
        <v>0</v>
      </c>
      <c r="J3358" s="1">
        <v>1</v>
      </c>
      <c r="K3358" s="1">
        <v>0</v>
      </c>
    </row>
    <row r="3359" spans="1:11" x14ac:dyDescent="0.2">
      <c r="A3359" s="1" t="s">
        <v>3042</v>
      </c>
      <c r="B3359" s="1" t="s">
        <v>3077</v>
      </c>
      <c r="C3359" s="1" t="str">
        <f>"66298910383364"</f>
        <v>66298910383364</v>
      </c>
      <c r="D3359" s="1" t="str">
        <f>"120/80-16TLCEAT"</f>
        <v>120/80-16TLCEAT</v>
      </c>
      <c r="E3359" s="1" t="s">
        <v>17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</row>
    <row r="3360" spans="1:11" x14ac:dyDescent="0.2">
      <c r="A3360" s="1" t="s">
        <v>3042</v>
      </c>
      <c r="B3360" s="1" t="s">
        <v>3078</v>
      </c>
      <c r="C3360" s="1" t="str">
        <f>"66298910426596"</f>
        <v>66298910426596</v>
      </c>
      <c r="D3360" s="1" t="str">
        <f>"110/90-16TLCEAT"</f>
        <v>110/90-16TLCEAT</v>
      </c>
      <c r="E3360" s="1" t="s">
        <v>17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</row>
    <row r="3361" spans="1:11" x14ac:dyDescent="0.2">
      <c r="A3361" s="1" t="s">
        <v>3042</v>
      </c>
      <c r="B3361" s="1" t="s">
        <v>3079</v>
      </c>
      <c r="C3361" s="1" t="str">
        <f>"66298910474265"</f>
        <v>66298910474265</v>
      </c>
      <c r="D3361" s="1" t="str">
        <f>"150/80-16SK"</f>
        <v>150/80-16SK</v>
      </c>
      <c r="E3361" s="1" t="s">
        <v>17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</row>
    <row r="3362" spans="1:11" x14ac:dyDescent="0.2">
      <c r="A3362" s="1" t="s">
        <v>3042</v>
      </c>
      <c r="B3362" s="1" t="s">
        <v>3079</v>
      </c>
      <c r="C3362" s="1" t="str">
        <f>"66298910483943"</f>
        <v>66298910483943</v>
      </c>
      <c r="D3362" s="1" t="str">
        <f>"180/65B-16TLSK"</f>
        <v>180/65B-16TLSK</v>
      </c>
      <c r="E3362" s="1" t="s">
        <v>17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</row>
    <row r="3363" spans="1:11" ht="30" x14ac:dyDescent="0.2">
      <c r="A3363" s="1" t="s">
        <v>3042</v>
      </c>
      <c r="B3363" s="1" t="s">
        <v>3080</v>
      </c>
      <c r="C3363" s="1" t="str">
        <f>"66298910538091"</f>
        <v>66298910538091</v>
      </c>
      <c r="D3363" s="1" t="str">
        <f>"130/90-16WWSK"</f>
        <v>130/90-16WWSK</v>
      </c>
      <c r="E3363" s="1" t="s">
        <v>17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</row>
    <row r="3364" spans="1:11" x14ac:dyDescent="0.2">
      <c r="A3364" s="1" t="s">
        <v>3042</v>
      </c>
      <c r="B3364" s="1" t="s">
        <v>3081</v>
      </c>
      <c r="C3364" s="1" t="str">
        <f>"110/90-16TLSR"</f>
        <v>110/90-16TLSR</v>
      </c>
      <c r="D3364" s="1" t="str">
        <f>"110/90-16TLSR"</f>
        <v>110/90-16TLSR</v>
      </c>
      <c r="E3364" s="1" t="s">
        <v>17</v>
      </c>
      <c r="F3364" s="1">
        <v>10</v>
      </c>
      <c r="G3364" s="1">
        <v>24357</v>
      </c>
      <c r="H3364" s="1">
        <v>243570</v>
      </c>
      <c r="I3364" s="1">
        <v>0</v>
      </c>
      <c r="J3364" s="1">
        <v>10</v>
      </c>
      <c r="K3364" s="1">
        <v>0</v>
      </c>
    </row>
    <row r="3365" spans="1:11" x14ac:dyDescent="0.2">
      <c r="A3365" s="1" t="s">
        <v>3042</v>
      </c>
      <c r="B3365" s="1" t="s">
        <v>3082</v>
      </c>
      <c r="C3365" s="1" t="str">
        <f>"100/80-17TLCEAT"</f>
        <v>100/80-17TLCEAT</v>
      </c>
      <c r="D3365" s="1" t="str">
        <f>"100/80-17TLCEAT"</f>
        <v>100/80-17TLCEAT</v>
      </c>
      <c r="E3365" s="1" t="s">
        <v>17</v>
      </c>
      <c r="F3365" s="1">
        <v>4</v>
      </c>
      <c r="G3365" s="1">
        <v>21008</v>
      </c>
      <c r="H3365" s="1">
        <v>84032</v>
      </c>
      <c r="I3365" s="1">
        <v>0</v>
      </c>
      <c r="J3365" s="1">
        <v>4</v>
      </c>
      <c r="K3365" s="1">
        <v>0</v>
      </c>
    </row>
    <row r="3366" spans="1:11" x14ac:dyDescent="0.2">
      <c r="A3366" s="1" t="s">
        <v>3042</v>
      </c>
      <c r="B3366" s="1" t="s">
        <v>3083</v>
      </c>
      <c r="C3366" s="1" t="str">
        <f>"66298910694903"</f>
        <v>66298910694903</v>
      </c>
      <c r="D3366" s="1" t="str">
        <f>"110/70-17TLCEAT"</f>
        <v>110/70-17TLCEAT</v>
      </c>
      <c r="E3366" s="1" t="s">
        <v>17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</row>
    <row r="3367" spans="1:11" x14ac:dyDescent="0.2">
      <c r="A3367" s="1" t="s">
        <v>3042</v>
      </c>
      <c r="B3367" s="1" t="s">
        <v>3083</v>
      </c>
      <c r="C3367" s="1" t="str">
        <f>"150/60-17TLCEAT"</f>
        <v>150/60-17TLCEAT</v>
      </c>
      <c r="D3367" s="1" t="str">
        <f>"150/60-17TLCEAT"</f>
        <v>150/60-17TLCEAT</v>
      </c>
      <c r="E3367" s="1" t="s">
        <v>17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</row>
    <row r="3368" spans="1:11" x14ac:dyDescent="0.2">
      <c r="A3368" s="1" t="s">
        <v>3042</v>
      </c>
      <c r="B3368" s="1" t="s">
        <v>3084</v>
      </c>
      <c r="C3368" s="1" t="str">
        <f>"66298910624970"</f>
        <v>66298910624970</v>
      </c>
      <c r="D3368" s="1" t="str">
        <f>"140/60-17TLCEAT"</f>
        <v>140/60-17TLCEAT</v>
      </c>
      <c r="E3368" s="1" t="s">
        <v>17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</row>
    <row r="3369" spans="1:11" x14ac:dyDescent="0.2">
      <c r="A3369" s="1" t="s">
        <v>3042</v>
      </c>
      <c r="B3369" s="1" t="s">
        <v>3084</v>
      </c>
      <c r="C3369" s="1" t="str">
        <f>"66298910632902"</f>
        <v>66298910632902</v>
      </c>
      <c r="D3369" s="1" t="str">
        <f>"130/70-17TLCET"</f>
        <v>130/70-17TLCET</v>
      </c>
      <c r="E3369" s="1" t="s">
        <v>17</v>
      </c>
      <c r="F3369" s="1">
        <v>3</v>
      </c>
      <c r="G3369" s="1">
        <v>29314</v>
      </c>
      <c r="H3369" s="1">
        <v>87942</v>
      </c>
      <c r="I3369" s="1">
        <v>0</v>
      </c>
      <c r="J3369" s="1">
        <v>3</v>
      </c>
      <c r="K3369" s="1">
        <v>0</v>
      </c>
    </row>
    <row r="3370" spans="1:11" x14ac:dyDescent="0.2">
      <c r="A3370" s="1" t="s">
        <v>3042</v>
      </c>
      <c r="B3370" s="1" t="s">
        <v>3085</v>
      </c>
      <c r="C3370" s="1" t="str">
        <f>"66298910733901"</f>
        <v>66298910733901</v>
      </c>
      <c r="D3370" s="1" t="str">
        <f>"140/70-17TLCEAT"</f>
        <v>140/70-17TLCEAT</v>
      </c>
      <c r="E3370" s="1" t="s">
        <v>17</v>
      </c>
      <c r="F3370" s="1">
        <v>1</v>
      </c>
      <c r="G3370" s="1">
        <v>23000</v>
      </c>
      <c r="H3370" s="1">
        <v>23000</v>
      </c>
      <c r="I3370" s="1">
        <v>0</v>
      </c>
      <c r="J3370" s="1">
        <v>1</v>
      </c>
      <c r="K3370" s="1">
        <v>0</v>
      </c>
    </row>
    <row r="3371" spans="1:11" x14ac:dyDescent="0.2">
      <c r="A3371" s="1" t="s">
        <v>3042</v>
      </c>
      <c r="B3371" s="1" t="s">
        <v>3085</v>
      </c>
      <c r="C3371" s="1" t="str">
        <f>"130/70-17TLCEATZ"</f>
        <v>130/70-17TLCEATZ</v>
      </c>
      <c r="D3371" s="1" t="str">
        <f>"130/70-17TLCEATZ"</f>
        <v>130/70-17TLCEATZ</v>
      </c>
      <c r="E3371" s="1" t="s">
        <v>17</v>
      </c>
      <c r="F3371" s="1">
        <v>1</v>
      </c>
      <c r="G3371" s="1">
        <v>31666</v>
      </c>
      <c r="H3371" s="1">
        <v>31666</v>
      </c>
      <c r="I3371" s="1">
        <v>0</v>
      </c>
      <c r="J3371" s="1">
        <v>1</v>
      </c>
      <c r="K3371" s="1">
        <v>0</v>
      </c>
    </row>
    <row r="3372" spans="1:11" x14ac:dyDescent="0.2">
      <c r="A3372" s="1" t="s">
        <v>3042</v>
      </c>
      <c r="B3372" s="1" t="s">
        <v>3086</v>
      </c>
      <c r="C3372" s="1" t="str">
        <f>"66298910577073"</f>
        <v>66298910577073</v>
      </c>
      <c r="D3372" s="1" t="str">
        <f>"120/80-17TLCEAT"</f>
        <v>120/80-17TLCEAT</v>
      </c>
      <c r="E3372" s="1" t="s">
        <v>17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</row>
    <row r="3373" spans="1:11" x14ac:dyDescent="0.2">
      <c r="A3373" s="1" t="s">
        <v>3042</v>
      </c>
      <c r="B3373" s="1" t="s">
        <v>3086</v>
      </c>
      <c r="C3373" s="1" t="str">
        <f>"90/90-17TLCEAT"</f>
        <v>90/90-17TLCEAT</v>
      </c>
      <c r="D3373" s="1" t="str">
        <f>"90/90-17TLCEAT"</f>
        <v>90/90-17TLCEAT</v>
      </c>
      <c r="E3373" s="1" t="s">
        <v>17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</row>
    <row r="3374" spans="1:11" x14ac:dyDescent="0.2">
      <c r="A3374" s="1" t="s">
        <v>3042</v>
      </c>
      <c r="B3374" s="1" t="s">
        <v>3087</v>
      </c>
      <c r="C3374" s="1" t="str">
        <f>"120/90-17TTCHY"</f>
        <v>120/90-17TTCHY</v>
      </c>
      <c r="D3374" s="1" t="str">
        <f>"120/90-17TTCHY"</f>
        <v>120/90-17TTCHY</v>
      </c>
      <c r="E3374" s="1" t="s">
        <v>17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</row>
    <row r="3375" spans="1:11" x14ac:dyDescent="0.2">
      <c r="A3375" s="1" t="s">
        <v>3042</v>
      </c>
      <c r="B3375" s="1" t="s">
        <v>3088</v>
      </c>
      <c r="C3375" s="1" t="str">
        <f>"250-17DURO"</f>
        <v>250-17DURO</v>
      </c>
      <c r="D3375" s="1" t="str">
        <f>"250-17DURO"</f>
        <v>250-17DURO</v>
      </c>
      <c r="E3375" s="1" t="s">
        <v>17</v>
      </c>
      <c r="F3375" s="1">
        <v>1</v>
      </c>
      <c r="G3375" s="1">
        <v>13330.82</v>
      </c>
      <c r="H3375" s="1">
        <v>13331</v>
      </c>
      <c r="I3375" s="1">
        <v>0</v>
      </c>
      <c r="J3375" s="1">
        <v>1</v>
      </c>
      <c r="K3375" s="1">
        <v>0</v>
      </c>
    </row>
    <row r="3376" spans="1:11" x14ac:dyDescent="0.2">
      <c r="A3376" s="1" t="s">
        <v>3042</v>
      </c>
      <c r="B3376" s="1" t="s">
        <v>3089</v>
      </c>
      <c r="C3376" s="1" t="str">
        <f>"120/80-17DURO"</f>
        <v>120/80-17DURO</v>
      </c>
      <c r="D3376" s="1" t="str">
        <f>"120/80-17DURO"</f>
        <v>120/80-17DURO</v>
      </c>
      <c r="E3376" s="1" t="s">
        <v>17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</row>
    <row r="3377" spans="1:11" x14ac:dyDescent="0.2">
      <c r="A3377" s="1" t="s">
        <v>3042</v>
      </c>
      <c r="B3377" s="1" t="s">
        <v>3090</v>
      </c>
      <c r="C3377" s="1" t="str">
        <f>"140/70X17DURO"</f>
        <v>140/70X17DURO</v>
      </c>
      <c r="D3377" s="1" t="str">
        <f>"140/70X17DURO"</f>
        <v>140/70X17DURO</v>
      </c>
      <c r="E3377" s="1" t="s">
        <v>17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</row>
    <row r="3378" spans="1:11" x14ac:dyDescent="0.2">
      <c r="A3378" s="1" t="s">
        <v>3042</v>
      </c>
      <c r="B3378" s="1" t="s">
        <v>3090</v>
      </c>
      <c r="C3378" s="1" t="str">
        <f>"90/90X17DURO"</f>
        <v>90/90X17DURO</v>
      </c>
      <c r="D3378" s="1" t="str">
        <f>"90/90X17DURO"</f>
        <v>90/90X17DURO</v>
      </c>
      <c r="E3378" s="1" t="s">
        <v>17</v>
      </c>
      <c r="F3378" s="1">
        <v>1</v>
      </c>
      <c r="G3378" s="1">
        <v>21196</v>
      </c>
      <c r="H3378" s="1">
        <v>21196</v>
      </c>
      <c r="I3378" s="1">
        <v>0</v>
      </c>
      <c r="J3378" s="1">
        <v>1</v>
      </c>
      <c r="K3378" s="1">
        <v>0</v>
      </c>
    </row>
    <row r="3379" spans="1:11" x14ac:dyDescent="0.2">
      <c r="A3379" s="1" t="s">
        <v>3042</v>
      </c>
      <c r="B3379" s="1" t="s">
        <v>3090</v>
      </c>
      <c r="C3379" s="1" t="str">
        <f>"110/70X17DURO"</f>
        <v>110/70X17DURO</v>
      </c>
      <c r="D3379" s="1" t="str">
        <f>"110/70X17DURO"</f>
        <v>110/70X17DURO</v>
      </c>
      <c r="E3379" s="1" t="s">
        <v>17</v>
      </c>
      <c r="F3379" s="1">
        <v>1</v>
      </c>
      <c r="G3379" s="1">
        <v>23914</v>
      </c>
      <c r="H3379" s="1">
        <v>23914</v>
      </c>
      <c r="I3379" s="1">
        <v>0</v>
      </c>
      <c r="J3379" s="1">
        <v>1</v>
      </c>
      <c r="K3379" s="1">
        <v>0</v>
      </c>
    </row>
    <row r="3380" spans="1:11" x14ac:dyDescent="0.2">
      <c r="A3380" s="1" t="s">
        <v>3042</v>
      </c>
      <c r="B3380" s="1" t="s">
        <v>3091</v>
      </c>
      <c r="C3380" s="1" t="str">
        <f>"120/70ZR-17/K-905"</f>
        <v>120/70ZR-17/K-905</v>
      </c>
      <c r="D3380" s="1" t="str">
        <f>"120/70ZR-17/K-905"</f>
        <v>120/70ZR-17/K-905</v>
      </c>
      <c r="E3380" s="1" t="s">
        <v>17</v>
      </c>
      <c r="F3380" s="1">
        <v>2</v>
      </c>
      <c r="G3380" s="1">
        <v>58618</v>
      </c>
      <c r="H3380" s="1">
        <v>117236</v>
      </c>
      <c r="I3380" s="1">
        <v>0</v>
      </c>
      <c r="J3380" s="1">
        <v>2</v>
      </c>
      <c r="K3380" s="1">
        <v>0</v>
      </c>
    </row>
    <row r="3381" spans="1:11" x14ac:dyDescent="0.2">
      <c r="A3381" s="1" t="s">
        <v>3042</v>
      </c>
      <c r="B3381" s="1" t="s">
        <v>3091</v>
      </c>
      <c r="C3381" s="1" t="str">
        <f>"180/55ZR-17/K-905"</f>
        <v>180/55ZR-17/K-905</v>
      </c>
      <c r="D3381" s="1" t="str">
        <f>"180/55ZR-17/K-905"</f>
        <v>180/55ZR-17/K-905</v>
      </c>
      <c r="E3381" s="1" t="s">
        <v>17</v>
      </c>
      <c r="F3381" s="1">
        <v>4</v>
      </c>
      <c r="G3381" s="1">
        <v>80598</v>
      </c>
      <c r="H3381" s="1">
        <v>322392</v>
      </c>
      <c r="I3381" s="1">
        <v>0</v>
      </c>
      <c r="J3381" s="1">
        <v>4</v>
      </c>
      <c r="K3381" s="1">
        <v>0</v>
      </c>
    </row>
    <row r="3382" spans="1:11" x14ac:dyDescent="0.2">
      <c r="A3382" s="1" t="s">
        <v>3042</v>
      </c>
      <c r="B3382" s="1" t="s">
        <v>3092</v>
      </c>
      <c r="C3382" s="1" t="str">
        <f>"110/70ZR-17/K-97"</f>
        <v>110/70ZR-17/K-97</v>
      </c>
      <c r="D3382" s="1" t="str">
        <f>"110/70ZR-17/K-97"</f>
        <v>110/70ZR-17/K-97</v>
      </c>
      <c r="E3382" s="1" t="s">
        <v>17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</row>
    <row r="3383" spans="1:11" x14ac:dyDescent="0.2">
      <c r="A3383" s="1" t="s">
        <v>3042</v>
      </c>
      <c r="B3383" s="1" t="s">
        <v>3092</v>
      </c>
      <c r="C3383" s="1" t="str">
        <f>"140/70ZR-17/K-97"</f>
        <v>140/70ZR-17/K-97</v>
      </c>
      <c r="D3383" s="1" t="str">
        <f>"140/70ZR-17/K-97"</f>
        <v>140/70ZR-17/K-97</v>
      </c>
      <c r="E3383" s="1" t="s">
        <v>17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</row>
    <row r="3384" spans="1:11" x14ac:dyDescent="0.2">
      <c r="A3384" s="1" t="s">
        <v>3042</v>
      </c>
      <c r="B3384" s="1" t="s">
        <v>3092</v>
      </c>
      <c r="C3384" s="1" t="str">
        <f>"150/60ZR-17/K-97"</f>
        <v>150/60ZR-17/K-97</v>
      </c>
      <c r="D3384" s="1" t="str">
        <f>"150/60ZR-17/K-97"</f>
        <v>150/60ZR-17/K-97</v>
      </c>
      <c r="E3384" s="1" t="s">
        <v>17</v>
      </c>
      <c r="F3384" s="1">
        <v>2</v>
      </c>
      <c r="G3384" s="1">
        <v>70257</v>
      </c>
      <c r="H3384" s="1">
        <v>140514</v>
      </c>
      <c r="I3384" s="1">
        <v>0</v>
      </c>
      <c r="J3384" s="1">
        <v>2</v>
      </c>
      <c r="K3384" s="1">
        <v>0</v>
      </c>
    </row>
    <row r="3385" spans="1:11" x14ac:dyDescent="0.2">
      <c r="A3385" s="1" t="s">
        <v>3042</v>
      </c>
      <c r="B3385" s="1" t="s">
        <v>3092</v>
      </c>
      <c r="C3385" s="1" t="str">
        <f>"160/60ZR-17/K-97"</f>
        <v>160/60ZR-17/K-97</v>
      </c>
      <c r="D3385" s="1" t="str">
        <f>"160/60ZR-17/K-97"</f>
        <v>160/60ZR-17/K-97</v>
      </c>
      <c r="E3385" s="1" t="s">
        <v>17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</row>
    <row r="3386" spans="1:11" x14ac:dyDescent="0.2">
      <c r="A3386" s="1" t="s">
        <v>3042</v>
      </c>
      <c r="B3386" s="1" t="s">
        <v>3093</v>
      </c>
      <c r="C3386" s="1" t="str">
        <f>"100/80-17TLMI"</f>
        <v>100/80-17TLMI</v>
      </c>
      <c r="D3386" s="1" t="str">
        <f>"100/80-17TLMI"</f>
        <v>100/80-17TLMI</v>
      </c>
      <c r="E3386" s="1" t="s">
        <v>17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</row>
    <row r="3387" spans="1:11" ht="30" x14ac:dyDescent="0.2">
      <c r="A3387" s="1" t="s">
        <v>3042</v>
      </c>
      <c r="B3387" s="1" t="s">
        <v>3094</v>
      </c>
      <c r="C3387" s="1" t="str">
        <f>"140/60X17TLMI"</f>
        <v>140/60X17TLMI</v>
      </c>
      <c r="D3387" s="1" t="str">
        <f>"140/60X17TLMI"</f>
        <v>140/60X17TLMI</v>
      </c>
      <c r="E3387" s="1" t="s">
        <v>17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</row>
    <row r="3388" spans="1:11" ht="30" x14ac:dyDescent="0.2">
      <c r="A3388" s="1" t="s">
        <v>3042</v>
      </c>
      <c r="B3388" s="1" t="s">
        <v>3094</v>
      </c>
      <c r="C3388" s="1" t="str">
        <f>"130/70X17TLMI"</f>
        <v>130/70X17TLMI</v>
      </c>
      <c r="D3388" s="1" t="str">
        <f>"130/70X17TLMI"</f>
        <v>130/70X17TLMI</v>
      </c>
      <c r="E3388" s="1" t="s">
        <v>17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</row>
    <row r="3389" spans="1:11" ht="30" x14ac:dyDescent="0.2">
      <c r="A3389" s="1" t="s">
        <v>3042</v>
      </c>
      <c r="B3389" s="1" t="s">
        <v>3095</v>
      </c>
      <c r="C3389" s="1" t="str">
        <f>"140/70*17TLMI"</f>
        <v>140/70*17TLMI</v>
      </c>
      <c r="D3389" s="1" t="str">
        <f>"140/70*17TLMI"</f>
        <v>140/70*17TLMI</v>
      </c>
      <c r="E3389" s="1" t="s">
        <v>17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</row>
    <row r="3390" spans="1:11" x14ac:dyDescent="0.2">
      <c r="A3390" s="1" t="s">
        <v>3042</v>
      </c>
      <c r="B3390" s="1" t="s">
        <v>3096</v>
      </c>
      <c r="C3390" s="1" t="str">
        <f>"66298910774575"</f>
        <v>66298910774575</v>
      </c>
      <c r="D3390" s="1" t="str">
        <f>"110/90-17TLMI"</f>
        <v>110/90-17TLMI</v>
      </c>
      <c r="E3390" s="1" t="s">
        <v>17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</row>
    <row r="3391" spans="1:11" x14ac:dyDescent="0.2">
      <c r="A3391" s="1" t="s">
        <v>3042</v>
      </c>
      <c r="B3391" s="1" t="s">
        <v>3097</v>
      </c>
      <c r="C3391" s="1" t="str">
        <f>"110/90X17-DSPT"</f>
        <v>110/90X17-DSPT</v>
      </c>
      <c r="D3391" s="1" t="str">
        <f>"110/90X17-DSPT"</f>
        <v>110/90X17-DSPT</v>
      </c>
      <c r="E3391" s="1" t="s">
        <v>17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</row>
    <row r="3392" spans="1:11" x14ac:dyDescent="0.2">
      <c r="A3392" s="1" t="s">
        <v>3042</v>
      </c>
      <c r="B3392" s="1" t="s">
        <v>3098</v>
      </c>
      <c r="C3392" s="1" t="str">
        <f>"67822289922581"</f>
        <v>67822289922581</v>
      </c>
      <c r="D3392" s="1" t="str">
        <f>"110/70X17-TLPT"</f>
        <v>110/70X17-TLPT</v>
      </c>
      <c r="E3392" s="1" t="s">
        <v>17</v>
      </c>
      <c r="F3392" s="1">
        <v>3</v>
      </c>
      <c r="G3392" s="1">
        <v>28689.08</v>
      </c>
      <c r="H3392" s="1">
        <v>86067</v>
      </c>
      <c r="I3392" s="1">
        <v>0</v>
      </c>
      <c r="J3392" s="1">
        <v>3</v>
      </c>
      <c r="K3392" s="1">
        <v>0</v>
      </c>
    </row>
    <row r="3393" spans="1:11" x14ac:dyDescent="0.2">
      <c r="A3393" s="1" t="s">
        <v>3042</v>
      </c>
      <c r="B3393" s="1" t="s">
        <v>3098</v>
      </c>
      <c r="C3393" s="1" t="str">
        <f>"67822289964723"</f>
        <v>67822289964723</v>
      </c>
      <c r="D3393" s="1" t="str">
        <f>"140/70X17-TLPT"</f>
        <v>140/70X17-TLPT</v>
      </c>
      <c r="E3393" s="1" t="s">
        <v>17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</row>
    <row r="3394" spans="1:11" x14ac:dyDescent="0.2">
      <c r="A3394" s="1" t="s">
        <v>3042</v>
      </c>
      <c r="B3394" s="1" t="s">
        <v>3099</v>
      </c>
      <c r="C3394" s="1" t="str">
        <f>"100/80X17-TLPT"</f>
        <v>100/80X17-TLPT</v>
      </c>
      <c r="D3394" s="1" t="str">
        <f>"100/80X17-TLPT"</f>
        <v>100/80X17-TLPT</v>
      </c>
      <c r="E3394" s="1" t="s">
        <v>17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</row>
    <row r="3395" spans="1:11" ht="30" x14ac:dyDescent="0.2">
      <c r="A3395" s="1" t="s">
        <v>3042</v>
      </c>
      <c r="B3395" s="1" t="s">
        <v>3100</v>
      </c>
      <c r="C3395" s="1" t="str">
        <f>"66298910818500"</f>
        <v>66298910818500</v>
      </c>
      <c r="D3395" s="1" t="str">
        <f>"120/70ZR17TLSK"</f>
        <v>120/70ZR17TLSK</v>
      </c>
      <c r="E3395" s="1" t="s">
        <v>17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</row>
    <row r="3396" spans="1:11" ht="30" x14ac:dyDescent="0.2">
      <c r="A3396" s="1" t="s">
        <v>3042</v>
      </c>
      <c r="B3396" s="1" t="s">
        <v>3101</v>
      </c>
      <c r="C3396" s="1" t="str">
        <f>"66298910860656"</f>
        <v>66298910860656</v>
      </c>
      <c r="D3396" s="1" t="str">
        <f>"160/60ZR17TLSK"</f>
        <v>160/60ZR17TLSK</v>
      </c>
      <c r="E3396" s="1" t="s">
        <v>17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</row>
    <row r="3397" spans="1:11" x14ac:dyDescent="0.2">
      <c r="A3397" s="1" t="s">
        <v>3042</v>
      </c>
      <c r="B3397" s="1" t="s">
        <v>3102</v>
      </c>
      <c r="C3397" s="1" t="str">
        <f>"66298910904618"</f>
        <v>66298910904618</v>
      </c>
      <c r="D3397" s="1" t="str">
        <f>"140/80-17TBSK"</f>
        <v>140/80-17TBSK</v>
      </c>
      <c r="E3397" s="1" t="s">
        <v>17</v>
      </c>
      <c r="F3397" s="1">
        <v>1</v>
      </c>
      <c r="G3397" s="1">
        <v>84659</v>
      </c>
      <c r="H3397" s="1">
        <v>84659</v>
      </c>
      <c r="I3397" s="1">
        <v>0</v>
      </c>
      <c r="J3397" s="1">
        <v>1</v>
      </c>
      <c r="K3397" s="1">
        <v>0</v>
      </c>
    </row>
    <row r="3398" spans="1:11" x14ac:dyDescent="0.2">
      <c r="A3398" s="1" t="s">
        <v>3042</v>
      </c>
      <c r="B3398" s="1" t="s">
        <v>3103</v>
      </c>
      <c r="C3398" s="1" t="str">
        <f>"120/80-17TLSR"</f>
        <v>120/80-17TLSR</v>
      </c>
      <c r="D3398" s="1" t="str">
        <f>"120/80-17TLSR"</f>
        <v>120/80-17TLSR</v>
      </c>
      <c r="E3398" s="1" t="s">
        <v>17</v>
      </c>
      <c r="F3398" s="1">
        <v>5</v>
      </c>
      <c r="G3398" s="1">
        <v>25143</v>
      </c>
      <c r="H3398" s="1">
        <v>125715</v>
      </c>
      <c r="I3398" s="1">
        <v>0</v>
      </c>
      <c r="J3398" s="1">
        <v>5</v>
      </c>
      <c r="K3398" s="1">
        <v>0</v>
      </c>
    </row>
    <row r="3399" spans="1:11" x14ac:dyDescent="0.2">
      <c r="A3399" s="1" t="s">
        <v>3042</v>
      </c>
      <c r="B3399" s="1" t="s">
        <v>3104</v>
      </c>
      <c r="C3399" s="1" t="str">
        <f>"110/90-17TLSR"</f>
        <v>110/90-17TLSR</v>
      </c>
      <c r="D3399" s="1" t="str">
        <f>"110/90-17TLSR"</f>
        <v>110/90-17TLSR</v>
      </c>
      <c r="E3399" s="1" t="s">
        <v>17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</row>
    <row r="3400" spans="1:11" x14ac:dyDescent="0.2">
      <c r="A3400" s="1" t="s">
        <v>3042</v>
      </c>
      <c r="B3400" s="1" t="s">
        <v>3105</v>
      </c>
      <c r="C3400" s="1" t="str">
        <f>"110/90X17TLSR"</f>
        <v>110/90X17TLSR</v>
      </c>
      <c r="D3400" s="1" t="str">
        <f>"110/90X17TLSR"</f>
        <v>110/90X17TLSR</v>
      </c>
      <c r="E3400" s="1" t="s">
        <v>17</v>
      </c>
      <c r="F3400" s="1">
        <v>9</v>
      </c>
      <c r="G3400" s="1">
        <v>24357</v>
      </c>
      <c r="H3400" s="1">
        <v>219213</v>
      </c>
      <c r="I3400" s="1">
        <v>0</v>
      </c>
      <c r="J3400" s="1">
        <v>9</v>
      </c>
      <c r="K3400" s="1">
        <v>0</v>
      </c>
    </row>
    <row r="3401" spans="1:11" x14ac:dyDescent="0.2">
      <c r="A3401" s="1" t="s">
        <v>3042</v>
      </c>
      <c r="B3401" s="1" t="s">
        <v>3106</v>
      </c>
      <c r="C3401" s="1" t="str">
        <f>"100/80-17TLSR"</f>
        <v>100/80-17TLSR</v>
      </c>
      <c r="D3401" s="1" t="str">
        <f>"100/80-17TLSR"</f>
        <v>100/80-17TLSR</v>
      </c>
      <c r="E3401" s="1" t="s">
        <v>17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</row>
    <row r="3402" spans="1:11" x14ac:dyDescent="0.2">
      <c r="A3402" s="1" t="s">
        <v>3042</v>
      </c>
      <c r="B3402" s="1" t="s">
        <v>3107</v>
      </c>
      <c r="C3402" s="1" t="str">
        <f>"140/70-17TLSR"</f>
        <v>140/70-17TLSR</v>
      </c>
      <c r="D3402" s="1" t="str">
        <f>"140/70-17TLSR"</f>
        <v>140/70-17TLSR</v>
      </c>
      <c r="E3402" s="1" t="s">
        <v>17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</row>
    <row r="3403" spans="1:11" x14ac:dyDescent="0.2">
      <c r="A3403" s="1" t="s">
        <v>3042</v>
      </c>
      <c r="B3403" s="1" t="s">
        <v>3108</v>
      </c>
      <c r="C3403" s="1" t="str">
        <f>"66298910949130"</f>
        <v>66298910949130</v>
      </c>
      <c r="D3403" s="1" t="str">
        <f>"130/70-17TLSR"</f>
        <v>130/70-17TLSR</v>
      </c>
      <c r="E3403" s="1" t="s">
        <v>17</v>
      </c>
      <c r="F3403" s="1">
        <v>1</v>
      </c>
      <c r="G3403" s="1">
        <v>26714</v>
      </c>
      <c r="H3403" s="1">
        <v>26714</v>
      </c>
      <c r="I3403" s="1">
        <v>0</v>
      </c>
      <c r="J3403" s="1">
        <v>1</v>
      </c>
      <c r="K3403" s="1">
        <v>0</v>
      </c>
    </row>
    <row r="3404" spans="1:11" x14ac:dyDescent="0.2">
      <c r="A3404" s="1" t="s">
        <v>3042</v>
      </c>
      <c r="B3404" s="1" t="s">
        <v>3108</v>
      </c>
      <c r="C3404" s="1" t="str">
        <f>"140/70X17TLSR"</f>
        <v>140/70X17TLSR</v>
      </c>
      <c r="D3404" s="1" t="str">
        <f>"140/70X17TLSR"</f>
        <v>140/70X17TLSR</v>
      </c>
      <c r="E3404" s="1" t="s">
        <v>17</v>
      </c>
      <c r="F3404" s="1">
        <v>9</v>
      </c>
      <c r="G3404" s="1">
        <v>29071</v>
      </c>
      <c r="H3404" s="1">
        <v>261639</v>
      </c>
      <c r="I3404" s="1">
        <v>0</v>
      </c>
      <c r="J3404" s="1">
        <v>9</v>
      </c>
      <c r="K3404" s="1">
        <v>0</v>
      </c>
    </row>
    <row r="3405" spans="1:11" x14ac:dyDescent="0.2">
      <c r="A3405" s="1" t="s">
        <v>3042</v>
      </c>
      <c r="B3405" s="1" t="s">
        <v>3109</v>
      </c>
      <c r="C3405" s="1" t="str">
        <f>"90/90X17TLSR"</f>
        <v>90/90X17TLSR</v>
      </c>
      <c r="D3405" s="1" t="str">
        <f>"90/90X17TLSR"</f>
        <v>90/90X17TLSR</v>
      </c>
      <c r="E3405" s="1" t="s">
        <v>17</v>
      </c>
      <c r="F3405" s="1">
        <v>5</v>
      </c>
      <c r="G3405" s="1">
        <v>18950</v>
      </c>
      <c r="H3405" s="1">
        <v>94750</v>
      </c>
      <c r="I3405" s="1">
        <v>0</v>
      </c>
      <c r="J3405" s="1">
        <v>5</v>
      </c>
      <c r="K3405" s="1">
        <v>0</v>
      </c>
    </row>
    <row r="3406" spans="1:11" x14ac:dyDescent="0.2">
      <c r="A3406" s="1" t="s">
        <v>3042</v>
      </c>
      <c r="B3406" s="1" t="s">
        <v>3110</v>
      </c>
      <c r="C3406" s="1" t="str">
        <f>"67822290588541"</f>
        <v>67822290588541</v>
      </c>
      <c r="D3406" s="1" t="str">
        <f>"140/70X17-TLWA"</f>
        <v>140/70X17-TLWA</v>
      </c>
      <c r="E3406" s="1" t="s">
        <v>17</v>
      </c>
      <c r="F3406" s="1">
        <v>1</v>
      </c>
      <c r="G3406" s="1">
        <v>30247.06</v>
      </c>
      <c r="H3406" s="1">
        <v>30247</v>
      </c>
      <c r="I3406" s="1">
        <v>1</v>
      </c>
      <c r="J3406" s="1">
        <v>0</v>
      </c>
      <c r="K3406" s="1">
        <v>0</v>
      </c>
    </row>
    <row r="3407" spans="1:11" x14ac:dyDescent="0.2">
      <c r="A3407" s="1" t="s">
        <v>3042</v>
      </c>
      <c r="B3407" s="1" t="s">
        <v>3111</v>
      </c>
      <c r="C3407" s="1" t="str">
        <f>"67822290528351"</f>
        <v>67822290528351</v>
      </c>
      <c r="D3407" s="1" t="str">
        <f>"130/70X17-TLWA"</f>
        <v>130/70X17-TLWA</v>
      </c>
      <c r="E3407" s="1" t="s">
        <v>17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</row>
    <row r="3408" spans="1:11" x14ac:dyDescent="0.2">
      <c r="A3408" s="1" t="s">
        <v>3042</v>
      </c>
      <c r="B3408" s="1" t="s">
        <v>3112</v>
      </c>
      <c r="C3408" s="1" t="str">
        <f>"67822290224019"</f>
        <v>67822290224019</v>
      </c>
      <c r="D3408" s="1" t="str">
        <f>"110/80X17-TLWA"</f>
        <v>110/80X17-TLWA</v>
      </c>
      <c r="E3408" s="1" t="s">
        <v>17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</row>
    <row r="3409" spans="1:11" x14ac:dyDescent="0.2">
      <c r="A3409" s="1" t="s">
        <v>3042</v>
      </c>
      <c r="B3409" s="1" t="s">
        <v>3113</v>
      </c>
      <c r="C3409" s="1" t="str">
        <f>"300-18TLCEAT"</f>
        <v>300-18TLCEAT</v>
      </c>
      <c r="D3409" s="1" t="str">
        <f>"300-18TLCEAT"</f>
        <v>300-18TLCEAT</v>
      </c>
      <c r="E3409" s="1" t="s">
        <v>17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</row>
    <row r="3410" spans="1:11" x14ac:dyDescent="0.2">
      <c r="A3410" s="1" t="s">
        <v>3042</v>
      </c>
      <c r="B3410" s="1" t="s">
        <v>3114</v>
      </c>
      <c r="C3410" s="1" t="str">
        <f>"66298910986803"</f>
        <v>66298910986803</v>
      </c>
      <c r="D3410" s="1" t="str">
        <f>"275-18TTCEAT"</f>
        <v>275-18TTCEAT</v>
      </c>
      <c r="E3410" s="1" t="s">
        <v>17</v>
      </c>
      <c r="F3410" s="1">
        <v>1</v>
      </c>
      <c r="G3410" s="1">
        <v>15834</v>
      </c>
      <c r="H3410" s="1">
        <v>15834</v>
      </c>
      <c r="I3410" s="1">
        <v>0</v>
      </c>
      <c r="J3410" s="1">
        <v>1</v>
      </c>
      <c r="K3410" s="1">
        <v>0</v>
      </c>
    </row>
    <row r="3411" spans="1:11" x14ac:dyDescent="0.2">
      <c r="A3411" s="1" t="s">
        <v>3042</v>
      </c>
      <c r="B3411" s="1" t="s">
        <v>3115</v>
      </c>
      <c r="C3411" s="1" t="str">
        <f>"90/90-18TLCEAT"</f>
        <v>90/90-18TLCEAT</v>
      </c>
      <c r="D3411" s="1" t="str">
        <f>"90/90-18TLCEAT"</f>
        <v>90/90-18TLCEAT</v>
      </c>
      <c r="E3411" s="1" t="s">
        <v>17</v>
      </c>
      <c r="F3411" s="1">
        <v>1</v>
      </c>
      <c r="G3411" s="1">
        <v>19900</v>
      </c>
      <c r="H3411" s="1">
        <v>19900</v>
      </c>
      <c r="I3411" s="1">
        <v>0</v>
      </c>
      <c r="J3411" s="1">
        <v>1</v>
      </c>
      <c r="K3411" s="1">
        <v>0</v>
      </c>
    </row>
    <row r="3412" spans="1:11" x14ac:dyDescent="0.2">
      <c r="A3412" s="1" t="s">
        <v>3042</v>
      </c>
      <c r="B3412" s="1" t="s">
        <v>3116</v>
      </c>
      <c r="C3412" s="1" t="str">
        <f>"66298911026113"</f>
        <v>66298911026113</v>
      </c>
      <c r="D3412" s="1" t="str">
        <f>"110/90-18TLCEAT"</f>
        <v>110/90-18TLCEAT</v>
      </c>
      <c r="E3412" s="1" t="s">
        <v>17</v>
      </c>
      <c r="F3412" s="1">
        <v>2</v>
      </c>
      <c r="G3412" s="1">
        <v>32500</v>
      </c>
      <c r="H3412" s="1">
        <v>65000</v>
      </c>
      <c r="I3412" s="1">
        <v>0</v>
      </c>
      <c r="J3412" s="1">
        <v>2</v>
      </c>
      <c r="K3412" s="1">
        <v>0</v>
      </c>
    </row>
    <row r="3413" spans="1:11" x14ac:dyDescent="0.2">
      <c r="A3413" s="1" t="s">
        <v>3042</v>
      </c>
      <c r="B3413" s="1" t="s">
        <v>3117</v>
      </c>
      <c r="C3413" s="1" t="str">
        <f>"110/90-18TLCHY"</f>
        <v>110/90-18TLCHY</v>
      </c>
      <c r="D3413" s="1" t="str">
        <f>"110/90-18TLCHY"</f>
        <v>110/90-18TLCHY</v>
      </c>
      <c r="E3413" s="1" t="s">
        <v>17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</row>
    <row r="3414" spans="1:11" x14ac:dyDescent="0.2">
      <c r="A3414" s="1" t="s">
        <v>3042</v>
      </c>
      <c r="B3414" s="1" t="s">
        <v>3118</v>
      </c>
      <c r="C3414" s="1" t="str">
        <f>"90/90-18TLCST"</f>
        <v>90/90-18TLCST</v>
      </c>
      <c r="D3414" s="1" t="str">
        <f>"90/90-18TLCST"</f>
        <v>90/90-18TLCST</v>
      </c>
      <c r="E3414" s="1" t="s">
        <v>17</v>
      </c>
      <c r="F3414" s="1">
        <v>1</v>
      </c>
      <c r="G3414" s="1">
        <v>18973.11</v>
      </c>
      <c r="H3414" s="1">
        <v>18973</v>
      </c>
      <c r="I3414" s="1">
        <v>0</v>
      </c>
      <c r="J3414" s="1">
        <v>1</v>
      </c>
      <c r="K3414" s="1">
        <v>0</v>
      </c>
    </row>
    <row r="3415" spans="1:11" x14ac:dyDescent="0.2">
      <c r="A3415" s="1" t="s">
        <v>3042</v>
      </c>
      <c r="B3415" s="1" t="s">
        <v>3119</v>
      </c>
      <c r="C3415" s="1" t="str">
        <f>"80/100X18DURO"</f>
        <v>80/100X18DURO</v>
      </c>
      <c r="D3415" s="1" t="str">
        <f>"80/100X18DURO"</f>
        <v>80/100X18DURO</v>
      </c>
      <c r="E3415" s="1" t="s">
        <v>17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</row>
    <row r="3416" spans="1:11" x14ac:dyDescent="0.2">
      <c r="A3416" s="1" t="s">
        <v>3042</v>
      </c>
      <c r="B3416" s="1" t="s">
        <v>3120</v>
      </c>
      <c r="C3416" s="1" t="str">
        <f>"275XDURO"</f>
        <v>275XDURO</v>
      </c>
      <c r="D3416" s="1" t="str">
        <f>"275X18DURO"</f>
        <v>275X18DURO</v>
      </c>
      <c r="E3416" s="1" t="s">
        <v>17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</row>
    <row r="3417" spans="1:11" x14ac:dyDescent="0.2">
      <c r="A3417" s="1" t="s">
        <v>3042</v>
      </c>
      <c r="B3417" s="1" t="s">
        <v>3121</v>
      </c>
      <c r="C3417" s="1" t="str">
        <f>"66298911066044"</f>
        <v>66298911066044</v>
      </c>
      <c r="D3417" s="1" t="str">
        <f>"110/90-18TLDURO"</f>
        <v>110/90-18TLDURO</v>
      </c>
      <c r="E3417" s="1" t="s">
        <v>17</v>
      </c>
      <c r="F3417" s="1">
        <v>1</v>
      </c>
      <c r="G3417" s="1">
        <v>35343</v>
      </c>
      <c r="H3417" s="1">
        <v>35343</v>
      </c>
      <c r="I3417" s="1">
        <v>0</v>
      </c>
      <c r="J3417" s="1">
        <v>1</v>
      </c>
      <c r="K3417" s="1">
        <v>0</v>
      </c>
    </row>
    <row r="3418" spans="1:11" ht="30" x14ac:dyDescent="0.2">
      <c r="A3418" s="1" t="s">
        <v>3042</v>
      </c>
      <c r="B3418" s="1" t="s">
        <v>3122</v>
      </c>
      <c r="C3418" s="1" t="str">
        <f>"90/90-18TLMI"</f>
        <v>90/90-18TLMI</v>
      </c>
      <c r="D3418" s="1" t="str">
        <f>"90/90-18TLMI"</f>
        <v>90/90-18TLMI</v>
      </c>
      <c r="E3418" s="1" t="s">
        <v>17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</row>
    <row r="3419" spans="1:11" ht="30" x14ac:dyDescent="0.2">
      <c r="A3419" s="1" t="s">
        <v>3042</v>
      </c>
      <c r="B3419" s="1" t="s">
        <v>3123</v>
      </c>
      <c r="C3419" s="1" t="str">
        <f>"100/90-18TLMI"</f>
        <v>100/90-18TLMI</v>
      </c>
      <c r="D3419" s="1" t="str">
        <f>"100/90-18TLMI"</f>
        <v>100/90-18TLMI</v>
      </c>
      <c r="E3419" s="1" t="s">
        <v>17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</row>
    <row r="3420" spans="1:11" x14ac:dyDescent="0.2">
      <c r="A3420" s="1" t="s">
        <v>3042</v>
      </c>
      <c r="B3420" s="1" t="s">
        <v>3124</v>
      </c>
      <c r="C3420" s="1" t="str">
        <f>"80/100X18-TLPT"</f>
        <v>80/100X18-TLPT</v>
      </c>
      <c r="D3420" s="1" t="str">
        <f>"80/100X18-TLPT"</f>
        <v>80/100X18-TLPT</v>
      </c>
      <c r="E3420" s="1" t="s">
        <v>17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</row>
    <row r="3421" spans="1:11" x14ac:dyDescent="0.2">
      <c r="A3421" s="1" t="s">
        <v>3042</v>
      </c>
      <c r="B3421" s="1" t="s">
        <v>3124</v>
      </c>
      <c r="C3421" s="1" t="str">
        <f>"90/90-18-TLPT"</f>
        <v>90/90-18-TLPT</v>
      </c>
      <c r="D3421" s="1" t="str">
        <f>"90/90-18-TLPT"</f>
        <v>90/90-18-TLPT</v>
      </c>
      <c r="E3421" s="1" t="s">
        <v>17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</row>
    <row r="3422" spans="1:11" x14ac:dyDescent="0.2">
      <c r="A3422" s="1" t="s">
        <v>3042</v>
      </c>
      <c r="B3422" s="1" t="s">
        <v>3125</v>
      </c>
      <c r="C3422" s="1" t="str">
        <f>"90/90*18-TLPT"</f>
        <v>90/90*18-TLPT</v>
      </c>
      <c r="D3422" s="1" t="str">
        <f>"90/90*18-TLPT"</f>
        <v>90/90*18-TLPT</v>
      </c>
      <c r="E3422" s="1" t="s">
        <v>17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</row>
    <row r="3423" spans="1:11" x14ac:dyDescent="0.2">
      <c r="A3423" s="1" t="s">
        <v>3042</v>
      </c>
      <c r="B3423" s="1" t="s">
        <v>3125</v>
      </c>
      <c r="C3423" s="1" t="str">
        <f>"80/100-18-TLPT"</f>
        <v>80/100-18-TLPT</v>
      </c>
      <c r="D3423" s="1" t="str">
        <f>"80/100-18-TLPT"</f>
        <v>80/100-18-TLPT</v>
      </c>
      <c r="E3423" s="1" t="s">
        <v>17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</row>
    <row r="3424" spans="1:11" x14ac:dyDescent="0.2">
      <c r="A3424" s="1" t="s">
        <v>3042</v>
      </c>
      <c r="B3424" s="1" t="s">
        <v>3126</v>
      </c>
      <c r="C3424" s="1" t="str">
        <f>"67822289958555"</f>
        <v>67822289958555</v>
      </c>
      <c r="D3424" s="1" t="str">
        <f>"100/90-18-TLPT"</f>
        <v>100/90-18-TLPT</v>
      </c>
      <c r="E3424" s="1" t="s">
        <v>17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</row>
    <row r="3425" spans="1:11" x14ac:dyDescent="0.2">
      <c r="A3425" s="1" t="s">
        <v>3042</v>
      </c>
      <c r="B3425" s="1" t="s">
        <v>3126</v>
      </c>
      <c r="C3425" s="1" t="str">
        <f>"67822289978343"</f>
        <v>67822289978343</v>
      </c>
      <c r="D3425" s="1" t="str">
        <f>"90/90X18-TLPT"</f>
        <v>90/90X18-TLPT</v>
      </c>
      <c r="E3425" s="1" t="s">
        <v>17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</row>
    <row r="3426" spans="1:11" x14ac:dyDescent="0.2">
      <c r="A3426" s="1" t="s">
        <v>3042</v>
      </c>
      <c r="B3426" s="1" t="s">
        <v>3127</v>
      </c>
      <c r="C3426" s="1" t="str">
        <f>"275X18SR"</f>
        <v>275X18SR</v>
      </c>
      <c r="D3426" s="1" t="str">
        <f>"275X18SR"</f>
        <v>275X18SR</v>
      </c>
      <c r="E3426" s="1" t="s">
        <v>17</v>
      </c>
      <c r="F3426" s="1">
        <v>1</v>
      </c>
      <c r="G3426" s="1">
        <v>19059</v>
      </c>
      <c r="H3426" s="1">
        <v>19059</v>
      </c>
      <c r="I3426" s="1">
        <v>0</v>
      </c>
      <c r="J3426" s="1">
        <v>1</v>
      </c>
      <c r="K3426" s="1">
        <v>0</v>
      </c>
    </row>
    <row r="3427" spans="1:11" x14ac:dyDescent="0.2">
      <c r="A3427" s="1" t="s">
        <v>3042</v>
      </c>
      <c r="B3427" s="1" t="s">
        <v>3127</v>
      </c>
      <c r="C3427" s="1" t="str">
        <f>"300*18SR"</f>
        <v>300*18SR</v>
      </c>
      <c r="D3427" s="1" t="str">
        <f>"300*18SR"</f>
        <v>300*18SR</v>
      </c>
      <c r="E3427" s="1" t="s">
        <v>17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</row>
    <row r="3428" spans="1:11" x14ac:dyDescent="0.2">
      <c r="A3428" s="1" t="s">
        <v>3042</v>
      </c>
      <c r="B3428" s="1" t="s">
        <v>3128</v>
      </c>
      <c r="C3428" s="1" t="str">
        <f>"100/90-18TLSR"</f>
        <v>100/90-18TLSR</v>
      </c>
      <c r="D3428" s="1" t="str">
        <f>"100/90-18TLSR"</f>
        <v>100/90-18TLSR</v>
      </c>
      <c r="E3428" s="1" t="s">
        <v>17</v>
      </c>
      <c r="F3428" s="1">
        <v>4</v>
      </c>
      <c r="G3428" s="1">
        <v>25882</v>
      </c>
      <c r="H3428" s="1">
        <v>103528</v>
      </c>
      <c r="I3428" s="1">
        <v>0</v>
      </c>
      <c r="J3428" s="1">
        <v>4</v>
      </c>
      <c r="K3428" s="1">
        <v>0</v>
      </c>
    </row>
    <row r="3429" spans="1:11" x14ac:dyDescent="0.2">
      <c r="A3429" s="1" t="s">
        <v>3042</v>
      </c>
      <c r="B3429" s="1" t="s">
        <v>3129</v>
      </c>
      <c r="C3429" s="1" t="str">
        <f>"90/90-18TLSR"</f>
        <v>90/90-18TLSR</v>
      </c>
      <c r="D3429" s="1" t="str">
        <f>"90/90-18TLSR"</f>
        <v>90/90-18TLSR</v>
      </c>
      <c r="E3429" s="1" t="s">
        <v>17</v>
      </c>
      <c r="F3429" s="1">
        <v>9</v>
      </c>
      <c r="G3429" s="1">
        <v>20429</v>
      </c>
      <c r="H3429" s="1">
        <v>183861</v>
      </c>
      <c r="I3429" s="1">
        <v>0</v>
      </c>
      <c r="J3429" s="1">
        <v>9</v>
      </c>
      <c r="K3429" s="1">
        <v>0</v>
      </c>
    </row>
    <row r="3430" spans="1:11" x14ac:dyDescent="0.2">
      <c r="A3430" s="1" t="s">
        <v>3042</v>
      </c>
      <c r="B3430" s="1" t="s">
        <v>3130</v>
      </c>
      <c r="C3430" s="1" t="str">
        <f>"300X18SR"</f>
        <v>300X18SR</v>
      </c>
      <c r="D3430" s="1" t="str">
        <f>"300X18SR"</f>
        <v>300X18SR</v>
      </c>
      <c r="E3430" s="1" t="s">
        <v>17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</row>
    <row r="3431" spans="1:11" x14ac:dyDescent="0.2">
      <c r="A3431" s="1" t="s">
        <v>3042</v>
      </c>
      <c r="B3431" s="1" t="s">
        <v>3131</v>
      </c>
      <c r="C3431" s="1" t="str">
        <f>"300-18SR"</f>
        <v>300-18SR</v>
      </c>
      <c r="D3431" s="1" t="str">
        <f>"300-18SR"</f>
        <v>300-18SR</v>
      </c>
      <c r="E3431" s="1" t="s">
        <v>17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</row>
    <row r="3432" spans="1:11" x14ac:dyDescent="0.2">
      <c r="A3432" s="1" t="s">
        <v>3042</v>
      </c>
      <c r="B3432" s="1" t="s">
        <v>3132</v>
      </c>
      <c r="C3432" s="1" t="str">
        <f>"67822290593427"</f>
        <v>67822290593427</v>
      </c>
      <c r="D3432" s="1" t="str">
        <f>"90/90X18-TLWA"</f>
        <v>90/90X18-TLWA</v>
      </c>
      <c r="E3432" s="1" t="s">
        <v>17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</row>
    <row r="3433" spans="1:11" x14ac:dyDescent="0.2">
      <c r="A3433" s="1" t="s">
        <v>3042</v>
      </c>
      <c r="B3433" s="1" t="s">
        <v>3133</v>
      </c>
      <c r="C3433" s="1" t="str">
        <f>"90/90-19TTCEAT"</f>
        <v>90/90-19TTCEAT</v>
      </c>
      <c r="D3433" s="1" t="str">
        <f>"90/90-19TTCEAT"</f>
        <v>90/90-19TTCEAT</v>
      </c>
      <c r="E3433" s="1" t="s">
        <v>17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</row>
    <row r="3434" spans="1:11" x14ac:dyDescent="0.2">
      <c r="A3434" s="1" t="s">
        <v>3042</v>
      </c>
      <c r="B3434" s="1" t="s">
        <v>3134</v>
      </c>
      <c r="C3434" s="1" t="str">
        <f>"90/90-19TTCHY"</f>
        <v>90/90-19TTCHY</v>
      </c>
      <c r="D3434" s="1" t="str">
        <f>"90/90-19TTCHY"</f>
        <v>90/90-19TTCHY</v>
      </c>
      <c r="E3434" s="1" t="s">
        <v>17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</row>
    <row r="3435" spans="1:11" x14ac:dyDescent="0.2">
      <c r="A3435" s="1" t="s">
        <v>3042</v>
      </c>
      <c r="B3435" s="1" t="s">
        <v>3135</v>
      </c>
      <c r="C3435" s="1" t="str">
        <f>"90/100*14MX"</f>
        <v>90/100*14MX</v>
      </c>
      <c r="D3435" s="1" t="str">
        <f>"90/100*14MX"</f>
        <v>90/100*14MX</v>
      </c>
      <c r="E3435" s="1" t="s">
        <v>17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</row>
    <row r="3436" spans="1:11" x14ac:dyDescent="0.2">
      <c r="A3436" s="1" t="s">
        <v>3042</v>
      </c>
      <c r="B3436" s="1" t="s">
        <v>3136</v>
      </c>
      <c r="C3436" s="1" t="str">
        <f>"300-16CR"</f>
        <v>300-16CR</v>
      </c>
      <c r="D3436" s="1" t="str">
        <f>"300-16CR"</f>
        <v>300-16CR</v>
      </c>
      <c r="E3436" s="1" t="s">
        <v>17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</row>
    <row r="3437" spans="1:11" x14ac:dyDescent="0.2">
      <c r="A3437" s="1" t="s">
        <v>3042</v>
      </c>
      <c r="B3437" s="1" t="s">
        <v>3137</v>
      </c>
      <c r="C3437" s="1" t="str">
        <f>"66298911107621"</f>
        <v>66298911107621</v>
      </c>
      <c r="D3437" s="1" t="str">
        <f>"410X18CRDURO"</f>
        <v>410X18CRDURO</v>
      </c>
      <c r="E3437" s="1" t="s">
        <v>17</v>
      </c>
      <c r="F3437" s="1">
        <v>1</v>
      </c>
      <c r="G3437" s="1">
        <v>20790</v>
      </c>
      <c r="H3437" s="1">
        <v>20790</v>
      </c>
      <c r="I3437" s="1">
        <v>0</v>
      </c>
      <c r="J3437" s="1">
        <v>1</v>
      </c>
      <c r="K3437" s="1">
        <v>0</v>
      </c>
    </row>
    <row r="3438" spans="1:11" x14ac:dyDescent="0.2">
      <c r="A3438" s="1" t="s">
        <v>3042</v>
      </c>
      <c r="B3438" s="1" t="s">
        <v>3138</v>
      </c>
      <c r="C3438" s="1" t="str">
        <f>"66298911150735"</f>
        <v>66298911150735</v>
      </c>
      <c r="D3438" s="1" t="str">
        <f>"100/90X19CRSK"</f>
        <v>100/90X19CRSK</v>
      </c>
      <c r="E3438" s="1" t="s">
        <v>17</v>
      </c>
      <c r="F3438" s="1">
        <v>1</v>
      </c>
      <c r="G3438" s="1">
        <v>38230</v>
      </c>
      <c r="H3438" s="1">
        <v>38230</v>
      </c>
      <c r="I3438" s="1">
        <v>0</v>
      </c>
      <c r="J3438" s="1">
        <v>1</v>
      </c>
      <c r="K3438" s="1">
        <v>0</v>
      </c>
    </row>
    <row r="3439" spans="1:11" x14ac:dyDescent="0.2">
      <c r="A3439" s="1" t="s">
        <v>3042</v>
      </c>
      <c r="B3439" s="1" t="s">
        <v>3139</v>
      </c>
      <c r="C3439" s="1" t="str">
        <f>"66298911201249"</f>
        <v>66298911201249</v>
      </c>
      <c r="D3439" s="1" t="str">
        <f>"90/100X19CRSR"</f>
        <v>90/100X19CRSR</v>
      </c>
      <c r="E3439" s="1" t="s">
        <v>17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</row>
    <row r="3440" spans="1:11" x14ac:dyDescent="0.2">
      <c r="A3440" s="1" t="s">
        <v>3042</v>
      </c>
      <c r="B3440" s="1" t="s">
        <v>3140</v>
      </c>
      <c r="C3440" s="1" t="str">
        <f>"275X18DEDURO"</f>
        <v>275X18DEDURO</v>
      </c>
      <c r="D3440" s="1" t="str">
        <f>"275X18DEDURO"</f>
        <v>275X18DEDURO</v>
      </c>
      <c r="E3440" s="1" t="s">
        <v>17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</row>
    <row r="3441" spans="1:11" x14ac:dyDescent="0.2">
      <c r="A3441" s="1" t="s">
        <v>3042</v>
      </c>
      <c r="B3441" s="1" t="s">
        <v>3141</v>
      </c>
      <c r="C3441" s="1" t="str">
        <f>"110/80-17TLDURO"</f>
        <v>110/80-17TLDURO</v>
      </c>
      <c r="D3441" s="1" t="str">
        <f>"110/80-17TLDURO"</f>
        <v>110/80-17TLDURO</v>
      </c>
      <c r="E3441" s="1" t="s">
        <v>17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</row>
    <row r="3442" spans="1:11" ht="30" x14ac:dyDescent="0.2">
      <c r="A3442" s="1" t="s">
        <v>3042</v>
      </c>
      <c r="B3442" s="1" t="s">
        <v>3142</v>
      </c>
      <c r="C3442" s="1" t="str">
        <f>"66298911243901"</f>
        <v>66298911243901</v>
      </c>
      <c r="D3442" s="1" t="str">
        <f>"350X10DSSR"</f>
        <v>350X10DSSR</v>
      </c>
      <c r="E3442" s="1" t="s">
        <v>17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</row>
    <row r="3443" spans="1:11" x14ac:dyDescent="0.2">
      <c r="A3443" s="1" t="s">
        <v>3042</v>
      </c>
      <c r="B3443" s="1" t="s">
        <v>3143</v>
      </c>
      <c r="C3443" s="1" t="str">
        <f>"120/70ZR-17/K-66"</f>
        <v>120/70ZR-17/K-66</v>
      </c>
      <c r="D3443" s="1" t="str">
        <f>"120/70ZR-17/K-66"</f>
        <v>120/70ZR-17/K-66</v>
      </c>
      <c r="E3443" s="1" t="s">
        <v>17</v>
      </c>
      <c r="F3443" s="1">
        <v>2</v>
      </c>
      <c r="G3443" s="1">
        <v>62437</v>
      </c>
      <c r="H3443" s="1">
        <v>124874</v>
      </c>
      <c r="I3443" s="1">
        <v>0</v>
      </c>
      <c r="J3443" s="1">
        <v>2</v>
      </c>
      <c r="K3443" s="1">
        <v>0</v>
      </c>
    </row>
    <row r="3444" spans="1:11" x14ac:dyDescent="0.2">
      <c r="A3444" s="1" t="s">
        <v>3042</v>
      </c>
      <c r="B3444" s="1" t="s">
        <v>3143</v>
      </c>
      <c r="C3444" s="1" t="str">
        <f>"150/70R-17/K-66"</f>
        <v>150/70R-17/K-66</v>
      </c>
      <c r="D3444" s="1" t="str">
        <f>"150/70R-17/K-66"</f>
        <v>150/70R-17/K-66</v>
      </c>
      <c r="E3444" s="1" t="s">
        <v>17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</row>
    <row r="3445" spans="1:11" x14ac:dyDescent="0.2">
      <c r="A3445" s="1" t="s">
        <v>3042</v>
      </c>
      <c r="B3445" s="1" t="s">
        <v>3143</v>
      </c>
      <c r="C3445" s="1" t="str">
        <f>"160/60R-17/K-66"</f>
        <v>160/60R-17/K-66</v>
      </c>
      <c r="D3445" s="1" t="str">
        <f>"160/60R-17/K-66"</f>
        <v>160/60R-17/K-66</v>
      </c>
      <c r="E3445" s="1" t="s">
        <v>17</v>
      </c>
      <c r="F3445" s="1">
        <v>4</v>
      </c>
      <c r="G3445" s="1">
        <v>79454</v>
      </c>
      <c r="H3445" s="1">
        <v>317816</v>
      </c>
      <c r="I3445" s="1">
        <v>0</v>
      </c>
      <c r="J3445" s="1">
        <v>4</v>
      </c>
      <c r="K3445" s="1">
        <v>0</v>
      </c>
    </row>
    <row r="3446" spans="1:11" ht="30" x14ac:dyDescent="0.2">
      <c r="A3446" s="1" t="s">
        <v>3042</v>
      </c>
      <c r="B3446" s="1" t="s">
        <v>3144</v>
      </c>
      <c r="C3446" s="1" t="str">
        <f>"67822290066342"</f>
        <v>67822290066342</v>
      </c>
      <c r="D3446" s="1" t="str">
        <f>"150/70-17-DSPT"</f>
        <v>150/70-17-DSPT</v>
      </c>
      <c r="E3446" s="1" t="s">
        <v>17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</row>
    <row r="3447" spans="1:11" x14ac:dyDescent="0.2">
      <c r="A3447" s="1" t="s">
        <v>3042</v>
      </c>
      <c r="B3447" s="1" t="s">
        <v>3145</v>
      </c>
      <c r="C3447" s="1" t="str">
        <f>"66298911288147"</f>
        <v>66298911288147</v>
      </c>
      <c r="D3447" s="1" t="str">
        <f>"90/90-17TLSR"</f>
        <v>90/90-17TLSR</v>
      </c>
      <c r="E3447" s="1" t="s">
        <v>17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</row>
    <row r="3448" spans="1:11" x14ac:dyDescent="0.2">
      <c r="A3448" s="1" t="s">
        <v>3042</v>
      </c>
      <c r="B3448" s="1" t="s">
        <v>3146</v>
      </c>
      <c r="C3448" s="1" t="str">
        <f>"150/70R-18/K-66"</f>
        <v>150/70R-18/K-66</v>
      </c>
      <c r="D3448" s="1" t="str">
        <f>"150/70R-18/K-66"</f>
        <v>150/70R-18/K-66</v>
      </c>
      <c r="E3448" s="1" t="s">
        <v>17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</row>
    <row r="3449" spans="1:11" x14ac:dyDescent="0.2">
      <c r="A3449" s="1" t="s">
        <v>3042</v>
      </c>
      <c r="B3449" s="1" t="s">
        <v>3147</v>
      </c>
      <c r="C3449" s="1" t="str">
        <f>"66298911330781"</f>
        <v>66298911330781</v>
      </c>
      <c r="D3449" s="1" t="str">
        <f>"150/70-18DSSK"</f>
        <v>150/70-18DSSK</v>
      </c>
      <c r="E3449" s="1" t="s">
        <v>17</v>
      </c>
      <c r="F3449" s="1">
        <v>5</v>
      </c>
      <c r="G3449" s="1">
        <v>111970</v>
      </c>
      <c r="H3449" s="1">
        <v>559850</v>
      </c>
      <c r="I3449" s="1">
        <v>0</v>
      </c>
      <c r="J3449" s="1">
        <v>5</v>
      </c>
      <c r="K3449" s="1">
        <v>0</v>
      </c>
    </row>
    <row r="3450" spans="1:11" x14ac:dyDescent="0.2">
      <c r="A3450" s="1" t="s">
        <v>3042</v>
      </c>
      <c r="B3450" s="1" t="s">
        <v>3148</v>
      </c>
      <c r="C3450" s="1" t="str">
        <f>"66298911373202"</f>
        <v>66298911373202</v>
      </c>
      <c r="D3450" s="1" t="str">
        <f>"150/70X18DSSK"</f>
        <v>150/70X18DSSK</v>
      </c>
      <c r="E3450" s="1" t="s">
        <v>17</v>
      </c>
      <c r="F3450" s="1">
        <v>2</v>
      </c>
      <c r="G3450" s="1">
        <v>75919</v>
      </c>
      <c r="H3450" s="1">
        <v>151838</v>
      </c>
      <c r="I3450" s="1">
        <v>0</v>
      </c>
      <c r="J3450" s="1">
        <v>2</v>
      </c>
      <c r="K3450" s="1">
        <v>0</v>
      </c>
    </row>
    <row r="3451" spans="1:11" x14ac:dyDescent="0.2">
      <c r="A3451" s="1" t="s">
        <v>3042</v>
      </c>
      <c r="B3451" s="1" t="s">
        <v>3149</v>
      </c>
      <c r="C3451" s="1" t="str">
        <f>"460X18DSSR"</f>
        <v>460X18DSSR</v>
      </c>
      <c r="D3451" s="1" t="str">
        <f>"460X18DSSR"</f>
        <v>460X18DSSR</v>
      </c>
      <c r="E3451" s="1" t="s">
        <v>17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</row>
    <row r="3452" spans="1:11" x14ac:dyDescent="0.2">
      <c r="A3452" s="1" t="s">
        <v>3042</v>
      </c>
      <c r="B3452" s="1" t="s">
        <v>3150</v>
      </c>
      <c r="C3452" s="1" t="str">
        <f>"66298911417448"</f>
        <v>66298911417448</v>
      </c>
      <c r="D3452" s="1" t="str">
        <f>"90/90-18TLDUAL"</f>
        <v>90/90-18TLDUAL</v>
      </c>
      <c r="E3452" s="1" t="s">
        <v>17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</row>
    <row r="3453" spans="1:11" x14ac:dyDescent="0.2">
      <c r="A3453" s="1" t="s">
        <v>3042</v>
      </c>
      <c r="B3453" s="1" t="s">
        <v>3151</v>
      </c>
      <c r="C3453" s="1" t="str">
        <f>"66298911458778"</f>
        <v>66298911458778</v>
      </c>
      <c r="D3453" s="1" t="str">
        <f>"460-18DSSR"</f>
        <v>460-18DSSR</v>
      </c>
      <c r="E3453" s="1" t="s">
        <v>17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</row>
    <row r="3454" spans="1:11" x14ac:dyDescent="0.2">
      <c r="A3454" s="1" t="s">
        <v>3042</v>
      </c>
      <c r="B3454" s="1" t="s">
        <v>3152</v>
      </c>
      <c r="C3454" s="1" t="str">
        <f>"90/90-18DSSR"</f>
        <v>90/90-18DSSR</v>
      </c>
      <c r="D3454" s="1" t="str">
        <f>"90/90-18DSSR"</f>
        <v>90/90-18DSSR</v>
      </c>
      <c r="E3454" s="1" t="s">
        <v>17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</row>
    <row r="3455" spans="1:11" x14ac:dyDescent="0.2">
      <c r="A3455" s="1" t="s">
        <v>3042</v>
      </c>
      <c r="B3455" s="1" t="s">
        <v>3152</v>
      </c>
      <c r="C3455" s="1" t="str">
        <f>"300-18DSSR"</f>
        <v>300-18DSSR</v>
      </c>
      <c r="D3455" s="1" t="str">
        <f>"300-18DSSR"</f>
        <v>300-18DSSR</v>
      </c>
      <c r="E3455" s="1" t="s">
        <v>17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</row>
    <row r="3456" spans="1:11" x14ac:dyDescent="0.2">
      <c r="A3456" s="1" t="s">
        <v>3042</v>
      </c>
      <c r="B3456" s="1" t="s">
        <v>3153</v>
      </c>
      <c r="C3456" s="1" t="str">
        <f>"66298911503121"</f>
        <v>66298911503121</v>
      </c>
      <c r="D3456" s="1" t="str">
        <f>"100/90-18TLDUAL"</f>
        <v>100/90-18TLDUAL</v>
      </c>
      <c r="E3456" s="1" t="s">
        <v>17</v>
      </c>
      <c r="F3456" s="1">
        <v>1</v>
      </c>
      <c r="G3456" s="1">
        <v>25836</v>
      </c>
      <c r="H3456" s="1">
        <v>25836</v>
      </c>
      <c r="I3456" s="1">
        <v>0</v>
      </c>
      <c r="J3456" s="1">
        <v>1</v>
      </c>
      <c r="K3456" s="1">
        <v>0</v>
      </c>
    </row>
    <row r="3457" spans="1:11" x14ac:dyDescent="0.2">
      <c r="A3457" s="1" t="s">
        <v>3042</v>
      </c>
      <c r="B3457" s="1" t="s">
        <v>3154</v>
      </c>
      <c r="C3457" s="1" t="str">
        <f>"66298911540568"</f>
        <v>66298911540568</v>
      </c>
      <c r="D3457" s="1" t="str">
        <f>"300X18DSSR"</f>
        <v>300X18DSSR</v>
      </c>
      <c r="E3457" s="1" t="s">
        <v>17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</row>
    <row r="3458" spans="1:11" x14ac:dyDescent="0.2">
      <c r="A3458" s="1" t="s">
        <v>3042</v>
      </c>
      <c r="B3458" s="1" t="s">
        <v>3155</v>
      </c>
      <c r="C3458" s="1" t="str">
        <f>"110/80R-19/K-66"</f>
        <v>110/80R-19/K-66</v>
      </c>
      <c r="D3458" s="1" t="str">
        <f>"110/80R-19/K-66"</f>
        <v>110/80R-19/K-66</v>
      </c>
      <c r="E3458" s="1" t="s">
        <v>17</v>
      </c>
      <c r="F3458" s="1">
        <v>3</v>
      </c>
      <c r="G3458" s="1">
        <v>67907</v>
      </c>
      <c r="H3458" s="1">
        <v>203721</v>
      </c>
      <c r="I3458" s="1">
        <v>0</v>
      </c>
      <c r="J3458" s="1">
        <v>3</v>
      </c>
      <c r="K3458" s="1">
        <v>0</v>
      </c>
    </row>
    <row r="3459" spans="1:11" ht="30" x14ac:dyDescent="0.2">
      <c r="A3459" s="1" t="s">
        <v>3042</v>
      </c>
      <c r="B3459" s="1" t="s">
        <v>3156</v>
      </c>
      <c r="C3459" s="1" t="str">
        <f>"67822290134665"</f>
        <v>67822290134665</v>
      </c>
      <c r="D3459" s="1" t="str">
        <f>"90/90X19-DSPT"</f>
        <v>90/90X19-DSPT</v>
      </c>
      <c r="E3459" s="1" t="s">
        <v>17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</row>
    <row r="3460" spans="1:11" x14ac:dyDescent="0.2">
      <c r="A3460" s="1" t="s">
        <v>3042</v>
      </c>
      <c r="B3460" s="1" t="s">
        <v>3157</v>
      </c>
      <c r="C3460" s="1" t="str">
        <f>"66298911581182"</f>
        <v>66298911581182</v>
      </c>
      <c r="D3460" s="1" t="str">
        <f>"120/70R-19DSSK"</f>
        <v>120/70R-19DSSK</v>
      </c>
      <c r="E3460" s="1" t="s">
        <v>17</v>
      </c>
      <c r="F3460" s="1">
        <v>4</v>
      </c>
      <c r="G3460" s="1">
        <v>81928</v>
      </c>
      <c r="H3460" s="1">
        <v>327712</v>
      </c>
      <c r="I3460" s="1">
        <v>0</v>
      </c>
      <c r="J3460" s="1">
        <v>4</v>
      </c>
      <c r="K3460" s="1">
        <v>0</v>
      </c>
    </row>
    <row r="3461" spans="1:11" x14ac:dyDescent="0.2">
      <c r="A3461" s="1" t="s">
        <v>3042</v>
      </c>
      <c r="B3461" s="1" t="s">
        <v>3158</v>
      </c>
      <c r="C3461" s="1" t="str">
        <f>"66298911619445"</f>
        <v>66298911619445</v>
      </c>
      <c r="D3461" s="1" t="str">
        <f>"275-19DSSR"</f>
        <v>275-19DSSR</v>
      </c>
      <c r="E3461" s="1" t="s">
        <v>17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</row>
    <row r="3462" spans="1:11" x14ac:dyDescent="0.2">
      <c r="A3462" s="1" t="s">
        <v>3042</v>
      </c>
      <c r="B3462" s="1" t="s">
        <v>3159</v>
      </c>
      <c r="C3462" s="1" t="str">
        <f>"66298911662731"</f>
        <v>66298911662731</v>
      </c>
      <c r="D3462" s="1" t="str">
        <f>"90/90-19DSSR"</f>
        <v>90/90-19DSSR</v>
      </c>
      <c r="E3462" s="1" t="s">
        <v>17</v>
      </c>
      <c r="F3462" s="1">
        <v>2</v>
      </c>
      <c r="G3462" s="1">
        <v>21075</v>
      </c>
      <c r="H3462" s="1">
        <v>42150</v>
      </c>
      <c r="I3462" s="1">
        <v>0</v>
      </c>
      <c r="J3462" s="1">
        <v>2</v>
      </c>
      <c r="K3462" s="1">
        <v>0</v>
      </c>
    </row>
    <row r="3463" spans="1:11" x14ac:dyDescent="0.2">
      <c r="A3463" s="1" t="s">
        <v>3042</v>
      </c>
      <c r="B3463" s="1" t="s">
        <v>3160</v>
      </c>
      <c r="C3463" s="1" t="str">
        <f>"66298911702937"</f>
        <v>66298911702937</v>
      </c>
      <c r="D3463" s="1" t="str">
        <f>"90/90-21TTCEAT"</f>
        <v>90/90-21TTCEAT</v>
      </c>
      <c r="E3463" s="1" t="s">
        <v>17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</row>
    <row r="3464" spans="1:11" x14ac:dyDescent="0.2">
      <c r="A3464" s="1" t="s">
        <v>3042</v>
      </c>
      <c r="B3464" s="1" t="s">
        <v>3161</v>
      </c>
      <c r="C3464" s="1" t="str">
        <f>"90/90R-21/K-66"</f>
        <v>90/90R-21/K-66</v>
      </c>
      <c r="D3464" s="1" t="str">
        <f>"90/90R-21/K-66"</f>
        <v>90/90R-21/K-66</v>
      </c>
      <c r="E3464" s="1" t="s">
        <v>17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</row>
    <row r="3465" spans="1:11" x14ac:dyDescent="0.2">
      <c r="A3465" s="1" t="s">
        <v>3042</v>
      </c>
      <c r="B3465" s="1" t="s">
        <v>3162</v>
      </c>
      <c r="C3465" s="1" t="str">
        <f>"66298911746542"</f>
        <v>66298911746542</v>
      </c>
      <c r="D3465" s="1" t="str">
        <f>"80/100-21DSMI"</f>
        <v>80/100-21DSMI</v>
      </c>
      <c r="E3465" s="1" t="s">
        <v>17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</row>
    <row r="3466" spans="1:11" ht="30" x14ac:dyDescent="0.2">
      <c r="A3466" s="1" t="s">
        <v>3042</v>
      </c>
      <c r="B3466" s="1" t="s">
        <v>3163</v>
      </c>
      <c r="C3466" s="1" t="str">
        <f>"67822342681505"</f>
        <v>67822342681505</v>
      </c>
      <c r="D3466" s="1" t="str">
        <f>"90/90X21-DSPT"</f>
        <v>90/90X21-DSPT</v>
      </c>
      <c r="E3466" s="1" t="s">
        <v>17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</row>
    <row r="3467" spans="1:11" x14ac:dyDescent="0.2">
      <c r="A3467" s="1" t="s">
        <v>3042</v>
      </c>
      <c r="B3467" s="1" t="s">
        <v>3164</v>
      </c>
      <c r="C3467" s="1" t="str">
        <f>"90/90*21-DSPT"</f>
        <v>90/90*21-DSPT</v>
      </c>
      <c r="D3467" s="1" t="str">
        <f>"90/90*21-DSPT"</f>
        <v>90/90*21-DSPT</v>
      </c>
      <c r="E3467" s="1" t="s">
        <v>17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</row>
    <row r="3468" spans="1:11" x14ac:dyDescent="0.2">
      <c r="A3468" s="1" t="s">
        <v>3042</v>
      </c>
      <c r="B3468" s="1" t="s">
        <v>3165</v>
      </c>
      <c r="C3468" s="1" t="str">
        <f>"66298911788186"</f>
        <v>66298911788186</v>
      </c>
      <c r="D3468" s="1" t="str">
        <f>"300-21TLDUAL"</f>
        <v>300-21TLDUAL</v>
      </c>
      <c r="E3468" s="1" t="s">
        <v>17</v>
      </c>
      <c r="F3468" s="1">
        <v>1</v>
      </c>
      <c r="G3468" s="1">
        <v>25421</v>
      </c>
      <c r="H3468" s="1">
        <v>25421</v>
      </c>
      <c r="I3468" s="1">
        <v>0</v>
      </c>
      <c r="J3468" s="1">
        <v>1</v>
      </c>
      <c r="K3468" s="1">
        <v>0</v>
      </c>
    </row>
    <row r="3469" spans="1:11" x14ac:dyDescent="0.2">
      <c r="A3469" s="1" t="s">
        <v>3042</v>
      </c>
      <c r="B3469" s="1" t="s">
        <v>3166</v>
      </c>
      <c r="C3469" s="1" t="str">
        <f>"66298911827170"</f>
        <v>66298911827170</v>
      </c>
      <c r="D3469" s="1" t="str">
        <f>"100/80X17TRSR"</f>
        <v>100/80X17TRSR</v>
      </c>
      <c r="E3469" s="1" t="s">
        <v>17</v>
      </c>
      <c r="F3469" s="1">
        <v>3</v>
      </c>
      <c r="G3469" s="1">
        <v>22113</v>
      </c>
      <c r="H3469" s="1">
        <v>66339</v>
      </c>
      <c r="I3469" s="1">
        <v>0</v>
      </c>
      <c r="J3469" s="1">
        <v>3</v>
      </c>
      <c r="K3469" s="1">
        <v>0</v>
      </c>
    </row>
    <row r="3470" spans="1:11" x14ac:dyDescent="0.2">
      <c r="A3470" s="1" t="s">
        <v>3042</v>
      </c>
      <c r="B3470" s="1" t="s">
        <v>3167</v>
      </c>
      <c r="C3470" s="1" t="str">
        <f>"66298911869297"</f>
        <v>66298911869297</v>
      </c>
      <c r="D3470" s="1" t="str">
        <f>"300X21TRSR"</f>
        <v>300X21TRSR</v>
      </c>
      <c r="E3470" s="1" t="s">
        <v>17</v>
      </c>
      <c r="F3470" s="1">
        <v>2</v>
      </c>
      <c r="G3470" s="1">
        <v>22786</v>
      </c>
      <c r="H3470" s="1">
        <v>45572</v>
      </c>
      <c r="I3470" s="1">
        <v>0</v>
      </c>
      <c r="J3470" s="1">
        <v>2</v>
      </c>
      <c r="K3470" s="1">
        <v>0</v>
      </c>
    </row>
    <row r="3471" spans="1:11" x14ac:dyDescent="0.2">
      <c r="A3471" s="2" t="s">
        <v>1567</v>
      </c>
      <c r="B3471" s="1" t="s">
        <v>3168</v>
      </c>
      <c r="C3471" s="2" t="str">
        <f>"RO-3129"</f>
        <v>RO-3129</v>
      </c>
      <c r="D3471" s="2" t="str">
        <f>"RO-3129"</f>
        <v>RO-3129</v>
      </c>
      <c r="E3471" s="2" t="s">
        <v>17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</row>
    <row r="3472" spans="1:11" x14ac:dyDescent="0.2">
      <c r="A3472" s="2"/>
      <c r="B3472" s="1" t="s">
        <v>1569</v>
      </c>
      <c r="C3472" s="2"/>
      <c r="D3472" s="2"/>
      <c r="E3472" s="2"/>
      <c r="F3472" s="2"/>
      <c r="G3472" s="2"/>
      <c r="H3472" s="2"/>
      <c r="I3472" s="2"/>
      <c r="J3472" s="2"/>
      <c r="K3472" s="2"/>
    </row>
    <row r="3473" spans="1:11" x14ac:dyDescent="0.2">
      <c r="A3473" s="2"/>
      <c r="B3473" s="1" t="s">
        <v>3169</v>
      </c>
      <c r="C3473" s="2"/>
      <c r="D3473" s="2"/>
      <c r="E3473" s="2"/>
      <c r="F3473" s="2"/>
      <c r="G3473" s="2"/>
      <c r="H3473" s="2"/>
      <c r="I3473" s="2"/>
      <c r="J3473" s="2"/>
      <c r="K3473" s="2"/>
    </row>
    <row r="3474" spans="1:11" x14ac:dyDescent="0.2">
      <c r="A3474" s="2"/>
      <c r="B3474" s="1" t="s">
        <v>1571</v>
      </c>
      <c r="C3474" s="2"/>
      <c r="D3474" s="2"/>
      <c r="E3474" s="2"/>
      <c r="F3474" s="2"/>
      <c r="G3474" s="2"/>
      <c r="H3474" s="2"/>
      <c r="I3474" s="2"/>
      <c r="J3474" s="2"/>
      <c r="K3474" s="2"/>
    </row>
    <row r="3475" spans="1:11" x14ac:dyDescent="0.2">
      <c r="A3475" s="2"/>
      <c r="B3475" s="1" t="s">
        <v>2545</v>
      </c>
      <c r="C3475" s="2"/>
      <c r="D3475" s="2"/>
      <c r="E3475" s="2"/>
      <c r="F3475" s="2"/>
      <c r="G3475" s="2"/>
      <c r="H3475" s="2"/>
      <c r="I3475" s="2"/>
      <c r="J3475" s="2"/>
      <c r="K3475" s="2"/>
    </row>
    <row r="3476" spans="1:11" x14ac:dyDescent="0.2">
      <c r="A3476" s="2"/>
      <c r="B3476" s="1" t="s">
        <v>1573</v>
      </c>
      <c r="C3476" s="2"/>
      <c r="D3476" s="2"/>
      <c r="E3476" s="2"/>
      <c r="F3476" s="2"/>
      <c r="G3476" s="2"/>
      <c r="H3476" s="2"/>
      <c r="I3476" s="2"/>
      <c r="J3476" s="2"/>
      <c r="K3476" s="2"/>
    </row>
    <row r="3477" spans="1:11" x14ac:dyDescent="0.2">
      <c r="A3477" s="2"/>
      <c r="B3477" s="1" t="s">
        <v>1574</v>
      </c>
      <c r="C3477" s="2"/>
      <c r="D3477" s="2"/>
      <c r="E3477" s="2"/>
      <c r="F3477" s="2"/>
      <c r="G3477" s="2"/>
      <c r="H3477" s="2"/>
      <c r="I3477" s="2"/>
      <c r="J3477" s="2"/>
      <c r="K3477" s="2"/>
    </row>
    <row r="3478" spans="1:11" x14ac:dyDescent="0.2">
      <c r="A3478" s="2"/>
      <c r="B3478" s="1" t="s">
        <v>1575</v>
      </c>
      <c r="C3478" s="2"/>
      <c r="D3478" s="2"/>
      <c r="E3478" s="2"/>
      <c r="F3478" s="2"/>
      <c r="G3478" s="2"/>
      <c r="H3478" s="2"/>
      <c r="I3478" s="2"/>
      <c r="J3478" s="2"/>
      <c r="K3478" s="2"/>
    </row>
    <row r="3479" spans="1:11" x14ac:dyDescent="0.2">
      <c r="A3479" s="2"/>
      <c r="B3479" s="1" t="s">
        <v>3170</v>
      </c>
      <c r="C3479" s="2"/>
      <c r="D3479" s="2"/>
      <c r="E3479" s="2"/>
      <c r="F3479" s="2"/>
      <c r="G3479" s="2"/>
      <c r="H3479" s="2"/>
      <c r="I3479" s="2"/>
      <c r="J3479" s="2"/>
      <c r="K3479" s="2"/>
    </row>
    <row r="3480" spans="1:11" x14ac:dyDescent="0.2">
      <c r="A3480" s="2"/>
      <c r="B3480" s="1" t="s">
        <v>3171</v>
      </c>
      <c r="C3480" s="2"/>
      <c r="D3480" s="2"/>
      <c r="E3480" s="2"/>
      <c r="F3480" s="2"/>
      <c r="G3480" s="2"/>
      <c r="H3480" s="2"/>
      <c r="I3480" s="2"/>
      <c r="J3480" s="2"/>
      <c r="K3480" s="2"/>
    </row>
    <row r="3481" spans="1:11" x14ac:dyDescent="0.2">
      <c r="A3481" s="1" t="s">
        <v>98</v>
      </c>
      <c r="B3481" s="1" t="s">
        <v>3172</v>
      </c>
      <c r="C3481" s="1" t="str">
        <f>"66298911910871"</f>
        <v>66298911910871</v>
      </c>
      <c r="D3481" s="1" t="str">
        <f>"O-MBA-COMB"</f>
        <v>O-MBA-COMB</v>
      </c>
      <c r="E3481" s="1" t="s">
        <v>17</v>
      </c>
      <c r="F3481" s="1">
        <v>4</v>
      </c>
      <c r="G3481" s="1">
        <v>4647</v>
      </c>
      <c r="H3481" s="1">
        <v>18588</v>
      </c>
      <c r="I3481" s="1">
        <v>0</v>
      </c>
      <c r="J3481" s="1">
        <v>4</v>
      </c>
      <c r="K3481" s="1">
        <v>0</v>
      </c>
    </row>
    <row r="3482" spans="1:11" x14ac:dyDescent="0.2">
      <c r="A3482" s="1" t="s">
        <v>98</v>
      </c>
      <c r="B3482" s="1" t="s">
        <v>3173</v>
      </c>
      <c r="C3482" s="1" t="str">
        <f>"66298911952024"</f>
        <v>66298911952024</v>
      </c>
      <c r="D3482" s="1" t="str">
        <f>"753"</f>
        <v>753</v>
      </c>
      <c r="E3482" s="1" t="s">
        <v>17</v>
      </c>
      <c r="F3482" s="1">
        <v>5</v>
      </c>
      <c r="G3482" s="1">
        <v>883</v>
      </c>
      <c r="H3482" s="1">
        <v>4415</v>
      </c>
      <c r="I3482" s="1">
        <v>0</v>
      </c>
      <c r="J3482" s="1">
        <v>5</v>
      </c>
      <c r="K3482" s="1">
        <v>0</v>
      </c>
    </row>
    <row r="3483" spans="1:11" x14ac:dyDescent="0.2">
      <c r="A3483" s="1" t="s">
        <v>98</v>
      </c>
      <c r="B3483" s="1" t="s">
        <v>3174</v>
      </c>
      <c r="C3483" s="1" t="str">
        <f>"66298911993284"</f>
        <v>66298911993284</v>
      </c>
      <c r="D3483" s="1" t="str">
        <f>"B124"</f>
        <v>B124</v>
      </c>
      <c r="E3483" s="1" t="s">
        <v>17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</row>
    <row r="3484" spans="1:11" x14ac:dyDescent="0.2">
      <c r="A3484" s="1" t="s">
        <v>98</v>
      </c>
      <c r="B3484" s="1" t="s">
        <v>3175</v>
      </c>
      <c r="C3484" s="1" t="str">
        <f>"66298912034570"</f>
        <v>66298912034570</v>
      </c>
      <c r="D3484" s="1" t="str">
        <f>"192190002-0001"</f>
        <v>192190002-0001</v>
      </c>
      <c r="E3484" s="1" t="s">
        <v>17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</row>
    <row r="3485" spans="1:11" x14ac:dyDescent="0.2">
      <c r="A3485" s="1" t="s">
        <v>98</v>
      </c>
      <c r="B3485" s="1" t="s">
        <v>3176</v>
      </c>
      <c r="C3485" s="1" t="str">
        <f>"66298912073096"</f>
        <v>66298912073096</v>
      </c>
      <c r="D3485" s="1" t="str">
        <f>"PB001"</f>
        <v>PB001</v>
      </c>
      <c r="E3485" s="1" t="s">
        <v>17</v>
      </c>
      <c r="F3485" s="1">
        <v>3</v>
      </c>
      <c r="G3485" s="1">
        <v>828</v>
      </c>
      <c r="H3485" s="1">
        <v>2484</v>
      </c>
      <c r="I3485" s="1">
        <v>0</v>
      </c>
      <c r="J3485" s="1">
        <v>3</v>
      </c>
      <c r="K3485" s="1">
        <v>0</v>
      </c>
    </row>
    <row r="3486" spans="1:11" x14ac:dyDescent="0.2">
      <c r="A3486" s="1" t="s">
        <v>18</v>
      </c>
      <c r="B3486" s="1" t="s">
        <v>3177</v>
      </c>
      <c r="C3486" s="1" t="str">
        <f>"OVEROL-LM"</f>
        <v>OVEROL-LM</v>
      </c>
      <c r="D3486" s="1" t="str">
        <f>"OVEROL-LM"</f>
        <v>OVEROL-LM</v>
      </c>
      <c r="E3486" s="1" t="s">
        <v>17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</row>
    <row r="3487" spans="1:11" x14ac:dyDescent="0.2">
      <c r="A3487" s="1" t="s">
        <v>18</v>
      </c>
      <c r="B3487" s="1" t="s">
        <v>3178</v>
      </c>
      <c r="C3487" s="1" t="str">
        <f>"OVEROL-LUBRAX"</f>
        <v>OVEROL-LUBRAX</v>
      </c>
      <c r="D3487" s="1" t="str">
        <f>"OVEROL-LUBRAX"</f>
        <v>OVEROL-LUBRAX</v>
      </c>
      <c r="E3487" s="1" t="s">
        <v>17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</row>
    <row r="3488" spans="1:11" x14ac:dyDescent="0.2">
      <c r="A3488" s="1" t="s">
        <v>18</v>
      </c>
      <c r="B3488" s="1" t="s">
        <v>3179</v>
      </c>
      <c r="C3488" s="1" t="str">
        <f>"RP-OVEROL"</f>
        <v>RP-OVEROL</v>
      </c>
      <c r="D3488" s="1" t="str">
        <f>"RP-OVEROL"</f>
        <v>RP-OVEROL</v>
      </c>
      <c r="E3488" s="1" t="s">
        <v>17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</row>
    <row r="3489" spans="1:11" x14ac:dyDescent="0.2">
      <c r="A3489" s="1" t="s">
        <v>18</v>
      </c>
      <c r="B3489" s="1" t="s">
        <v>3180</v>
      </c>
      <c r="C3489" s="1" t="str">
        <f>"49CC78"</f>
        <v>49CC78</v>
      </c>
      <c r="D3489" s="1" t="str">
        <f>"49CC78"</f>
        <v>49CC78</v>
      </c>
      <c r="E3489" s="1" t="s">
        <v>17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</row>
    <row r="3490" spans="1:11" x14ac:dyDescent="0.2">
      <c r="A3490" s="1" t="s">
        <v>98</v>
      </c>
      <c r="B3490" s="1" t="s">
        <v>3181</v>
      </c>
      <c r="C3490" s="1" t="str">
        <f>"66298912113695"</f>
        <v>66298912113695</v>
      </c>
      <c r="D3490" s="1" t="str">
        <f>"C206"</f>
        <v>C206</v>
      </c>
      <c r="E3490" s="1" t="s">
        <v>17</v>
      </c>
      <c r="F3490" s="1">
        <v>3</v>
      </c>
      <c r="G3490" s="1">
        <v>1981</v>
      </c>
      <c r="H3490" s="1">
        <v>5943</v>
      </c>
      <c r="I3490" s="1">
        <v>0</v>
      </c>
      <c r="J3490" s="1">
        <v>3</v>
      </c>
      <c r="K3490" s="1">
        <v>0</v>
      </c>
    </row>
    <row r="3491" spans="1:11" x14ac:dyDescent="0.2">
      <c r="A3491" s="1" t="s">
        <v>98</v>
      </c>
      <c r="B3491" s="1" t="s">
        <v>3182</v>
      </c>
      <c r="C3491" s="1" t="str">
        <f>"66298912202430"</f>
        <v>66298912202430</v>
      </c>
      <c r="D3491" s="1" t="str">
        <f>"49CC53"</f>
        <v>49CC53</v>
      </c>
      <c r="E3491" s="1" t="s">
        <v>17</v>
      </c>
      <c r="F3491" s="1">
        <v>7</v>
      </c>
      <c r="G3491" s="1">
        <v>1367</v>
      </c>
      <c r="H3491" s="1">
        <v>9569</v>
      </c>
      <c r="I3491" s="1">
        <v>0</v>
      </c>
      <c r="J3491" s="1">
        <v>7</v>
      </c>
      <c r="K3491" s="1">
        <v>0</v>
      </c>
    </row>
    <row r="3492" spans="1:11" x14ac:dyDescent="0.2">
      <c r="A3492" s="1" t="s">
        <v>3183</v>
      </c>
      <c r="B3492" s="1" t="s">
        <v>3184</v>
      </c>
      <c r="C3492" s="1" t="str">
        <f>"425005"</f>
        <v>425005</v>
      </c>
      <c r="D3492" s="1" t="str">
        <f>"425005"</f>
        <v>425005</v>
      </c>
      <c r="E3492" s="1" t="s">
        <v>17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</row>
    <row r="3493" spans="1:11" x14ac:dyDescent="0.2">
      <c r="A3493" s="1" t="s">
        <v>98</v>
      </c>
      <c r="B3493" s="1" t="s">
        <v>3185</v>
      </c>
      <c r="C3493" s="1" t="str">
        <f>"66298912155152"</f>
        <v>66298912155152</v>
      </c>
      <c r="D3493" s="1" t="str">
        <f>"425011"</f>
        <v>425011</v>
      </c>
      <c r="E3493" s="1" t="s">
        <v>17</v>
      </c>
      <c r="F3493" s="1">
        <v>11</v>
      </c>
      <c r="G3493" s="1">
        <v>1110</v>
      </c>
      <c r="H3493" s="1">
        <v>12210</v>
      </c>
      <c r="I3493" s="1">
        <v>0</v>
      </c>
      <c r="J3493" s="1">
        <v>11</v>
      </c>
      <c r="K3493" s="1">
        <v>0</v>
      </c>
    </row>
    <row r="3494" spans="1:11" x14ac:dyDescent="0.2">
      <c r="A3494" s="1" t="s">
        <v>3183</v>
      </c>
      <c r="B3494" s="1" t="s">
        <v>3186</v>
      </c>
      <c r="C3494" s="1" t="str">
        <f>"425009"</f>
        <v>425009</v>
      </c>
      <c r="D3494" s="1" t="str">
        <f>"425009"</f>
        <v>425009</v>
      </c>
      <c r="E3494" s="1" t="s">
        <v>17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</row>
    <row r="3495" spans="1:11" x14ac:dyDescent="0.2">
      <c r="A3495" s="1" t="s">
        <v>3183</v>
      </c>
      <c r="B3495" s="1" t="s">
        <v>3186</v>
      </c>
      <c r="C3495" s="1" t="str">
        <f>"425010"</f>
        <v>425010</v>
      </c>
      <c r="D3495" s="1" t="str">
        <f>"425010"</f>
        <v>425010</v>
      </c>
      <c r="E3495" s="1" t="s">
        <v>17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</row>
    <row r="3496" spans="1:11" x14ac:dyDescent="0.2">
      <c r="A3496" s="1" t="s">
        <v>98</v>
      </c>
      <c r="B3496" s="1" t="s">
        <v>3187</v>
      </c>
      <c r="C3496" s="1" t="str">
        <f>"66298912247257"</f>
        <v>66298912247257</v>
      </c>
      <c r="D3496" s="1" t="str">
        <f>"80514"</f>
        <v>80514</v>
      </c>
      <c r="E3496" s="1" t="s">
        <v>17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</row>
    <row r="3497" spans="1:11" x14ac:dyDescent="0.2">
      <c r="A3497" s="1" t="s">
        <v>98</v>
      </c>
      <c r="B3497" s="1" t="s">
        <v>3188</v>
      </c>
      <c r="C3497" s="1" t="str">
        <f>"66298912290272"</f>
        <v>66298912290272</v>
      </c>
      <c r="D3497" s="1" t="str">
        <f>"4885"</f>
        <v>4885</v>
      </c>
      <c r="E3497" s="1" t="s">
        <v>17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</row>
    <row r="3498" spans="1:11" x14ac:dyDescent="0.2">
      <c r="A3498" s="1" t="s">
        <v>18</v>
      </c>
      <c r="B3498" s="1" t="s">
        <v>3189</v>
      </c>
      <c r="C3498" s="1" t="str">
        <f>"101029208"</f>
        <v>101029208</v>
      </c>
      <c r="D3498" s="1" t="str">
        <f>"101029208"</f>
        <v>101029208</v>
      </c>
      <c r="E3498" s="1" t="s">
        <v>17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</row>
    <row r="3499" spans="1:11" x14ac:dyDescent="0.2">
      <c r="A3499" s="1" t="s">
        <v>98</v>
      </c>
      <c r="B3499" s="1" t="s">
        <v>3190</v>
      </c>
      <c r="C3499" s="1" t="str">
        <f>"66298912335799"</f>
        <v>66298912335799</v>
      </c>
      <c r="D3499" s="1" t="str">
        <f>"GJ017"</f>
        <v>GJ017</v>
      </c>
      <c r="E3499" s="1" t="s">
        <v>17</v>
      </c>
      <c r="F3499" s="1">
        <v>8</v>
      </c>
      <c r="G3499" s="1">
        <v>186</v>
      </c>
      <c r="H3499" s="1">
        <v>1488</v>
      </c>
      <c r="I3499" s="1">
        <v>0</v>
      </c>
      <c r="J3499" s="1">
        <v>8</v>
      </c>
      <c r="K3499" s="1">
        <v>0</v>
      </c>
    </row>
    <row r="3500" spans="1:11" x14ac:dyDescent="0.2">
      <c r="A3500" s="1" t="s">
        <v>98</v>
      </c>
      <c r="B3500" s="1" t="s">
        <v>3191</v>
      </c>
      <c r="C3500" s="1" t="str">
        <f>"66298912378353"</f>
        <v>66298912378353</v>
      </c>
      <c r="D3500" s="1" t="str">
        <f>"83140"</f>
        <v>83140</v>
      </c>
      <c r="E3500" s="1" t="s">
        <v>17</v>
      </c>
      <c r="F3500" s="1">
        <v>2</v>
      </c>
      <c r="G3500" s="1">
        <v>248</v>
      </c>
      <c r="H3500" s="1">
        <v>496</v>
      </c>
      <c r="I3500" s="1">
        <v>0</v>
      </c>
      <c r="J3500" s="1">
        <v>2</v>
      </c>
      <c r="K3500" s="1">
        <v>0</v>
      </c>
    </row>
    <row r="3501" spans="1:11" x14ac:dyDescent="0.2">
      <c r="A3501" s="1" t="s">
        <v>3192</v>
      </c>
      <c r="B3501" s="1" t="s">
        <v>3193</v>
      </c>
      <c r="C3501" s="1" t="str">
        <f>"66298912423753"</f>
        <v>66298912423753</v>
      </c>
      <c r="D3501" s="1" t="str">
        <f>"LMP112"</f>
        <v>LMP112</v>
      </c>
      <c r="E3501" s="1" t="s">
        <v>17</v>
      </c>
      <c r="F3501" s="1">
        <v>1</v>
      </c>
      <c r="G3501" s="1">
        <v>13559</v>
      </c>
      <c r="H3501" s="1">
        <v>13559</v>
      </c>
      <c r="I3501" s="1">
        <v>0</v>
      </c>
      <c r="J3501" s="1">
        <v>1</v>
      </c>
      <c r="K3501" s="1">
        <v>0</v>
      </c>
    </row>
    <row r="3502" spans="1:11" x14ac:dyDescent="0.2">
      <c r="A3502" s="1" t="s">
        <v>3192</v>
      </c>
      <c r="B3502" s="1" t="s">
        <v>3194</v>
      </c>
      <c r="C3502" s="1" t="str">
        <f>"66298912467813"</f>
        <v>66298912467813</v>
      </c>
      <c r="D3502" s="1" t="str">
        <f>"59300-39821JP"</f>
        <v>59300-39821JP</v>
      </c>
      <c r="E3502" s="1" t="s">
        <v>17</v>
      </c>
      <c r="F3502" s="1">
        <v>11</v>
      </c>
      <c r="G3502" s="1">
        <v>1582</v>
      </c>
      <c r="H3502" s="1">
        <v>17402</v>
      </c>
      <c r="I3502" s="1">
        <v>0</v>
      </c>
      <c r="J3502" s="1">
        <v>11</v>
      </c>
      <c r="K3502" s="1">
        <v>0</v>
      </c>
    </row>
    <row r="3503" spans="1:11" x14ac:dyDescent="0.2">
      <c r="A3503" s="1" t="s">
        <v>3192</v>
      </c>
      <c r="B3503" s="1" t="s">
        <v>3195</v>
      </c>
      <c r="C3503" s="1" t="str">
        <f>"66298912546539"</f>
        <v>66298912546539</v>
      </c>
      <c r="D3503" s="1" t="str">
        <f>"06455-KGA-940JP"</f>
        <v>06455-KGA-940JP</v>
      </c>
      <c r="E3503" s="1" t="s">
        <v>17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</row>
    <row r="3504" spans="1:11" x14ac:dyDescent="0.2">
      <c r="A3504" s="1" t="s">
        <v>3192</v>
      </c>
      <c r="B3504" s="1" t="s">
        <v>3196</v>
      </c>
      <c r="C3504" s="1" t="str">
        <f>"66298912506516"</f>
        <v>66298912506516</v>
      </c>
      <c r="D3504" s="1" t="str">
        <f>"U010-A"</f>
        <v>U010-A</v>
      </c>
      <c r="E3504" s="1" t="s">
        <v>17</v>
      </c>
      <c r="F3504" s="1">
        <v>8</v>
      </c>
      <c r="G3504" s="1">
        <v>1593</v>
      </c>
      <c r="H3504" s="1">
        <v>12744</v>
      </c>
      <c r="I3504" s="1">
        <v>0</v>
      </c>
      <c r="J3504" s="1">
        <v>8</v>
      </c>
      <c r="K3504" s="1">
        <v>0</v>
      </c>
    </row>
    <row r="3505" spans="1:11" x14ac:dyDescent="0.2">
      <c r="A3505" s="1" t="s">
        <v>3192</v>
      </c>
      <c r="B3505" s="1" t="s">
        <v>3197</v>
      </c>
      <c r="C3505" s="1" t="str">
        <f>"66298912588212"</f>
        <v>66298912588212</v>
      </c>
      <c r="D3505" s="1" t="str">
        <f>"LMP142"</f>
        <v>LMP142</v>
      </c>
      <c r="E3505" s="1" t="s">
        <v>17</v>
      </c>
      <c r="F3505" s="1">
        <v>1</v>
      </c>
      <c r="G3505" s="1">
        <v>12841</v>
      </c>
      <c r="H3505" s="1">
        <v>12841</v>
      </c>
      <c r="I3505" s="1">
        <v>0</v>
      </c>
      <c r="J3505" s="1">
        <v>1</v>
      </c>
      <c r="K3505" s="1">
        <v>0</v>
      </c>
    </row>
    <row r="3506" spans="1:11" x14ac:dyDescent="0.2">
      <c r="A3506" s="1" t="s">
        <v>3192</v>
      </c>
      <c r="B3506" s="1" t="s">
        <v>3198</v>
      </c>
      <c r="C3506" s="1" t="str">
        <f>"66298912631280"</f>
        <v>66298912631280</v>
      </c>
      <c r="D3506" s="1" t="str">
        <f>"400273"</f>
        <v>400273</v>
      </c>
      <c r="E3506" s="1" t="s">
        <v>17</v>
      </c>
      <c r="F3506" s="1">
        <v>20</v>
      </c>
      <c r="G3506" s="1">
        <v>823</v>
      </c>
      <c r="H3506" s="1">
        <v>16460</v>
      </c>
      <c r="I3506" s="1">
        <v>0</v>
      </c>
      <c r="J3506" s="1">
        <v>20</v>
      </c>
      <c r="K3506" s="1">
        <v>0</v>
      </c>
    </row>
    <row r="3507" spans="1:11" x14ac:dyDescent="0.2">
      <c r="A3507" s="1" t="s">
        <v>3192</v>
      </c>
      <c r="B3507" s="1" t="s">
        <v>3199</v>
      </c>
      <c r="C3507" s="1" t="str">
        <f>"66298912671196"</f>
        <v>66298912671196</v>
      </c>
      <c r="D3507" s="1" t="str">
        <f>"43082-1070JP"</f>
        <v>43082-1070JP</v>
      </c>
      <c r="E3507" s="1" t="s">
        <v>17</v>
      </c>
      <c r="F3507" s="1">
        <v>2</v>
      </c>
      <c r="G3507" s="1">
        <v>574</v>
      </c>
      <c r="H3507" s="1">
        <v>1148</v>
      </c>
      <c r="I3507" s="1">
        <v>0</v>
      </c>
      <c r="J3507" s="1">
        <v>2</v>
      </c>
      <c r="K3507" s="1">
        <v>0</v>
      </c>
    </row>
    <row r="3508" spans="1:11" x14ac:dyDescent="0.2">
      <c r="A3508" s="1" t="s">
        <v>3192</v>
      </c>
      <c r="B3508" s="1" t="s">
        <v>3200</v>
      </c>
      <c r="C3508" s="1" t="str">
        <f>"66298912713396"</f>
        <v>66298912713396</v>
      </c>
      <c r="D3508" s="1" t="str">
        <f>"11L-W0045-00JP"</f>
        <v>11L-W0045-00JP</v>
      </c>
      <c r="E3508" s="1" t="s">
        <v>17</v>
      </c>
      <c r="F3508" s="1">
        <v>5</v>
      </c>
      <c r="G3508" s="1">
        <v>1470</v>
      </c>
      <c r="H3508" s="1">
        <v>7350</v>
      </c>
      <c r="I3508" s="1">
        <v>0</v>
      </c>
      <c r="J3508" s="1">
        <v>5</v>
      </c>
      <c r="K3508" s="1">
        <v>0</v>
      </c>
    </row>
    <row r="3509" spans="1:11" x14ac:dyDescent="0.2">
      <c r="A3509" s="1" t="s">
        <v>3192</v>
      </c>
      <c r="B3509" s="1" t="s">
        <v>3201</v>
      </c>
      <c r="C3509" s="1" t="str">
        <f>"66298912770223"</f>
        <v>66298912770223</v>
      </c>
      <c r="D3509" s="1" t="str">
        <f>"400275"</f>
        <v>400275</v>
      </c>
      <c r="E3509" s="1" t="s">
        <v>17</v>
      </c>
      <c r="F3509" s="1">
        <v>23</v>
      </c>
      <c r="G3509" s="1">
        <v>833</v>
      </c>
      <c r="H3509" s="1">
        <v>19159</v>
      </c>
      <c r="I3509" s="1">
        <v>0</v>
      </c>
      <c r="J3509" s="1">
        <v>23</v>
      </c>
      <c r="K3509" s="1">
        <v>0</v>
      </c>
    </row>
    <row r="3510" spans="1:11" ht="30" x14ac:dyDescent="0.2">
      <c r="A3510" s="1" t="s">
        <v>3192</v>
      </c>
      <c r="B3510" s="1" t="s">
        <v>3202</v>
      </c>
      <c r="C3510" s="1" t="str">
        <f>"66298912812165"</f>
        <v>66298912812165</v>
      </c>
      <c r="D3510" s="1" t="str">
        <f>"P10012"</f>
        <v>P10012</v>
      </c>
      <c r="E3510" s="1" t="s">
        <v>17</v>
      </c>
      <c r="F3510" s="1">
        <v>1</v>
      </c>
      <c r="G3510" s="1">
        <v>4318</v>
      </c>
      <c r="H3510" s="1">
        <v>4318</v>
      </c>
      <c r="I3510" s="1">
        <v>0</v>
      </c>
      <c r="J3510" s="1">
        <v>1</v>
      </c>
      <c r="K3510" s="1">
        <v>0</v>
      </c>
    </row>
    <row r="3511" spans="1:11" x14ac:dyDescent="0.2">
      <c r="A3511" s="1" t="s">
        <v>3192</v>
      </c>
      <c r="B3511" s="1" t="s">
        <v>3203</v>
      </c>
      <c r="C3511" s="1" t="str">
        <f>"2662"</f>
        <v>2662</v>
      </c>
      <c r="D3511" s="1" t="str">
        <f>"2662"</f>
        <v>2662</v>
      </c>
      <c r="E3511" s="1" t="s">
        <v>17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</row>
    <row r="3512" spans="1:11" x14ac:dyDescent="0.2">
      <c r="A3512" s="1" t="s">
        <v>3192</v>
      </c>
      <c r="B3512" s="1" t="s">
        <v>3204</v>
      </c>
      <c r="C3512" s="1" t="str">
        <f>"66298912851833"</f>
        <v>66298912851833</v>
      </c>
      <c r="D3512" s="1" t="str">
        <f>"06455-KSY-881JP"</f>
        <v>06455-KSY-881JP</v>
      </c>
      <c r="E3512" s="1" t="s">
        <v>17</v>
      </c>
      <c r="F3512" s="1">
        <v>2</v>
      </c>
      <c r="G3512" s="1">
        <v>1791</v>
      </c>
      <c r="H3512" s="1">
        <v>3582</v>
      </c>
      <c r="I3512" s="1">
        <v>0</v>
      </c>
      <c r="J3512" s="1">
        <v>2</v>
      </c>
      <c r="K3512" s="1">
        <v>0</v>
      </c>
    </row>
    <row r="3513" spans="1:11" x14ac:dyDescent="0.2">
      <c r="A3513" s="1" t="s">
        <v>3192</v>
      </c>
      <c r="B3513" s="1" t="s">
        <v>3205</v>
      </c>
      <c r="C3513" s="1" t="str">
        <f>"66298912896209"</f>
        <v>66298912896209</v>
      </c>
      <c r="D3513" s="1" t="str">
        <f>"400276"</f>
        <v>400276</v>
      </c>
      <c r="E3513" s="1" t="s">
        <v>17</v>
      </c>
      <c r="F3513" s="1">
        <v>43</v>
      </c>
      <c r="G3513" s="1">
        <v>939</v>
      </c>
      <c r="H3513" s="1">
        <v>40377</v>
      </c>
      <c r="I3513" s="1">
        <v>0</v>
      </c>
      <c r="J3513" s="1">
        <v>43</v>
      </c>
      <c r="K3513" s="1">
        <v>0</v>
      </c>
    </row>
    <row r="3514" spans="1:11" x14ac:dyDescent="0.2">
      <c r="A3514" s="1" t="s">
        <v>3192</v>
      </c>
      <c r="B3514" s="1" t="s">
        <v>3206</v>
      </c>
      <c r="C3514" s="1" t="str">
        <f>"66298912939753"</f>
        <v>66298912939753</v>
      </c>
      <c r="D3514" s="1" t="str">
        <f>"P10029"</f>
        <v>P10029</v>
      </c>
      <c r="E3514" s="1" t="s">
        <v>17</v>
      </c>
      <c r="F3514" s="1">
        <v>3</v>
      </c>
      <c r="G3514" s="1">
        <v>4318</v>
      </c>
      <c r="H3514" s="1">
        <v>12954</v>
      </c>
      <c r="I3514" s="1">
        <v>0</v>
      </c>
      <c r="J3514" s="1">
        <v>3</v>
      </c>
      <c r="K3514" s="1">
        <v>0</v>
      </c>
    </row>
    <row r="3515" spans="1:11" x14ac:dyDescent="0.2">
      <c r="A3515" s="1" t="s">
        <v>3192</v>
      </c>
      <c r="B3515" s="1" t="s">
        <v>3207</v>
      </c>
      <c r="C3515" s="1" t="str">
        <f>"66298912981274"</f>
        <v>66298912981274</v>
      </c>
      <c r="D3515" s="1" t="str">
        <f>"LMP172"</f>
        <v>LMP172</v>
      </c>
      <c r="E3515" s="1" t="s">
        <v>17</v>
      </c>
      <c r="F3515" s="1">
        <v>1</v>
      </c>
      <c r="G3515" s="1">
        <v>13559</v>
      </c>
      <c r="H3515" s="1">
        <v>13559</v>
      </c>
      <c r="I3515" s="1">
        <v>0</v>
      </c>
      <c r="J3515" s="1">
        <v>1</v>
      </c>
      <c r="K3515" s="1">
        <v>0</v>
      </c>
    </row>
    <row r="3516" spans="1:11" ht="30" x14ac:dyDescent="0.2">
      <c r="A3516" s="1" t="s">
        <v>3192</v>
      </c>
      <c r="B3516" s="1" t="s">
        <v>3208</v>
      </c>
      <c r="C3516" s="1" t="str">
        <f>"66298913027856"</f>
        <v>66298913027856</v>
      </c>
      <c r="D3516" s="1" t="str">
        <f>"P10008"</f>
        <v>P10008</v>
      </c>
      <c r="E3516" s="1" t="s">
        <v>17</v>
      </c>
      <c r="F3516" s="1">
        <v>1</v>
      </c>
      <c r="G3516" s="1">
        <v>4318</v>
      </c>
      <c r="H3516" s="1">
        <v>4318</v>
      </c>
      <c r="I3516" s="1">
        <v>0</v>
      </c>
      <c r="J3516" s="1">
        <v>1</v>
      </c>
      <c r="K3516" s="1">
        <v>0</v>
      </c>
    </row>
    <row r="3517" spans="1:11" ht="30" x14ac:dyDescent="0.2">
      <c r="A3517" s="1" t="s">
        <v>3192</v>
      </c>
      <c r="B3517" s="1" t="s">
        <v>3209</v>
      </c>
      <c r="C3517" s="1" t="str">
        <f>"U032P"</f>
        <v>U032P</v>
      </c>
      <c r="D3517" s="1" t="str">
        <f>"U032P"</f>
        <v>U032P</v>
      </c>
      <c r="E3517" s="1" t="s">
        <v>17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</row>
    <row r="3518" spans="1:11" x14ac:dyDescent="0.2">
      <c r="A3518" s="1" t="s">
        <v>3192</v>
      </c>
      <c r="B3518" s="1" t="s">
        <v>3210</v>
      </c>
      <c r="C3518" s="1" t="str">
        <f>"66298913074043"</f>
        <v>66298913074043</v>
      </c>
      <c r="D3518" s="1" t="str">
        <f>"LMP184"</f>
        <v>LMP184</v>
      </c>
      <c r="E3518" s="1" t="s">
        <v>17</v>
      </c>
      <c r="F3518" s="1">
        <v>1</v>
      </c>
      <c r="G3518" s="1">
        <v>12106</v>
      </c>
      <c r="H3518" s="1">
        <v>12106</v>
      </c>
      <c r="I3518" s="1">
        <v>0</v>
      </c>
      <c r="J3518" s="1">
        <v>1</v>
      </c>
      <c r="K3518" s="1">
        <v>0</v>
      </c>
    </row>
    <row r="3519" spans="1:11" ht="30" x14ac:dyDescent="0.2">
      <c r="A3519" s="1" t="s">
        <v>3192</v>
      </c>
      <c r="B3519" s="1" t="s">
        <v>3211</v>
      </c>
      <c r="C3519" s="1" t="str">
        <f>"66298913116267"</f>
        <v>66298913116267</v>
      </c>
      <c r="D3519" s="1" t="str">
        <f>"59300-H338-12JP"</f>
        <v>59300-H338-12JP</v>
      </c>
      <c r="E3519" s="1" t="s">
        <v>17</v>
      </c>
      <c r="F3519" s="1">
        <v>3</v>
      </c>
      <c r="G3519" s="1">
        <v>1775</v>
      </c>
      <c r="H3519" s="1">
        <v>5325</v>
      </c>
      <c r="I3519" s="1">
        <v>0</v>
      </c>
      <c r="J3519" s="1">
        <v>3</v>
      </c>
      <c r="K3519" s="1">
        <v>0</v>
      </c>
    </row>
    <row r="3520" spans="1:11" x14ac:dyDescent="0.2">
      <c r="A3520" s="1" t="s">
        <v>3192</v>
      </c>
      <c r="B3520" s="1" t="s">
        <v>3212</v>
      </c>
      <c r="C3520" s="1" t="str">
        <f>"66298913159763"</f>
        <v>66298913159763</v>
      </c>
      <c r="D3520" s="1" t="str">
        <f>"400277"</f>
        <v>400277</v>
      </c>
      <c r="E3520" s="1" t="s">
        <v>17</v>
      </c>
      <c r="F3520" s="1">
        <v>36</v>
      </c>
      <c r="G3520" s="1">
        <v>673</v>
      </c>
      <c r="H3520" s="1">
        <v>24228</v>
      </c>
      <c r="I3520" s="1">
        <v>0</v>
      </c>
      <c r="J3520" s="1">
        <v>36</v>
      </c>
      <c r="K3520" s="1">
        <v>0</v>
      </c>
    </row>
    <row r="3521" spans="1:11" x14ac:dyDescent="0.2">
      <c r="A3521" s="1" t="s">
        <v>3192</v>
      </c>
      <c r="B3521" s="1" t="s">
        <v>3213</v>
      </c>
      <c r="C3521" s="1" t="str">
        <f>"U018P"</f>
        <v>U018P</v>
      </c>
      <c r="D3521" s="1" t="str">
        <f>"U018P"</f>
        <v>U018P</v>
      </c>
      <c r="E3521" s="1" t="s">
        <v>17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</row>
    <row r="3522" spans="1:11" x14ac:dyDescent="0.2">
      <c r="A3522" s="1" t="s">
        <v>3192</v>
      </c>
      <c r="B3522" s="1" t="s">
        <v>3214</v>
      </c>
      <c r="C3522" s="1" t="str">
        <f>"66298913200656"</f>
        <v>66298913200656</v>
      </c>
      <c r="D3522" s="1" t="str">
        <f>"LMP193"</f>
        <v>LMP193</v>
      </c>
      <c r="E3522" s="1" t="s">
        <v>17</v>
      </c>
      <c r="F3522" s="1">
        <v>1</v>
      </c>
      <c r="G3522" s="1">
        <v>13559</v>
      </c>
      <c r="H3522" s="1">
        <v>13559</v>
      </c>
      <c r="I3522" s="1">
        <v>0</v>
      </c>
      <c r="J3522" s="1">
        <v>1</v>
      </c>
      <c r="K3522" s="1">
        <v>0</v>
      </c>
    </row>
    <row r="3523" spans="1:11" x14ac:dyDescent="0.2">
      <c r="A3523" s="1" t="s">
        <v>3192</v>
      </c>
      <c r="B3523" s="1" t="s">
        <v>3215</v>
      </c>
      <c r="C3523" s="1" t="str">
        <f>"66298913243045"</f>
        <v>66298913243045</v>
      </c>
      <c r="D3523" s="1" t="str">
        <f>"P203"</f>
        <v>P203</v>
      </c>
      <c r="E3523" s="1" t="s">
        <v>17</v>
      </c>
      <c r="F3523" s="1">
        <v>1</v>
      </c>
      <c r="G3523" s="1">
        <v>1320</v>
      </c>
      <c r="H3523" s="1">
        <v>1320</v>
      </c>
      <c r="I3523" s="1">
        <v>0</v>
      </c>
      <c r="J3523" s="1">
        <v>1</v>
      </c>
      <c r="K3523" s="1">
        <v>0</v>
      </c>
    </row>
    <row r="3524" spans="1:11" x14ac:dyDescent="0.2">
      <c r="A3524" s="1" t="s">
        <v>3192</v>
      </c>
      <c r="B3524" s="1" t="s">
        <v>3216</v>
      </c>
      <c r="C3524" s="1" t="str">
        <f>"66298913290440"</f>
        <v>66298913290440</v>
      </c>
      <c r="D3524" s="1" t="str">
        <f>"P10013"</f>
        <v>P10013</v>
      </c>
      <c r="E3524" s="1" t="s">
        <v>17</v>
      </c>
      <c r="F3524" s="1">
        <v>2</v>
      </c>
      <c r="G3524" s="1">
        <v>4318</v>
      </c>
      <c r="H3524" s="1">
        <v>8636</v>
      </c>
      <c r="I3524" s="1">
        <v>0</v>
      </c>
      <c r="J3524" s="1">
        <v>2</v>
      </c>
      <c r="K3524" s="1">
        <v>0</v>
      </c>
    </row>
    <row r="3525" spans="1:11" x14ac:dyDescent="0.2">
      <c r="A3525" s="1" t="s">
        <v>3192</v>
      </c>
      <c r="B3525" s="1" t="s">
        <v>3217</v>
      </c>
      <c r="C3525" s="1" t="str">
        <f>"66298913344177"</f>
        <v>66298913344177</v>
      </c>
      <c r="D3525" s="1" t="str">
        <f>"U017HQ"</f>
        <v>U017HQ</v>
      </c>
      <c r="E3525" s="1" t="s">
        <v>17</v>
      </c>
      <c r="F3525" s="1">
        <v>4</v>
      </c>
      <c r="G3525" s="1">
        <v>832</v>
      </c>
      <c r="H3525" s="1">
        <v>3328</v>
      </c>
      <c r="I3525" s="1">
        <v>0</v>
      </c>
      <c r="J3525" s="1">
        <v>4</v>
      </c>
      <c r="K3525" s="1">
        <v>0</v>
      </c>
    </row>
    <row r="3526" spans="1:11" ht="30" x14ac:dyDescent="0.2">
      <c r="A3526" s="1" t="s">
        <v>3192</v>
      </c>
      <c r="B3526" s="1" t="s">
        <v>3218</v>
      </c>
      <c r="C3526" s="1" t="str">
        <f>"66298913336132"</f>
        <v>66298913336132</v>
      </c>
      <c r="D3526" s="1" t="str">
        <f>"P204"</f>
        <v>P204</v>
      </c>
      <c r="E3526" s="1" t="s">
        <v>17</v>
      </c>
      <c r="F3526" s="1">
        <v>2</v>
      </c>
      <c r="G3526" s="1">
        <v>423</v>
      </c>
      <c r="H3526" s="1">
        <v>846</v>
      </c>
      <c r="I3526" s="1">
        <v>0</v>
      </c>
      <c r="J3526" s="1">
        <v>2</v>
      </c>
      <c r="K3526" s="1">
        <v>0</v>
      </c>
    </row>
    <row r="3527" spans="1:11" x14ac:dyDescent="0.2">
      <c r="A3527" s="1" t="s">
        <v>3192</v>
      </c>
      <c r="B3527" s="1" t="s">
        <v>3219</v>
      </c>
      <c r="C3527" s="1" t="str">
        <f>"66298913401418"</f>
        <v>66298913401418</v>
      </c>
      <c r="D3527" s="1" t="str">
        <f>"P10010"</f>
        <v>P10010</v>
      </c>
      <c r="E3527" s="1" t="s">
        <v>17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</row>
    <row r="3528" spans="1:11" x14ac:dyDescent="0.2">
      <c r="A3528" s="1" t="s">
        <v>3192</v>
      </c>
      <c r="B3528" s="1" t="s">
        <v>3220</v>
      </c>
      <c r="C3528" s="1" t="str">
        <f>"66298913443305"</f>
        <v>66298913443305</v>
      </c>
      <c r="D3528" s="1" t="str">
        <f>"400278"</f>
        <v>400278</v>
      </c>
      <c r="E3528" s="1" t="s">
        <v>17</v>
      </c>
      <c r="F3528" s="1">
        <v>38</v>
      </c>
      <c r="G3528" s="1">
        <v>711</v>
      </c>
      <c r="H3528" s="1">
        <v>27018</v>
      </c>
      <c r="I3528" s="1">
        <v>0</v>
      </c>
      <c r="J3528" s="1">
        <v>38</v>
      </c>
      <c r="K3528" s="1">
        <v>0</v>
      </c>
    </row>
    <row r="3529" spans="1:11" x14ac:dyDescent="0.2">
      <c r="A3529" s="1" t="s">
        <v>3192</v>
      </c>
      <c r="B3529" s="1" t="s">
        <v>3221</v>
      </c>
      <c r="C3529" s="1" t="str">
        <f>"66298913485147"</f>
        <v>66298913485147</v>
      </c>
      <c r="D3529" s="1" t="str">
        <f>"43105-KZ1-415JP"</f>
        <v>43105-KZ1-415JP</v>
      </c>
      <c r="E3529" s="1" t="s">
        <v>17</v>
      </c>
      <c r="F3529" s="1">
        <v>6</v>
      </c>
      <c r="G3529" s="1">
        <v>1485</v>
      </c>
      <c r="H3529" s="1">
        <v>8910</v>
      </c>
      <c r="I3529" s="1">
        <v>0</v>
      </c>
      <c r="J3529" s="1">
        <v>6</v>
      </c>
      <c r="K3529" s="1">
        <v>0</v>
      </c>
    </row>
    <row r="3530" spans="1:11" x14ac:dyDescent="0.2">
      <c r="A3530" s="1" t="s">
        <v>3192</v>
      </c>
      <c r="B3530" s="1" t="s">
        <v>3222</v>
      </c>
      <c r="C3530" s="1" t="str">
        <f>"66298913569269"</f>
        <v>66298913569269</v>
      </c>
      <c r="D3530" s="1" t="str">
        <f>"400279"</f>
        <v>400279</v>
      </c>
      <c r="E3530" s="1" t="s">
        <v>17</v>
      </c>
      <c r="F3530" s="1">
        <v>28</v>
      </c>
      <c r="G3530" s="1">
        <v>777</v>
      </c>
      <c r="H3530" s="1">
        <v>21756</v>
      </c>
      <c r="I3530" s="1">
        <v>0</v>
      </c>
      <c r="J3530" s="1">
        <v>28</v>
      </c>
      <c r="K3530" s="1">
        <v>0</v>
      </c>
    </row>
    <row r="3531" spans="1:11" x14ac:dyDescent="0.2">
      <c r="A3531" s="1" t="s">
        <v>3192</v>
      </c>
      <c r="B3531" s="1" t="s">
        <v>3223</v>
      </c>
      <c r="C3531" s="1" t="str">
        <f>"66298913610131"</f>
        <v>66298913610131</v>
      </c>
      <c r="D3531" s="1" t="str">
        <f>"U001"</f>
        <v>U001</v>
      </c>
      <c r="E3531" s="1" t="s">
        <v>17</v>
      </c>
      <c r="F3531" s="1">
        <v>8</v>
      </c>
      <c r="G3531" s="1">
        <v>674</v>
      </c>
      <c r="H3531" s="1">
        <v>5392</v>
      </c>
      <c r="I3531" s="1">
        <v>0</v>
      </c>
      <c r="J3531" s="1">
        <v>8</v>
      </c>
      <c r="K3531" s="1">
        <v>0</v>
      </c>
    </row>
    <row r="3532" spans="1:11" x14ac:dyDescent="0.2">
      <c r="A3532" s="1" t="s">
        <v>3192</v>
      </c>
      <c r="B3532" s="1" t="s">
        <v>3224</v>
      </c>
      <c r="C3532" s="1" t="str">
        <f>"U004P"</f>
        <v>U004P</v>
      </c>
      <c r="D3532" s="1" t="str">
        <f>"U004P"</f>
        <v>U004P</v>
      </c>
      <c r="E3532" s="1" t="s">
        <v>17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</row>
    <row r="3533" spans="1:11" ht="30" x14ac:dyDescent="0.2">
      <c r="A3533" s="1" t="s">
        <v>3192</v>
      </c>
      <c r="B3533" s="1" t="s">
        <v>3225</v>
      </c>
      <c r="C3533" s="1" t="str">
        <f>"66298913528348"</f>
        <v>66298913528348</v>
      </c>
      <c r="D3533" s="1" t="str">
        <f>"59300-48810CM"</f>
        <v>59300-48810CM</v>
      </c>
      <c r="E3533" s="1" t="s">
        <v>17</v>
      </c>
      <c r="F3533" s="1">
        <v>63</v>
      </c>
      <c r="G3533" s="1">
        <v>1836</v>
      </c>
      <c r="H3533" s="1">
        <v>115668</v>
      </c>
      <c r="I3533" s="1">
        <v>0</v>
      </c>
      <c r="J3533" s="1">
        <v>63</v>
      </c>
      <c r="K3533" s="1">
        <v>0</v>
      </c>
    </row>
    <row r="3534" spans="1:11" x14ac:dyDescent="0.2">
      <c r="A3534" s="1" t="s">
        <v>3192</v>
      </c>
      <c r="B3534" s="1" t="s">
        <v>3226</v>
      </c>
      <c r="C3534" s="1" t="str">
        <f>"66298913650028"</f>
        <v>66298913650028</v>
      </c>
      <c r="D3534" s="1" t="str">
        <f>"P10004"</f>
        <v>P10004</v>
      </c>
      <c r="E3534" s="1" t="s">
        <v>17</v>
      </c>
      <c r="F3534" s="1">
        <v>2</v>
      </c>
      <c r="G3534" s="1">
        <v>4318</v>
      </c>
      <c r="H3534" s="1">
        <v>8636</v>
      </c>
      <c r="I3534" s="1">
        <v>0</v>
      </c>
      <c r="J3534" s="1">
        <v>2</v>
      </c>
      <c r="K3534" s="1">
        <v>0</v>
      </c>
    </row>
    <row r="3535" spans="1:11" x14ac:dyDescent="0.2">
      <c r="A3535" s="1" t="s">
        <v>3192</v>
      </c>
      <c r="B3535" s="1" t="s">
        <v>3227</v>
      </c>
      <c r="C3535" s="1" t="str">
        <f>"66298913692712"</f>
        <v>66298913692712</v>
      </c>
      <c r="D3535" s="1" t="str">
        <f>"69100-48820JP"</f>
        <v>69100-48820JP</v>
      </c>
      <c r="E3535" s="1" t="s">
        <v>17</v>
      </c>
      <c r="F3535" s="1">
        <v>1</v>
      </c>
      <c r="G3535" s="1">
        <v>1634</v>
      </c>
      <c r="H3535" s="1">
        <v>1634</v>
      </c>
      <c r="I3535" s="1">
        <v>0</v>
      </c>
      <c r="J3535" s="1">
        <v>1</v>
      </c>
      <c r="K3535" s="1">
        <v>0</v>
      </c>
    </row>
    <row r="3536" spans="1:11" x14ac:dyDescent="0.2">
      <c r="A3536" s="1" t="s">
        <v>3192</v>
      </c>
      <c r="B3536" s="1" t="s">
        <v>3228</v>
      </c>
      <c r="C3536" s="1" t="str">
        <f>"101858"</f>
        <v>101858</v>
      </c>
      <c r="D3536" s="1" t="str">
        <f>"101858"</f>
        <v>101858</v>
      </c>
      <c r="E3536" s="1" t="s">
        <v>17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</row>
    <row r="3537" spans="1:11" ht="30" x14ac:dyDescent="0.2">
      <c r="A3537" s="1" t="s">
        <v>3192</v>
      </c>
      <c r="B3537" s="1" t="s">
        <v>3229</v>
      </c>
      <c r="C3537" s="1" t="str">
        <f>"66298913730496"</f>
        <v>66298913730496</v>
      </c>
      <c r="D3537" s="1" t="str">
        <f>"400280"</f>
        <v>400280</v>
      </c>
      <c r="E3537" s="1" t="s">
        <v>17</v>
      </c>
      <c r="F3537" s="1">
        <v>24</v>
      </c>
      <c r="G3537" s="1">
        <v>873</v>
      </c>
      <c r="H3537" s="1">
        <v>20952</v>
      </c>
      <c r="I3537" s="1">
        <v>0</v>
      </c>
      <c r="J3537" s="1">
        <v>24</v>
      </c>
      <c r="K3537" s="1">
        <v>0</v>
      </c>
    </row>
    <row r="3538" spans="1:11" x14ac:dyDescent="0.2">
      <c r="A3538" s="1" t="s">
        <v>3192</v>
      </c>
      <c r="B3538" s="1" t="s">
        <v>3230</v>
      </c>
      <c r="C3538" s="1" t="str">
        <f>"2NA-W0045-00JP"</f>
        <v>2NA-W0045-00JP</v>
      </c>
      <c r="D3538" s="1" t="str">
        <f>"2NA-W0045-00JP"</f>
        <v>2NA-W0045-00JP</v>
      </c>
      <c r="E3538" s="1" t="s">
        <v>17</v>
      </c>
      <c r="F3538" s="1">
        <v>10</v>
      </c>
      <c r="G3538" s="1">
        <v>1822</v>
      </c>
      <c r="H3538" s="1">
        <v>18220</v>
      </c>
      <c r="I3538" s="1">
        <v>0</v>
      </c>
      <c r="J3538" s="1">
        <v>10</v>
      </c>
      <c r="K3538" s="1">
        <v>0</v>
      </c>
    </row>
    <row r="3539" spans="1:11" x14ac:dyDescent="0.2">
      <c r="A3539" s="1" t="s">
        <v>3192</v>
      </c>
      <c r="B3539" s="1" t="s">
        <v>3231</v>
      </c>
      <c r="C3539" s="1" t="str">
        <f>"66298913772029"</f>
        <v>66298913772029</v>
      </c>
      <c r="D3539" s="1" t="str">
        <f>"LMP222"</f>
        <v>LMP222</v>
      </c>
      <c r="E3539" s="1" t="s">
        <v>17</v>
      </c>
      <c r="F3539" s="1">
        <v>1</v>
      </c>
      <c r="G3539" s="1">
        <v>12841</v>
      </c>
      <c r="H3539" s="1">
        <v>12841</v>
      </c>
      <c r="I3539" s="1">
        <v>0</v>
      </c>
      <c r="J3539" s="1">
        <v>1</v>
      </c>
      <c r="K3539" s="1">
        <v>0</v>
      </c>
    </row>
    <row r="3540" spans="1:11" x14ac:dyDescent="0.2">
      <c r="A3540" s="1" t="s">
        <v>3192</v>
      </c>
      <c r="B3540" s="1" t="s">
        <v>3232</v>
      </c>
      <c r="C3540" s="1" t="str">
        <f>"66298913815242"</f>
        <v>66298913815242</v>
      </c>
      <c r="D3540" s="1" t="str">
        <f>"LMP224"</f>
        <v>LMP224</v>
      </c>
      <c r="E3540" s="1" t="s">
        <v>17</v>
      </c>
      <c r="F3540" s="1">
        <v>2</v>
      </c>
      <c r="G3540" s="1">
        <v>12888</v>
      </c>
      <c r="H3540" s="1">
        <v>25776</v>
      </c>
      <c r="I3540" s="1">
        <v>0</v>
      </c>
      <c r="J3540" s="1">
        <v>2</v>
      </c>
      <c r="K3540" s="1">
        <v>0</v>
      </c>
    </row>
    <row r="3541" spans="1:11" x14ac:dyDescent="0.2">
      <c r="A3541" s="1" t="s">
        <v>3192</v>
      </c>
      <c r="B3541" s="1" t="s">
        <v>3233</v>
      </c>
      <c r="C3541" s="1" t="str">
        <f>"66298913856941"</f>
        <v>66298913856941</v>
      </c>
      <c r="D3541" s="1" t="str">
        <f>"LMP226"</f>
        <v>LMP226</v>
      </c>
      <c r="E3541" s="1" t="s">
        <v>17</v>
      </c>
      <c r="F3541" s="1">
        <v>1</v>
      </c>
      <c r="G3541" s="1">
        <v>15294</v>
      </c>
      <c r="H3541" s="1">
        <v>15294</v>
      </c>
      <c r="I3541" s="1">
        <v>0</v>
      </c>
      <c r="J3541" s="1">
        <v>1</v>
      </c>
      <c r="K3541" s="1">
        <v>0</v>
      </c>
    </row>
    <row r="3542" spans="1:11" ht="30" x14ac:dyDescent="0.2">
      <c r="A3542" s="1" t="s">
        <v>3192</v>
      </c>
      <c r="B3542" s="1" t="s">
        <v>3234</v>
      </c>
      <c r="C3542" s="1" t="str">
        <f>"66298913897668"</f>
        <v>66298913897668</v>
      </c>
      <c r="D3542" s="1" t="str">
        <f>"400281"</f>
        <v>400281</v>
      </c>
      <c r="E3542" s="1" t="s">
        <v>17</v>
      </c>
      <c r="F3542" s="1">
        <v>48</v>
      </c>
      <c r="G3542" s="1">
        <v>934</v>
      </c>
      <c r="H3542" s="1">
        <v>44832</v>
      </c>
      <c r="I3542" s="1">
        <v>0</v>
      </c>
      <c r="J3542" s="1">
        <v>48</v>
      </c>
      <c r="K3542" s="1">
        <v>0</v>
      </c>
    </row>
    <row r="3543" spans="1:11" x14ac:dyDescent="0.2">
      <c r="A3543" s="1" t="s">
        <v>3192</v>
      </c>
      <c r="B3543" s="1" t="s">
        <v>3235</v>
      </c>
      <c r="C3543" s="1" t="str">
        <f>"1769"</f>
        <v>1769</v>
      </c>
      <c r="D3543" s="1" t="str">
        <f>"1769"</f>
        <v>1769</v>
      </c>
      <c r="E3543" s="1" t="s">
        <v>17</v>
      </c>
      <c r="F3543" s="1">
        <v>7</v>
      </c>
      <c r="G3543" s="1">
        <v>2612</v>
      </c>
      <c r="H3543" s="1">
        <v>18284</v>
      </c>
      <c r="I3543" s="1">
        <v>0</v>
      </c>
      <c r="J3543" s="1">
        <v>7</v>
      </c>
      <c r="K3543" s="1">
        <v>0</v>
      </c>
    </row>
    <row r="3544" spans="1:11" ht="30" x14ac:dyDescent="0.2">
      <c r="A3544" s="1" t="s">
        <v>3192</v>
      </c>
      <c r="B3544" s="1" t="s">
        <v>3236</v>
      </c>
      <c r="C3544" s="1" t="str">
        <f>"66298913980534"</f>
        <v>66298913980534</v>
      </c>
      <c r="D3544" s="1" t="str">
        <f>"400282"</f>
        <v>400282</v>
      </c>
      <c r="E3544" s="1" t="s">
        <v>17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</row>
    <row r="3545" spans="1:11" ht="30" x14ac:dyDescent="0.2">
      <c r="A3545" s="1" t="s">
        <v>3192</v>
      </c>
      <c r="B3545" s="1" t="s">
        <v>3237</v>
      </c>
      <c r="C3545" s="1" t="str">
        <f>"66298913937193"</f>
        <v>66298913937193</v>
      </c>
      <c r="D3545" s="1" t="str">
        <f>"69100-15810JP"</f>
        <v>69100-15810JP</v>
      </c>
      <c r="E3545" s="1" t="s">
        <v>17</v>
      </c>
      <c r="F3545" s="1">
        <v>13</v>
      </c>
      <c r="G3545" s="1">
        <v>1897</v>
      </c>
      <c r="H3545" s="1">
        <v>24661</v>
      </c>
      <c r="I3545" s="1">
        <v>0</v>
      </c>
      <c r="J3545" s="1">
        <v>13</v>
      </c>
      <c r="K3545" s="1">
        <v>0</v>
      </c>
    </row>
    <row r="3546" spans="1:11" ht="30" x14ac:dyDescent="0.2">
      <c r="A3546" s="1" t="s">
        <v>3192</v>
      </c>
      <c r="B3546" s="1" t="s">
        <v>3237</v>
      </c>
      <c r="C3546" s="1" t="str">
        <f>"11412"</f>
        <v>11412</v>
      </c>
      <c r="D3546" s="1" t="str">
        <f>"11412"</f>
        <v>11412</v>
      </c>
      <c r="E3546" s="1" t="s">
        <v>17</v>
      </c>
      <c r="F3546" s="1">
        <v>1</v>
      </c>
      <c r="G3546" s="1">
        <v>3731.09</v>
      </c>
      <c r="H3546" s="1">
        <v>3731</v>
      </c>
      <c r="I3546" s="1">
        <v>0</v>
      </c>
      <c r="J3546" s="1">
        <v>1</v>
      </c>
      <c r="K3546" s="1">
        <v>0</v>
      </c>
    </row>
    <row r="3547" spans="1:11" x14ac:dyDescent="0.2">
      <c r="A3547" s="1" t="s">
        <v>3192</v>
      </c>
      <c r="B3547" s="1" t="s">
        <v>3238</v>
      </c>
      <c r="C3547" s="1" t="str">
        <f>"66298914020025"</f>
        <v>66298914020025</v>
      </c>
      <c r="D3547" s="1" t="str">
        <f>"LMP234"</f>
        <v>LMP234</v>
      </c>
      <c r="E3547" s="1" t="s">
        <v>17</v>
      </c>
      <c r="F3547" s="1">
        <v>1</v>
      </c>
      <c r="G3547" s="1">
        <v>13765</v>
      </c>
      <c r="H3547" s="1">
        <v>13765</v>
      </c>
      <c r="I3547" s="1">
        <v>0</v>
      </c>
      <c r="J3547" s="1">
        <v>1</v>
      </c>
      <c r="K3547" s="1">
        <v>0</v>
      </c>
    </row>
    <row r="3548" spans="1:11" ht="30" x14ac:dyDescent="0.2">
      <c r="A3548" s="1" t="s">
        <v>3192</v>
      </c>
      <c r="B3548" s="1" t="s">
        <v>3239</v>
      </c>
      <c r="C3548" s="1" t="str">
        <f>"43082-1128-CM"</f>
        <v>43082-1128-CM</v>
      </c>
      <c r="D3548" s="1" t="str">
        <f>"43082-1128-CM"</f>
        <v>43082-1128-CM</v>
      </c>
      <c r="E3548" s="1" t="s">
        <v>17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</row>
    <row r="3549" spans="1:11" ht="30" x14ac:dyDescent="0.2">
      <c r="A3549" s="1" t="s">
        <v>3192</v>
      </c>
      <c r="B3549" s="1" t="s">
        <v>3240</v>
      </c>
      <c r="C3549" s="1" t="str">
        <f>"66298914137614"</f>
        <v>66298914137614</v>
      </c>
      <c r="D3549" s="1" t="str">
        <f>"400283"</f>
        <v>400283</v>
      </c>
      <c r="E3549" s="1" t="s">
        <v>17</v>
      </c>
      <c r="F3549" s="1">
        <v>11</v>
      </c>
      <c r="G3549" s="1">
        <v>689</v>
      </c>
      <c r="H3549" s="1">
        <v>7579</v>
      </c>
      <c r="I3549" s="1">
        <v>0</v>
      </c>
      <c r="J3549" s="1">
        <v>11</v>
      </c>
      <c r="K3549" s="1">
        <v>0</v>
      </c>
    </row>
    <row r="3550" spans="1:11" x14ac:dyDescent="0.2">
      <c r="A3550" s="1" t="s">
        <v>3192</v>
      </c>
      <c r="B3550" s="1" t="s">
        <v>3241</v>
      </c>
      <c r="C3550" s="1" t="str">
        <f>"66298914098998"</f>
        <v>66298914098998</v>
      </c>
      <c r="D3550" s="1" t="str">
        <f>"FA197HH"</f>
        <v>FA197HH</v>
      </c>
      <c r="E3550" s="1" t="s">
        <v>17</v>
      </c>
      <c r="F3550" s="1">
        <v>1</v>
      </c>
      <c r="G3550" s="1">
        <v>21407</v>
      </c>
      <c r="H3550" s="1">
        <v>21407</v>
      </c>
      <c r="I3550" s="1">
        <v>0</v>
      </c>
      <c r="J3550" s="1">
        <v>1</v>
      </c>
      <c r="K3550" s="1">
        <v>0</v>
      </c>
    </row>
    <row r="3551" spans="1:11" x14ac:dyDescent="0.2">
      <c r="A3551" s="1" t="s">
        <v>3192</v>
      </c>
      <c r="B3551" s="1" t="s">
        <v>3242</v>
      </c>
      <c r="C3551" s="1" t="str">
        <f>"66298914057523"</f>
        <v>66298914057523</v>
      </c>
      <c r="D3551" s="1" t="str">
        <f>"MN146"</f>
        <v>MN146</v>
      </c>
      <c r="E3551" s="1" t="s">
        <v>17</v>
      </c>
      <c r="F3551" s="1">
        <v>6</v>
      </c>
      <c r="G3551" s="1">
        <v>674</v>
      </c>
      <c r="H3551" s="1">
        <v>4044</v>
      </c>
      <c r="I3551" s="1">
        <v>0</v>
      </c>
      <c r="J3551" s="1">
        <v>6</v>
      </c>
      <c r="K3551" s="1">
        <v>0</v>
      </c>
    </row>
    <row r="3552" spans="1:11" x14ac:dyDescent="0.2">
      <c r="A3552" s="1" t="s">
        <v>3192</v>
      </c>
      <c r="B3552" s="1" t="s">
        <v>3243</v>
      </c>
      <c r="C3552" s="1" t="str">
        <f>"66298914177319"</f>
        <v>66298914177319</v>
      </c>
      <c r="D3552" s="1" t="str">
        <f>"VD248KEVLA"</f>
        <v>VD248KEVLA</v>
      </c>
      <c r="E3552" s="1" t="s">
        <v>17</v>
      </c>
      <c r="F3552" s="1">
        <v>1</v>
      </c>
      <c r="G3552" s="1">
        <v>7765</v>
      </c>
      <c r="H3552" s="1">
        <v>7765</v>
      </c>
      <c r="I3552" s="1">
        <v>0</v>
      </c>
      <c r="J3552" s="1">
        <v>1</v>
      </c>
      <c r="K3552" s="1">
        <v>0</v>
      </c>
    </row>
    <row r="3553" spans="1:11" x14ac:dyDescent="0.2">
      <c r="A3553" s="1" t="s">
        <v>3192</v>
      </c>
      <c r="B3553" s="1" t="s">
        <v>3244</v>
      </c>
      <c r="C3553" s="1" t="str">
        <f>"66298914216389"</f>
        <v>66298914216389</v>
      </c>
      <c r="D3553" s="1" t="str">
        <f>"FA174HH"</f>
        <v>FA174HH</v>
      </c>
      <c r="E3553" s="1" t="s">
        <v>17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</row>
    <row r="3554" spans="1:11" x14ac:dyDescent="0.2">
      <c r="A3554" s="1" t="s">
        <v>3192</v>
      </c>
      <c r="B3554" s="1" t="s">
        <v>3245</v>
      </c>
      <c r="C3554" s="1" t="str">
        <f>"66298914254445"</f>
        <v>66298914254445</v>
      </c>
      <c r="D3554" s="1" t="str">
        <f>"400284"</f>
        <v>400284</v>
      </c>
      <c r="E3554" s="1" t="s">
        <v>17</v>
      </c>
      <c r="F3554" s="1">
        <v>62</v>
      </c>
      <c r="G3554" s="1">
        <v>882</v>
      </c>
      <c r="H3554" s="1">
        <v>54684</v>
      </c>
      <c r="I3554" s="1">
        <v>0</v>
      </c>
      <c r="J3554" s="1">
        <v>62</v>
      </c>
      <c r="K3554" s="1">
        <v>0</v>
      </c>
    </row>
    <row r="3555" spans="1:11" ht="30" x14ac:dyDescent="0.2">
      <c r="A3555" s="1" t="s">
        <v>3192</v>
      </c>
      <c r="B3555" s="1" t="s">
        <v>3246</v>
      </c>
      <c r="C3555" s="1" t="str">
        <f>"LMP257SR"</f>
        <v>LMP257SR</v>
      </c>
      <c r="D3555" s="1" t="str">
        <f>"LMP257SR"</f>
        <v>LMP257SR</v>
      </c>
      <c r="E3555" s="1" t="s">
        <v>17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</row>
    <row r="3556" spans="1:11" x14ac:dyDescent="0.2">
      <c r="A3556" s="1" t="s">
        <v>3192</v>
      </c>
      <c r="B3556" s="1" t="s">
        <v>3247</v>
      </c>
      <c r="C3556" s="1" t="str">
        <f>"66298914295058"</f>
        <v>66298914295058</v>
      </c>
      <c r="D3556" s="1" t="str">
        <f>"MBP-980"</f>
        <v>MBP-980</v>
      </c>
      <c r="E3556" s="1" t="s">
        <v>17</v>
      </c>
      <c r="F3556" s="1">
        <v>19</v>
      </c>
      <c r="G3556" s="1">
        <v>1080</v>
      </c>
      <c r="H3556" s="1">
        <v>20520</v>
      </c>
      <c r="I3556" s="1">
        <v>0</v>
      </c>
      <c r="J3556" s="1">
        <v>19</v>
      </c>
      <c r="K3556" s="1">
        <v>0</v>
      </c>
    </row>
    <row r="3557" spans="1:11" ht="30" x14ac:dyDescent="0.2">
      <c r="A3557" s="1" t="s">
        <v>3192</v>
      </c>
      <c r="B3557" s="1" t="s">
        <v>3248</v>
      </c>
      <c r="C3557" s="1" t="str">
        <f>"11414"</f>
        <v>11414</v>
      </c>
      <c r="D3557" s="1" t="str">
        <f>"11414"</f>
        <v>11414</v>
      </c>
      <c r="E3557" s="1" t="s">
        <v>17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</row>
    <row r="3558" spans="1:11" ht="30" x14ac:dyDescent="0.2">
      <c r="A3558" s="1" t="s">
        <v>3192</v>
      </c>
      <c r="B3558" s="1" t="s">
        <v>3249</v>
      </c>
      <c r="C3558" s="1" t="str">
        <f>"66298914337504"</f>
        <v>66298914337504</v>
      </c>
      <c r="D3558" s="1" t="str">
        <f>"DJ-1510-71"</f>
        <v>DJ-1510-71</v>
      </c>
      <c r="E3558" s="1" t="s">
        <v>17</v>
      </c>
      <c r="F3558" s="1">
        <v>53</v>
      </c>
      <c r="G3558" s="1">
        <v>1950</v>
      </c>
      <c r="H3558" s="1">
        <v>103350</v>
      </c>
      <c r="I3558" s="1">
        <v>0</v>
      </c>
      <c r="J3558" s="1">
        <v>53</v>
      </c>
      <c r="K3558" s="1">
        <v>0</v>
      </c>
    </row>
    <row r="3559" spans="1:11" ht="30" x14ac:dyDescent="0.2">
      <c r="A3559" s="1" t="s">
        <v>3192</v>
      </c>
      <c r="B3559" s="1" t="s">
        <v>3249</v>
      </c>
      <c r="C3559" s="1" t="str">
        <f>"66298914345463"</f>
        <v>66298914345463</v>
      </c>
      <c r="D3559" s="1" t="str">
        <f>"DJ-1510-71CM"</f>
        <v>DJ-1510-71CM</v>
      </c>
      <c r="E3559" s="1" t="s">
        <v>17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</row>
    <row r="3560" spans="1:11" ht="30" x14ac:dyDescent="0.2">
      <c r="A3560" s="1" t="s">
        <v>3192</v>
      </c>
      <c r="B3560" s="1" t="s">
        <v>3249</v>
      </c>
      <c r="C3560" s="1" t="str">
        <f>"U003"</f>
        <v>U003</v>
      </c>
      <c r="D3560" s="1" t="str">
        <f>"U003"</f>
        <v>U003</v>
      </c>
      <c r="E3560" s="1" t="s">
        <v>17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</row>
    <row r="3561" spans="1:11" x14ac:dyDescent="0.2">
      <c r="A3561" s="1" t="s">
        <v>3192</v>
      </c>
      <c r="B3561" s="1" t="s">
        <v>3250</v>
      </c>
      <c r="C3561" s="1" t="str">
        <f>"LMP274SR"</f>
        <v>LMP274SR</v>
      </c>
      <c r="D3561" s="1" t="str">
        <f>"LMP274SR"</f>
        <v>LMP274SR</v>
      </c>
      <c r="E3561" s="1" t="s">
        <v>17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</row>
    <row r="3562" spans="1:11" x14ac:dyDescent="0.2">
      <c r="A3562" s="1" t="s">
        <v>3192</v>
      </c>
      <c r="B3562" s="1" t="s">
        <v>3251</v>
      </c>
      <c r="C3562" s="1" t="str">
        <f>"11424"</f>
        <v>11424</v>
      </c>
      <c r="D3562" s="1" t="str">
        <f>"11424"</f>
        <v>11424</v>
      </c>
      <c r="E3562" s="1" t="s">
        <v>17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</row>
    <row r="3563" spans="1:11" x14ac:dyDescent="0.2">
      <c r="A3563" s="1" t="s">
        <v>3192</v>
      </c>
      <c r="B3563" s="1" t="s">
        <v>3252</v>
      </c>
      <c r="C3563" s="1" t="str">
        <f>"66298914399322"</f>
        <v>66298914399322</v>
      </c>
      <c r="D3563" s="1" t="str">
        <f>"400286"</f>
        <v>400286</v>
      </c>
      <c r="E3563" s="1" t="s">
        <v>17</v>
      </c>
      <c r="F3563" s="1">
        <v>47</v>
      </c>
      <c r="G3563" s="1">
        <v>1153</v>
      </c>
      <c r="H3563" s="1">
        <v>54191</v>
      </c>
      <c r="I3563" s="1">
        <v>0</v>
      </c>
      <c r="J3563" s="1">
        <v>47</v>
      </c>
      <c r="K3563" s="1">
        <v>0</v>
      </c>
    </row>
    <row r="3564" spans="1:11" x14ac:dyDescent="0.2">
      <c r="A3564" s="1" t="s">
        <v>3192</v>
      </c>
      <c r="B3564" s="1" t="s">
        <v>3253</v>
      </c>
      <c r="C3564" s="1" t="str">
        <f>"LMP275SR"</f>
        <v>LMP275SR</v>
      </c>
      <c r="D3564" s="1" t="str">
        <f>"LMP275SR"</f>
        <v>LMP275SR</v>
      </c>
      <c r="E3564" s="1" t="s">
        <v>17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</row>
    <row r="3565" spans="1:11" ht="30" x14ac:dyDescent="0.2">
      <c r="A3565" s="1" t="s">
        <v>3192</v>
      </c>
      <c r="B3565" s="1" t="s">
        <v>3254</v>
      </c>
      <c r="C3565" s="1" t="str">
        <f>"11423"</f>
        <v>11423</v>
      </c>
      <c r="D3565" s="1" t="str">
        <f>"11423"</f>
        <v>11423</v>
      </c>
      <c r="E3565" s="1" t="s">
        <v>17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</row>
    <row r="3566" spans="1:11" ht="30" x14ac:dyDescent="0.2">
      <c r="A3566" s="1" t="s">
        <v>3192</v>
      </c>
      <c r="B3566" s="1" t="s">
        <v>3255</v>
      </c>
      <c r="C3566" s="1" t="str">
        <f>"66298914439250"</f>
        <v>66298914439250</v>
      </c>
      <c r="D3566" s="1" t="str">
        <f>"400287"</f>
        <v>400287</v>
      </c>
      <c r="E3566" s="1" t="s">
        <v>17</v>
      </c>
      <c r="F3566" s="1">
        <v>15</v>
      </c>
      <c r="G3566" s="1">
        <v>681</v>
      </c>
      <c r="H3566" s="1">
        <v>10215</v>
      </c>
      <c r="I3566" s="1">
        <v>0</v>
      </c>
      <c r="J3566" s="1">
        <v>15</v>
      </c>
      <c r="K3566" s="1">
        <v>0</v>
      </c>
    </row>
    <row r="3567" spans="1:11" x14ac:dyDescent="0.2">
      <c r="A3567" s="1" t="s">
        <v>3192</v>
      </c>
      <c r="B3567" s="1" t="s">
        <v>3256</v>
      </c>
      <c r="C3567" s="1" t="str">
        <f>"HDR160"</f>
        <v>HDR160</v>
      </c>
      <c r="D3567" s="1" t="str">
        <f>"HDR160"</f>
        <v>HDR160</v>
      </c>
      <c r="E3567" s="1" t="s">
        <v>17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</row>
    <row r="3568" spans="1:11" x14ac:dyDescent="0.2">
      <c r="A3568" s="1" t="s">
        <v>3192</v>
      </c>
      <c r="B3568" s="1" t="s">
        <v>3257</v>
      </c>
      <c r="C3568" s="1" t="str">
        <f>"66298914476418"</f>
        <v>66298914476418</v>
      </c>
      <c r="D3568" s="1" t="str">
        <f>"FA-188"</f>
        <v>FA-188</v>
      </c>
      <c r="E3568" s="1" t="s">
        <v>17</v>
      </c>
      <c r="F3568" s="1">
        <v>2</v>
      </c>
      <c r="G3568" s="1">
        <v>2750</v>
      </c>
      <c r="H3568" s="1">
        <v>5500</v>
      </c>
      <c r="I3568" s="1">
        <v>0</v>
      </c>
      <c r="J3568" s="1">
        <v>2</v>
      </c>
      <c r="K3568" s="1">
        <v>0</v>
      </c>
    </row>
    <row r="3569" spans="1:11" x14ac:dyDescent="0.2">
      <c r="A3569" s="1" t="s">
        <v>3192</v>
      </c>
      <c r="B3569" s="1" t="s">
        <v>3258</v>
      </c>
      <c r="C3569" s="1" t="str">
        <f>"LMP287SR"</f>
        <v>LMP287SR</v>
      </c>
      <c r="D3569" s="1" t="str">
        <f>"LMP287SR"</f>
        <v>LMP287SR</v>
      </c>
      <c r="E3569" s="1" t="s">
        <v>17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</row>
    <row r="3570" spans="1:11" x14ac:dyDescent="0.2">
      <c r="A3570" s="1" t="s">
        <v>3192</v>
      </c>
      <c r="B3570" s="1" t="s">
        <v>3259</v>
      </c>
      <c r="C3570" s="1" t="str">
        <f>"66298914516878"</f>
        <v>66298914516878</v>
      </c>
      <c r="D3570" s="1" t="str">
        <f>"4FU-W0045-00JP"</f>
        <v>4FU-W0045-00JP</v>
      </c>
      <c r="E3570" s="1" t="s">
        <v>17</v>
      </c>
      <c r="F3570" s="1">
        <v>19</v>
      </c>
      <c r="G3570" s="1">
        <v>1853</v>
      </c>
      <c r="H3570" s="1">
        <v>35207</v>
      </c>
      <c r="I3570" s="1">
        <v>0</v>
      </c>
      <c r="J3570" s="1">
        <v>19</v>
      </c>
      <c r="K3570" s="1">
        <v>0</v>
      </c>
    </row>
    <row r="3571" spans="1:11" x14ac:dyDescent="0.2">
      <c r="A3571" s="1" t="s">
        <v>3192</v>
      </c>
      <c r="B3571" s="1" t="s">
        <v>3260</v>
      </c>
      <c r="C3571" s="1" t="str">
        <f>"66298914561445"</f>
        <v>66298914561445</v>
      </c>
      <c r="D3571" s="1" t="str">
        <f>"400288"</f>
        <v>400288</v>
      </c>
      <c r="E3571" s="1" t="s">
        <v>17</v>
      </c>
      <c r="F3571" s="1">
        <v>9</v>
      </c>
      <c r="G3571" s="1">
        <v>821</v>
      </c>
      <c r="H3571" s="1">
        <v>7389</v>
      </c>
      <c r="I3571" s="1">
        <v>0</v>
      </c>
      <c r="J3571" s="1">
        <v>9</v>
      </c>
      <c r="K3571" s="1">
        <v>0</v>
      </c>
    </row>
    <row r="3572" spans="1:11" ht="30" x14ac:dyDescent="0.2">
      <c r="A3572" s="1" t="s">
        <v>3192</v>
      </c>
      <c r="B3572" s="1" t="s">
        <v>3261</v>
      </c>
      <c r="C3572" s="1" t="str">
        <f>"66298914608534"</f>
        <v>66298914608534</v>
      </c>
      <c r="D3572" s="1" t="str">
        <f>"P10037"</f>
        <v>P10037</v>
      </c>
      <c r="E3572" s="1" t="s">
        <v>17</v>
      </c>
      <c r="F3572" s="1">
        <v>1</v>
      </c>
      <c r="G3572" s="1">
        <v>4959</v>
      </c>
      <c r="H3572" s="1">
        <v>4959</v>
      </c>
      <c r="I3572" s="1">
        <v>0</v>
      </c>
      <c r="J3572" s="1">
        <v>1</v>
      </c>
      <c r="K3572" s="1">
        <v>0</v>
      </c>
    </row>
    <row r="3573" spans="1:11" x14ac:dyDescent="0.2">
      <c r="A3573" s="1" t="s">
        <v>3192</v>
      </c>
      <c r="B3573" s="1" t="s">
        <v>3262</v>
      </c>
      <c r="C3573" s="1" t="str">
        <f>"66298914656942"</f>
        <v>66298914656942</v>
      </c>
      <c r="D3573" s="1" t="str">
        <f>"U035"</f>
        <v>U035</v>
      </c>
      <c r="E3573" s="1" t="s">
        <v>17</v>
      </c>
      <c r="F3573" s="1">
        <v>3</v>
      </c>
      <c r="G3573" s="1">
        <v>911</v>
      </c>
      <c r="H3573" s="1">
        <v>2733</v>
      </c>
      <c r="I3573" s="1">
        <v>0</v>
      </c>
      <c r="J3573" s="1">
        <v>3</v>
      </c>
      <c r="K3573" s="1">
        <v>0</v>
      </c>
    </row>
    <row r="3574" spans="1:11" x14ac:dyDescent="0.2">
      <c r="A3574" s="1" t="s">
        <v>3192</v>
      </c>
      <c r="B3574" s="1" t="s">
        <v>3263</v>
      </c>
      <c r="C3574" s="1" t="str">
        <f>"66298914700103"</f>
        <v>66298914700103</v>
      </c>
      <c r="D3574" s="1" t="str">
        <f>"82096"</f>
        <v>82096</v>
      </c>
      <c r="E3574" s="1" t="s">
        <v>17</v>
      </c>
      <c r="F3574" s="1">
        <v>3</v>
      </c>
      <c r="G3574" s="1">
        <v>1023</v>
      </c>
      <c r="H3574" s="1">
        <v>3069</v>
      </c>
      <c r="I3574" s="1">
        <v>0</v>
      </c>
      <c r="J3574" s="1">
        <v>3</v>
      </c>
      <c r="K3574" s="1">
        <v>0</v>
      </c>
    </row>
    <row r="3575" spans="1:11" x14ac:dyDescent="0.2">
      <c r="A3575" s="1" t="s">
        <v>3192</v>
      </c>
      <c r="B3575" s="1" t="s">
        <v>3264</v>
      </c>
      <c r="C3575" s="1" t="str">
        <f>"LMP300SF"</f>
        <v>LMP300SF</v>
      </c>
      <c r="D3575" s="1" t="str">
        <f>"LMP300SF"</f>
        <v>LMP300SF</v>
      </c>
      <c r="E3575" s="1" t="s">
        <v>17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</row>
    <row r="3576" spans="1:11" x14ac:dyDescent="0.2">
      <c r="A3576" s="1" t="s">
        <v>3192</v>
      </c>
      <c r="B3576" s="1" t="s">
        <v>3265</v>
      </c>
      <c r="C3576" s="1" t="str">
        <f>"66298914746730"</f>
        <v>66298914746730</v>
      </c>
      <c r="D3576" s="1" t="str">
        <f>"400289"</f>
        <v>400289</v>
      </c>
      <c r="E3576" s="1" t="s">
        <v>17</v>
      </c>
      <c r="F3576" s="1">
        <v>21</v>
      </c>
      <c r="G3576" s="1">
        <v>597</v>
      </c>
      <c r="H3576" s="1">
        <v>12537</v>
      </c>
      <c r="I3576" s="1">
        <v>0</v>
      </c>
      <c r="J3576" s="1">
        <v>21</v>
      </c>
      <c r="K3576" s="1">
        <v>0</v>
      </c>
    </row>
    <row r="3577" spans="1:11" x14ac:dyDescent="0.2">
      <c r="A3577" s="1" t="s">
        <v>3192</v>
      </c>
      <c r="B3577" s="1" t="s">
        <v>3266</v>
      </c>
      <c r="C3577" s="1" t="str">
        <f>"66298914791179"</f>
        <v>66298914791179</v>
      </c>
      <c r="D3577" s="1" t="str">
        <f>"59100-33880JP"</f>
        <v>59100-33880JP</v>
      </c>
      <c r="E3577" s="1" t="s">
        <v>17</v>
      </c>
      <c r="F3577" s="1">
        <v>5</v>
      </c>
      <c r="G3577" s="1">
        <v>1150</v>
      </c>
      <c r="H3577" s="1">
        <v>5750</v>
      </c>
      <c r="I3577" s="1">
        <v>0</v>
      </c>
      <c r="J3577" s="1">
        <v>5</v>
      </c>
      <c r="K3577" s="1">
        <v>0</v>
      </c>
    </row>
    <row r="3578" spans="1:11" x14ac:dyDescent="0.2">
      <c r="A3578" s="1" t="s">
        <v>3192</v>
      </c>
      <c r="B3578" s="1" t="s">
        <v>3267</v>
      </c>
      <c r="C3578" s="1" t="str">
        <f>"66298914836465"</f>
        <v>66298914836465</v>
      </c>
      <c r="D3578" s="1" t="str">
        <f>"FA229HH"</f>
        <v>FA229HH</v>
      </c>
      <c r="E3578" s="1" t="s">
        <v>17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</row>
    <row r="3579" spans="1:11" x14ac:dyDescent="0.2">
      <c r="A3579" s="1" t="s">
        <v>3192</v>
      </c>
      <c r="B3579" s="1" t="s">
        <v>3268</v>
      </c>
      <c r="C3579" s="1" t="str">
        <f>"66298914879951"</f>
        <v>66298914879951</v>
      </c>
      <c r="D3579" s="1" t="str">
        <f>"45105-OSC-9000JP"</f>
        <v>45105-OSC-9000JP</v>
      </c>
      <c r="E3579" s="1" t="s">
        <v>17</v>
      </c>
      <c r="F3579" s="1">
        <v>5</v>
      </c>
      <c r="G3579" s="1">
        <v>1336</v>
      </c>
      <c r="H3579" s="1">
        <v>6680</v>
      </c>
      <c r="I3579" s="1">
        <v>0</v>
      </c>
      <c r="J3579" s="1">
        <v>5</v>
      </c>
      <c r="K3579" s="1">
        <v>0</v>
      </c>
    </row>
    <row r="3580" spans="1:11" x14ac:dyDescent="0.2">
      <c r="A3580" s="1" t="s">
        <v>3192</v>
      </c>
      <c r="B3580" s="1" t="s">
        <v>3269</v>
      </c>
      <c r="C3580" s="1" t="str">
        <f>"66298914922159"</f>
        <v>66298914922159</v>
      </c>
      <c r="D3580" s="1" t="str">
        <f>"LMP316"</f>
        <v>LMP316</v>
      </c>
      <c r="E3580" s="1" t="s">
        <v>17</v>
      </c>
      <c r="F3580" s="1">
        <v>1</v>
      </c>
      <c r="G3580" s="1">
        <v>12806</v>
      </c>
      <c r="H3580" s="1">
        <v>12806</v>
      </c>
      <c r="I3580" s="1">
        <v>0</v>
      </c>
      <c r="J3580" s="1">
        <v>1</v>
      </c>
      <c r="K3580" s="1">
        <v>0</v>
      </c>
    </row>
    <row r="3581" spans="1:11" x14ac:dyDescent="0.2">
      <c r="A3581" s="1" t="s">
        <v>3192</v>
      </c>
      <c r="B3581" s="1" t="s">
        <v>3270</v>
      </c>
      <c r="C3581" s="1" t="str">
        <f>"66298914966416"</f>
        <v>66298914966416</v>
      </c>
      <c r="D3581" s="1" t="str">
        <f>"PF-U011"</f>
        <v>PF-U011</v>
      </c>
      <c r="E3581" s="1" t="s">
        <v>17</v>
      </c>
      <c r="F3581" s="1">
        <v>1</v>
      </c>
      <c r="G3581" s="1">
        <v>693</v>
      </c>
      <c r="H3581" s="1">
        <v>693</v>
      </c>
      <c r="I3581" s="1">
        <v>0</v>
      </c>
      <c r="J3581" s="1">
        <v>1</v>
      </c>
      <c r="K3581" s="1">
        <v>0</v>
      </c>
    </row>
    <row r="3582" spans="1:11" x14ac:dyDescent="0.2">
      <c r="A3582" s="1" t="s">
        <v>3192</v>
      </c>
      <c r="B3582" s="1" t="s">
        <v>3271</v>
      </c>
      <c r="C3582" s="1" t="str">
        <f>"66298915011486"</f>
        <v>66298915011486</v>
      </c>
      <c r="D3582" s="1" t="str">
        <f>"4JG-W0045-00-CM"</f>
        <v>4JG-W0045-00-CM</v>
      </c>
      <c r="E3582" s="1" t="s">
        <v>17</v>
      </c>
      <c r="F3582" s="1">
        <v>5</v>
      </c>
      <c r="G3582" s="1">
        <v>938</v>
      </c>
      <c r="H3582" s="1">
        <v>4690</v>
      </c>
      <c r="I3582" s="1">
        <v>0</v>
      </c>
      <c r="J3582" s="1">
        <v>5</v>
      </c>
      <c r="K3582" s="1">
        <v>0</v>
      </c>
    </row>
    <row r="3583" spans="1:11" ht="30" x14ac:dyDescent="0.2">
      <c r="A3583" s="1" t="s">
        <v>3192</v>
      </c>
      <c r="B3583" s="1" t="s">
        <v>3272</v>
      </c>
      <c r="C3583" s="1" t="str">
        <f>"66298915051887"</f>
        <v>66298915051887</v>
      </c>
      <c r="D3583" s="1" t="str">
        <f>"400290"</f>
        <v>400290</v>
      </c>
      <c r="E3583" s="1" t="s">
        <v>17</v>
      </c>
      <c r="F3583" s="1">
        <v>14</v>
      </c>
      <c r="G3583" s="1">
        <v>806</v>
      </c>
      <c r="H3583" s="1">
        <v>11284</v>
      </c>
      <c r="I3583" s="1">
        <v>0</v>
      </c>
      <c r="J3583" s="1">
        <v>14</v>
      </c>
      <c r="K3583" s="1">
        <v>0</v>
      </c>
    </row>
    <row r="3584" spans="1:11" x14ac:dyDescent="0.2">
      <c r="A3584" s="1" t="s">
        <v>3192</v>
      </c>
      <c r="B3584" s="1" t="s">
        <v>3273</v>
      </c>
      <c r="C3584" s="1" t="str">
        <f>"66298915096959"</f>
        <v>66298915096959</v>
      </c>
      <c r="D3584" s="1" t="str">
        <f>"JL-1318-05"</f>
        <v>JL-1318-05</v>
      </c>
      <c r="E3584" s="1" t="s">
        <v>17</v>
      </c>
      <c r="F3584" s="1">
        <v>9</v>
      </c>
      <c r="G3584" s="1">
        <v>1759</v>
      </c>
      <c r="H3584" s="1">
        <v>15831</v>
      </c>
      <c r="I3584" s="1">
        <v>0</v>
      </c>
      <c r="J3584" s="1">
        <v>9</v>
      </c>
      <c r="K3584" s="1">
        <v>0</v>
      </c>
    </row>
    <row r="3585" spans="1:11" x14ac:dyDescent="0.2">
      <c r="A3585" s="1" t="s">
        <v>3192</v>
      </c>
      <c r="B3585" s="1" t="s">
        <v>3274</v>
      </c>
      <c r="C3585" s="1" t="str">
        <f>"66298915141568"</f>
        <v>66298915141568</v>
      </c>
      <c r="D3585" s="1" t="str">
        <f>"FA-294"</f>
        <v>FA-294</v>
      </c>
      <c r="E3585" s="1" t="s">
        <v>17</v>
      </c>
      <c r="F3585" s="1">
        <v>1</v>
      </c>
      <c r="G3585" s="1">
        <v>2496</v>
      </c>
      <c r="H3585" s="1">
        <v>2496</v>
      </c>
      <c r="I3585" s="1">
        <v>0</v>
      </c>
      <c r="J3585" s="1">
        <v>1</v>
      </c>
      <c r="K3585" s="1">
        <v>0</v>
      </c>
    </row>
    <row r="3586" spans="1:11" x14ac:dyDescent="0.2">
      <c r="A3586" s="1" t="s">
        <v>3192</v>
      </c>
      <c r="B3586" s="1" t="s">
        <v>3275</v>
      </c>
      <c r="C3586" s="1" t="str">
        <f>"66298915181812"</f>
        <v>66298915181812</v>
      </c>
      <c r="D3586" s="1" t="str">
        <f>"P10057"</f>
        <v>P10057</v>
      </c>
      <c r="E3586" s="1" t="s">
        <v>17</v>
      </c>
      <c r="F3586" s="1">
        <v>2</v>
      </c>
      <c r="G3586" s="1">
        <v>4318</v>
      </c>
      <c r="H3586" s="1">
        <v>8636</v>
      </c>
      <c r="I3586" s="1">
        <v>0</v>
      </c>
      <c r="J3586" s="1">
        <v>2</v>
      </c>
      <c r="K3586" s="1">
        <v>0</v>
      </c>
    </row>
    <row r="3587" spans="1:11" x14ac:dyDescent="0.2">
      <c r="A3587" s="1" t="s">
        <v>3192</v>
      </c>
      <c r="B3587" s="1" t="s">
        <v>3276</v>
      </c>
      <c r="C3587" s="1" t="str">
        <f>"66298915269984"</f>
        <v>66298915269984</v>
      </c>
      <c r="D3587" s="1" t="str">
        <f>"U039"</f>
        <v>U039</v>
      </c>
      <c r="E3587" s="1" t="s">
        <v>17</v>
      </c>
      <c r="F3587" s="1">
        <v>10</v>
      </c>
      <c r="G3587" s="1">
        <v>921</v>
      </c>
      <c r="H3587" s="1">
        <v>9210</v>
      </c>
      <c r="I3587" s="1">
        <v>0</v>
      </c>
      <c r="J3587" s="1">
        <v>10</v>
      </c>
      <c r="K3587" s="1">
        <v>0</v>
      </c>
    </row>
    <row r="3588" spans="1:11" ht="30" x14ac:dyDescent="0.2">
      <c r="A3588" s="1" t="s">
        <v>3192</v>
      </c>
      <c r="B3588" s="1" t="s">
        <v>3277</v>
      </c>
      <c r="C3588" s="1" t="str">
        <f>"66298915226162"</f>
        <v>66298915226162</v>
      </c>
      <c r="D3588" s="1" t="str">
        <f>"400291"</f>
        <v>400291</v>
      </c>
      <c r="E3588" s="1" t="s">
        <v>17</v>
      </c>
      <c r="F3588" s="1">
        <v>25</v>
      </c>
      <c r="G3588" s="1">
        <v>866</v>
      </c>
      <c r="H3588" s="1">
        <v>21650</v>
      </c>
      <c r="I3588" s="1">
        <v>0</v>
      </c>
      <c r="J3588" s="1">
        <v>25</v>
      </c>
      <c r="K3588" s="1">
        <v>0</v>
      </c>
    </row>
    <row r="3589" spans="1:11" x14ac:dyDescent="0.2">
      <c r="A3589" s="1" t="s">
        <v>3192</v>
      </c>
      <c r="B3589" s="1" t="s">
        <v>3278</v>
      </c>
      <c r="C3589" s="1" t="str">
        <f>"66298915314371"</f>
        <v>66298915314371</v>
      </c>
      <c r="D3589" s="1" t="str">
        <f>"LMP367OR"</f>
        <v>LMP367OR</v>
      </c>
      <c r="E3589" s="1" t="s">
        <v>17</v>
      </c>
      <c r="F3589" s="1">
        <v>1</v>
      </c>
      <c r="G3589" s="1">
        <v>15424</v>
      </c>
      <c r="H3589" s="1">
        <v>15424</v>
      </c>
      <c r="I3589" s="1">
        <v>0</v>
      </c>
      <c r="J3589" s="1">
        <v>1</v>
      </c>
      <c r="K3589" s="1">
        <v>0</v>
      </c>
    </row>
    <row r="3590" spans="1:11" x14ac:dyDescent="0.2">
      <c r="A3590" s="1" t="s">
        <v>3192</v>
      </c>
      <c r="B3590" s="1" t="s">
        <v>3279</v>
      </c>
      <c r="C3590" s="1" t="str">
        <f>"66298915356304"</f>
        <v>66298915356304</v>
      </c>
      <c r="D3590" s="1" t="str">
        <f>"LMP369SR"</f>
        <v>LMP369SR</v>
      </c>
      <c r="E3590" s="1" t="s">
        <v>17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</row>
    <row r="3591" spans="1:11" x14ac:dyDescent="0.2">
      <c r="A3591" s="1" t="s">
        <v>3192</v>
      </c>
      <c r="B3591" s="1" t="s">
        <v>3280</v>
      </c>
      <c r="C3591" s="1" t="str">
        <f>"66298915398744"</f>
        <v>66298915398744</v>
      </c>
      <c r="D3591" s="1" t="str">
        <f>"LMP377OR"</f>
        <v>LMP377OR</v>
      </c>
      <c r="E3591" s="1" t="s">
        <v>17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</row>
    <row r="3592" spans="1:11" x14ac:dyDescent="0.2">
      <c r="A3592" s="1" t="s">
        <v>3192</v>
      </c>
      <c r="B3592" s="1" t="s">
        <v>3281</v>
      </c>
      <c r="C3592" s="1" t="str">
        <f>"BR-DFP-40835"</f>
        <v>BR-DFP-40835</v>
      </c>
      <c r="D3592" s="1" t="str">
        <f>"BR-DFP-40835"</f>
        <v>BR-DFP-40835</v>
      </c>
      <c r="E3592" s="1" t="s">
        <v>17</v>
      </c>
      <c r="F3592" s="1">
        <v>1</v>
      </c>
      <c r="G3592" s="1">
        <v>6600</v>
      </c>
      <c r="H3592" s="1">
        <v>6600</v>
      </c>
      <c r="I3592" s="1">
        <v>0</v>
      </c>
      <c r="J3592" s="1">
        <v>1</v>
      </c>
      <c r="K3592" s="1">
        <v>0</v>
      </c>
    </row>
    <row r="3593" spans="1:11" x14ac:dyDescent="0.2">
      <c r="A3593" s="1" t="s">
        <v>3192</v>
      </c>
      <c r="B3593" s="1" t="s">
        <v>3282</v>
      </c>
      <c r="C3593" s="1" t="str">
        <f>"66298915445296"</f>
        <v>66298915445296</v>
      </c>
      <c r="D3593" s="1" t="str">
        <f>"P10050"</f>
        <v>P10050</v>
      </c>
      <c r="E3593" s="1" t="s">
        <v>17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</row>
    <row r="3594" spans="1:11" x14ac:dyDescent="0.2">
      <c r="A3594" s="1" t="s">
        <v>3192</v>
      </c>
      <c r="B3594" s="1" t="s">
        <v>3283</v>
      </c>
      <c r="C3594" s="1" t="str">
        <f>"66298915483180"</f>
        <v>66298915483180</v>
      </c>
      <c r="D3594" s="1" t="str">
        <f>"400292"</f>
        <v>400292</v>
      </c>
      <c r="E3594" s="1" t="s">
        <v>17</v>
      </c>
      <c r="F3594" s="1">
        <v>37</v>
      </c>
      <c r="G3594" s="1">
        <v>1059</v>
      </c>
      <c r="H3594" s="1">
        <v>39183</v>
      </c>
      <c r="I3594" s="1">
        <v>0</v>
      </c>
      <c r="J3594" s="1">
        <v>37</v>
      </c>
      <c r="K3594" s="1">
        <v>0</v>
      </c>
    </row>
    <row r="3595" spans="1:11" x14ac:dyDescent="0.2">
      <c r="A3595" s="1" t="s">
        <v>3192</v>
      </c>
      <c r="B3595" s="1" t="s">
        <v>3284</v>
      </c>
      <c r="C3595" s="1" t="str">
        <f>"66298915524548"</f>
        <v>66298915524548</v>
      </c>
      <c r="D3595" s="1" t="str">
        <f>"82416"</f>
        <v>82416</v>
      </c>
      <c r="E3595" s="1" t="s">
        <v>17</v>
      </c>
      <c r="F3595" s="1">
        <v>13</v>
      </c>
      <c r="G3595" s="1">
        <v>1015</v>
      </c>
      <c r="H3595" s="1">
        <v>13195</v>
      </c>
      <c r="I3595" s="1">
        <v>0</v>
      </c>
      <c r="J3595" s="1">
        <v>13</v>
      </c>
      <c r="K3595" s="1">
        <v>0</v>
      </c>
    </row>
    <row r="3596" spans="1:11" x14ac:dyDescent="0.2">
      <c r="A3596" s="1" t="s">
        <v>3192</v>
      </c>
      <c r="B3596" s="1" t="s">
        <v>3285</v>
      </c>
      <c r="C3596" s="1" t="str">
        <f>"66298915568509"</f>
        <v>66298915568509</v>
      </c>
      <c r="D3596" s="1" t="str">
        <f>"P10028"</f>
        <v>P10028</v>
      </c>
      <c r="E3596" s="1" t="s">
        <v>17</v>
      </c>
      <c r="F3596" s="1">
        <v>2</v>
      </c>
      <c r="G3596" s="1">
        <v>4524</v>
      </c>
      <c r="H3596" s="1">
        <v>9048</v>
      </c>
      <c r="I3596" s="1">
        <v>0</v>
      </c>
      <c r="J3596" s="1">
        <v>2</v>
      </c>
      <c r="K3596" s="1">
        <v>0</v>
      </c>
    </row>
    <row r="3597" spans="1:11" x14ac:dyDescent="0.2">
      <c r="A3597" s="1" t="s">
        <v>3192</v>
      </c>
      <c r="B3597" s="1" t="s">
        <v>3286</v>
      </c>
      <c r="C3597" s="1" t="str">
        <f>"66298915608224"</f>
        <v>66298915608224</v>
      </c>
      <c r="D3597" s="1" t="str">
        <f>"LMP396"</f>
        <v>LMP396</v>
      </c>
      <c r="E3597" s="1" t="s">
        <v>17</v>
      </c>
      <c r="F3597" s="1">
        <v>1</v>
      </c>
      <c r="G3597" s="1">
        <v>16618</v>
      </c>
      <c r="H3597" s="1">
        <v>16618</v>
      </c>
      <c r="I3597" s="1">
        <v>0</v>
      </c>
      <c r="J3597" s="1">
        <v>1</v>
      </c>
      <c r="K3597" s="1">
        <v>0</v>
      </c>
    </row>
    <row r="3598" spans="1:11" ht="30" x14ac:dyDescent="0.2">
      <c r="A3598" s="1" t="s">
        <v>3192</v>
      </c>
      <c r="B3598" s="1" t="s">
        <v>3287</v>
      </c>
      <c r="C3598" s="1" t="str">
        <f>"66298915648409"</f>
        <v>66298915648409</v>
      </c>
      <c r="D3598" s="1" t="str">
        <f>"29173-000W-0001"</f>
        <v>29173-000W-0001</v>
      </c>
      <c r="E3598" s="1" t="s">
        <v>17</v>
      </c>
      <c r="F3598" s="1">
        <v>17</v>
      </c>
      <c r="G3598" s="1">
        <v>1634</v>
      </c>
      <c r="H3598" s="1">
        <v>27778</v>
      </c>
      <c r="I3598" s="1">
        <v>0</v>
      </c>
      <c r="J3598" s="1">
        <v>17</v>
      </c>
      <c r="K3598" s="1">
        <v>0</v>
      </c>
    </row>
    <row r="3599" spans="1:11" ht="30" x14ac:dyDescent="0.2">
      <c r="A3599" s="1" t="s">
        <v>3192</v>
      </c>
      <c r="B3599" s="1" t="s">
        <v>3288</v>
      </c>
      <c r="C3599" s="1" t="str">
        <f>"66298915686527"</f>
        <v>66298915686527</v>
      </c>
      <c r="D3599" s="1" t="str">
        <f>"P10047"</f>
        <v>P10047</v>
      </c>
      <c r="E3599" s="1" t="s">
        <v>17</v>
      </c>
      <c r="F3599" s="1">
        <v>5</v>
      </c>
      <c r="G3599" s="1">
        <v>4318</v>
      </c>
      <c r="H3599" s="1">
        <v>21590</v>
      </c>
      <c r="I3599" s="1">
        <v>0</v>
      </c>
      <c r="J3599" s="1">
        <v>5</v>
      </c>
      <c r="K3599" s="1">
        <v>0</v>
      </c>
    </row>
    <row r="3600" spans="1:11" x14ac:dyDescent="0.2">
      <c r="A3600" s="1" t="s">
        <v>3192</v>
      </c>
      <c r="B3600" s="1" t="s">
        <v>3289</v>
      </c>
      <c r="C3600" s="1" t="str">
        <f>"66298915730032"</f>
        <v>66298915730032</v>
      </c>
      <c r="D3600" s="1" t="str">
        <f>"VD170HCERAM"</f>
        <v>VD170HCERAM</v>
      </c>
      <c r="E3600" s="1" t="s">
        <v>17</v>
      </c>
      <c r="F3600" s="1">
        <v>1</v>
      </c>
      <c r="G3600" s="1">
        <v>9381</v>
      </c>
      <c r="H3600" s="1">
        <v>9381</v>
      </c>
      <c r="I3600" s="1">
        <v>0</v>
      </c>
      <c r="J3600" s="1">
        <v>1</v>
      </c>
      <c r="K3600" s="1">
        <v>0</v>
      </c>
    </row>
    <row r="3601" spans="1:11" x14ac:dyDescent="0.2">
      <c r="A3601" s="1" t="s">
        <v>3192</v>
      </c>
      <c r="B3601" s="1" t="s">
        <v>3290</v>
      </c>
      <c r="C3601" s="1" t="str">
        <f>"U002"</f>
        <v>U002</v>
      </c>
      <c r="D3601" s="1" t="str">
        <f>"U002"</f>
        <v>U002</v>
      </c>
      <c r="E3601" s="1" t="s">
        <v>17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</row>
    <row r="3602" spans="1:11" x14ac:dyDescent="0.2">
      <c r="A3602" s="1" t="s">
        <v>3192</v>
      </c>
      <c r="B3602" s="1" t="s">
        <v>3291</v>
      </c>
      <c r="C3602" s="1" t="str">
        <f>"66298915766926"</f>
        <v>66298915766926</v>
      </c>
      <c r="D3602" s="1" t="str">
        <f>"400295"</f>
        <v>400295</v>
      </c>
      <c r="E3602" s="1" t="s">
        <v>17</v>
      </c>
      <c r="F3602" s="1">
        <v>54</v>
      </c>
      <c r="G3602" s="1">
        <v>1032</v>
      </c>
      <c r="H3602" s="1">
        <v>55728</v>
      </c>
      <c r="I3602" s="1">
        <v>0</v>
      </c>
      <c r="J3602" s="1">
        <v>54</v>
      </c>
      <c r="K3602" s="1">
        <v>0</v>
      </c>
    </row>
    <row r="3603" spans="1:11" x14ac:dyDescent="0.2">
      <c r="A3603" s="1" t="s">
        <v>3192</v>
      </c>
      <c r="B3603" s="1" t="s">
        <v>3292</v>
      </c>
      <c r="C3603" s="1" t="str">
        <f>"66298915806674"</f>
        <v>66298915806674</v>
      </c>
      <c r="D3603" s="1" t="str">
        <f>"FA436HH"</f>
        <v>FA436HH</v>
      </c>
      <c r="E3603" s="1" t="s">
        <v>17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</row>
    <row r="3604" spans="1:11" x14ac:dyDescent="0.2">
      <c r="A3604" s="1" t="s">
        <v>3192</v>
      </c>
      <c r="B3604" s="1" t="s">
        <v>3293</v>
      </c>
      <c r="C3604" s="1" t="str">
        <f>"66298915846194"</f>
        <v>66298915846194</v>
      </c>
      <c r="D3604" s="1" t="str">
        <f>"FA-447"</f>
        <v>FA-447</v>
      </c>
      <c r="E3604" s="1" t="s">
        <v>17</v>
      </c>
      <c r="F3604" s="1">
        <v>1</v>
      </c>
      <c r="G3604" s="1">
        <v>2750</v>
      </c>
      <c r="H3604" s="1">
        <v>2750</v>
      </c>
      <c r="I3604" s="1">
        <v>0</v>
      </c>
      <c r="J3604" s="1">
        <v>1</v>
      </c>
      <c r="K3604" s="1">
        <v>0</v>
      </c>
    </row>
    <row r="3605" spans="1:11" ht="30" x14ac:dyDescent="0.2">
      <c r="A3605" s="1" t="s">
        <v>3192</v>
      </c>
      <c r="B3605" s="1" t="s">
        <v>3294</v>
      </c>
      <c r="C3605" s="1" t="str">
        <f>"4C9-W0045-00-CM"</f>
        <v>4C9-W0045-00-CM</v>
      </c>
      <c r="D3605" s="1" t="str">
        <f>"4C9-W0045-00-CM"</f>
        <v>4C9-W0045-00-CM</v>
      </c>
      <c r="E3605" s="1" t="s">
        <v>17</v>
      </c>
      <c r="F3605" s="1">
        <v>7</v>
      </c>
      <c r="G3605" s="1">
        <v>1805</v>
      </c>
      <c r="H3605" s="1">
        <v>12635</v>
      </c>
      <c r="I3605" s="1">
        <v>0</v>
      </c>
      <c r="J3605" s="1">
        <v>7</v>
      </c>
      <c r="K3605" s="1">
        <v>0</v>
      </c>
    </row>
    <row r="3606" spans="1:11" ht="30" x14ac:dyDescent="0.2">
      <c r="A3606" s="1" t="s">
        <v>3192</v>
      </c>
      <c r="B3606" s="1" t="s">
        <v>3295</v>
      </c>
      <c r="C3606" s="1" t="str">
        <f>"4C9-W0045-00JP"</f>
        <v>4C9-W0045-00JP</v>
      </c>
      <c r="D3606" s="1" t="str">
        <f>"4C9-W0045-00JP"</f>
        <v>4C9-W0045-00JP</v>
      </c>
      <c r="E3606" s="1" t="s">
        <v>17</v>
      </c>
      <c r="F3606" s="1">
        <v>59</v>
      </c>
      <c r="G3606" s="1">
        <v>1754</v>
      </c>
      <c r="H3606" s="1">
        <v>103486</v>
      </c>
      <c r="I3606" s="1">
        <v>0</v>
      </c>
      <c r="J3606" s="1">
        <v>59</v>
      </c>
      <c r="K3606" s="1">
        <v>0</v>
      </c>
    </row>
    <row r="3607" spans="1:11" ht="30" x14ac:dyDescent="0.2">
      <c r="A3607" s="1" t="s">
        <v>3192</v>
      </c>
      <c r="B3607" s="1" t="s">
        <v>3296</v>
      </c>
      <c r="C3607" s="1" t="str">
        <f>"66298915936038"</f>
        <v>66298915936038</v>
      </c>
      <c r="D3607" s="1" t="str">
        <f>"400296"</f>
        <v>400296</v>
      </c>
      <c r="E3607" s="1" t="s">
        <v>17</v>
      </c>
      <c r="F3607" s="1">
        <v>12</v>
      </c>
      <c r="G3607" s="1">
        <v>871</v>
      </c>
      <c r="H3607" s="1">
        <v>10452</v>
      </c>
      <c r="I3607" s="1">
        <v>0</v>
      </c>
      <c r="J3607" s="1">
        <v>12</v>
      </c>
      <c r="K3607" s="1">
        <v>0</v>
      </c>
    </row>
    <row r="3608" spans="1:11" ht="30" x14ac:dyDescent="0.2">
      <c r="A3608" s="1" t="s">
        <v>3192</v>
      </c>
      <c r="B3608" s="1" t="s">
        <v>3297</v>
      </c>
      <c r="C3608" s="1" t="str">
        <f>"U020"</f>
        <v>U020</v>
      </c>
      <c r="D3608" s="1" t="str">
        <f>"U020"</f>
        <v>U020</v>
      </c>
      <c r="E3608" s="1" t="s">
        <v>17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</row>
    <row r="3609" spans="1:11" x14ac:dyDescent="0.2">
      <c r="A3609" s="1" t="s">
        <v>3192</v>
      </c>
      <c r="B3609" s="1" t="s">
        <v>3298</v>
      </c>
      <c r="C3609" s="1" t="str">
        <f>"11417"</f>
        <v>11417</v>
      </c>
      <c r="D3609" s="1" t="str">
        <f>"11417"</f>
        <v>11417</v>
      </c>
      <c r="E3609" s="1" t="s">
        <v>17</v>
      </c>
      <c r="F3609" s="1">
        <v>9</v>
      </c>
      <c r="G3609" s="1">
        <v>3731.09</v>
      </c>
      <c r="H3609" s="1">
        <v>33580</v>
      </c>
      <c r="I3609" s="1">
        <v>0</v>
      </c>
      <c r="J3609" s="1">
        <v>9</v>
      </c>
      <c r="K3609" s="1">
        <v>0</v>
      </c>
    </row>
    <row r="3610" spans="1:11" x14ac:dyDescent="0.2">
      <c r="A3610" s="1" t="s">
        <v>3192</v>
      </c>
      <c r="B3610" s="1" t="s">
        <v>3299</v>
      </c>
      <c r="C3610" s="1" t="str">
        <f>"66298915981957"</f>
        <v>66298915981957</v>
      </c>
      <c r="D3610" s="1" t="str">
        <f>"LMP462SR"</f>
        <v>LMP462SR</v>
      </c>
      <c r="E3610" s="1" t="s">
        <v>17</v>
      </c>
      <c r="F3610" s="1">
        <v>1</v>
      </c>
      <c r="G3610" s="1">
        <v>18929</v>
      </c>
      <c r="H3610" s="1">
        <v>18929</v>
      </c>
      <c r="I3610" s="1">
        <v>0</v>
      </c>
      <c r="J3610" s="1">
        <v>1</v>
      </c>
      <c r="K3610" s="1">
        <v>0</v>
      </c>
    </row>
    <row r="3611" spans="1:11" x14ac:dyDescent="0.2">
      <c r="A3611" s="1" t="s">
        <v>3192</v>
      </c>
      <c r="B3611" s="1" t="s">
        <v>3300</v>
      </c>
      <c r="C3611" s="1" t="str">
        <f>"66298916029498"</f>
        <v>66298916029498</v>
      </c>
      <c r="D3611" s="1" t="str">
        <f>"17C-W0045-00JP"</f>
        <v>17C-W0045-00JP</v>
      </c>
      <c r="E3611" s="1" t="s">
        <v>17</v>
      </c>
      <c r="F3611" s="1">
        <v>20</v>
      </c>
      <c r="G3611" s="1">
        <v>1246</v>
      </c>
      <c r="H3611" s="1">
        <v>24920</v>
      </c>
      <c r="I3611" s="1">
        <v>0</v>
      </c>
      <c r="J3611" s="1">
        <v>20</v>
      </c>
      <c r="K3611" s="1">
        <v>0</v>
      </c>
    </row>
    <row r="3612" spans="1:11" x14ac:dyDescent="0.2">
      <c r="A3612" s="1" t="s">
        <v>3192</v>
      </c>
      <c r="B3612" s="1" t="s">
        <v>3301</v>
      </c>
      <c r="C3612" s="1" t="str">
        <f>"66298916073071"</f>
        <v>66298916073071</v>
      </c>
      <c r="D3612" s="1" t="str">
        <f>"5S9-W0045-00JP"</f>
        <v>5S9-W0045-00JP</v>
      </c>
      <c r="E3612" s="1" t="s">
        <v>17</v>
      </c>
      <c r="F3612" s="1">
        <v>4</v>
      </c>
      <c r="G3612" s="1">
        <v>1772</v>
      </c>
      <c r="H3612" s="1">
        <v>7088</v>
      </c>
      <c r="I3612" s="1">
        <v>0</v>
      </c>
      <c r="J3612" s="1">
        <v>4</v>
      </c>
      <c r="K3612" s="1">
        <v>0</v>
      </c>
    </row>
    <row r="3613" spans="1:11" ht="30" x14ac:dyDescent="0.2">
      <c r="A3613" s="1" t="s">
        <v>3192</v>
      </c>
      <c r="B3613" s="1" t="s">
        <v>3302</v>
      </c>
      <c r="C3613" s="1" t="str">
        <f>"66298916174695"</f>
        <v>66298916174695</v>
      </c>
      <c r="D3613" s="1" t="str">
        <f>"FA606HH"</f>
        <v>FA606HH</v>
      </c>
      <c r="E3613" s="1" t="s">
        <v>17</v>
      </c>
      <c r="F3613" s="1">
        <v>2</v>
      </c>
      <c r="G3613" s="1">
        <v>21088</v>
      </c>
      <c r="H3613" s="1">
        <v>42176</v>
      </c>
      <c r="I3613" s="1">
        <v>0</v>
      </c>
      <c r="J3613" s="1">
        <v>2</v>
      </c>
      <c r="K3613" s="1">
        <v>0</v>
      </c>
    </row>
    <row r="3614" spans="1:11" ht="30" x14ac:dyDescent="0.2">
      <c r="A3614" s="1" t="s">
        <v>3192</v>
      </c>
      <c r="B3614" s="1" t="s">
        <v>3303</v>
      </c>
      <c r="C3614" s="1" t="str">
        <f>"66298916115251"</f>
        <v>66298916115251</v>
      </c>
      <c r="D3614" s="1" t="str">
        <f>"MBP-606HH"</f>
        <v>MBP-606HH</v>
      </c>
      <c r="E3614" s="1" t="s">
        <v>17</v>
      </c>
      <c r="F3614" s="1">
        <v>1</v>
      </c>
      <c r="G3614" s="1">
        <v>9972</v>
      </c>
      <c r="H3614" s="1">
        <v>9972</v>
      </c>
      <c r="I3614" s="1">
        <v>0</v>
      </c>
      <c r="J3614" s="1">
        <v>1</v>
      </c>
      <c r="K3614" s="1">
        <v>0</v>
      </c>
    </row>
    <row r="3615" spans="1:11" x14ac:dyDescent="0.2">
      <c r="A3615" s="1" t="s">
        <v>3192</v>
      </c>
      <c r="B3615" s="1" t="s">
        <v>3304</v>
      </c>
      <c r="C3615" s="1" t="str">
        <f>"LMP481SR"</f>
        <v>LMP481SR</v>
      </c>
      <c r="D3615" s="1" t="str">
        <f>"LMP481SR"</f>
        <v>LMP481SR</v>
      </c>
      <c r="E3615" s="1" t="s">
        <v>17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</row>
    <row r="3616" spans="1:11" ht="30" x14ac:dyDescent="0.2">
      <c r="A3616" s="1" t="s">
        <v>3192</v>
      </c>
      <c r="B3616" s="1" t="s">
        <v>3305</v>
      </c>
      <c r="C3616" s="1" t="str">
        <f>"69100-04830-CM"</f>
        <v>69100-04830-CM</v>
      </c>
      <c r="D3616" s="1" t="str">
        <f>"69100-04830-CM"</f>
        <v>69100-04830-CM</v>
      </c>
      <c r="E3616" s="1" t="s">
        <v>17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</row>
    <row r="3617" spans="1:11" x14ac:dyDescent="0.2">
      <c r="A3617" s="1" t="s">
        <v>3192</v>
      </c>
      <c r="B3617" s="1" t="s">
        <v>3306</v>
      </c>
      <c r="C3617" s="1" t="str">
        <f>"LMP500SF"</f>
        <v>LMP500SF</v>
      </c>
      <c r="D3617" s="1" t="str">
        <f>"LMP500SF"</f>
        <v>LMP500SF</v>
      </c>
      <c r="E3617" s="1" t="s">
        <v>17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</row>
    <row r="3618" spans="1:11" x14ac:dyDescent="0.2">
      <c r="A3618" s="1" t="s">
        <v>3192</v>
      </c>
      <c r="B3618" s="1" t="s">
        <v>3307</v>
      </c>
      <c r="C3618" s="1" t="str">
        <f>"66298916226472"</f>
        <v>66298916226472</v>
      </c>
      <c r="D3618" s="1" t="str">
        <f>"FA630HH"</f>
        <v>FA630HH</v>
      </c>
      <c r="E3618" s="1" t="s">
        <v>17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</row>
    <row r="3619" spans="1:11" x14ac:dyDescent="0.2">
      <c r="A3619" s="1" t="s">
        <v>3192</v>
      </c>
      <c r="B3619" s="1" t="s">
        <v>3308</v>
      </c>
      <c r="C3619" s="1" t="str">
        <f>"66298916279409"</f>
        <v>66298916279409</v>
      </c>
      <c r="D3619" s="1" t="str">
        <f>"59301-30810-000"</f>
        <v>59301-30810-000</v>
      </c>
      <c r="E3619" s="1" t="s">
        <v>17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</row>
    <row r="3620" spans="1:11" ht="30" x14ac:dyDescent="0.2">
      <c r="A3620" s="1" t="s">
        <v>3192</v>
      </c>
      <c r="B3620" s="1" t="s">
        <v>3309</v>
      </c>
      <c r="C3620" s="1" t="str">
        <f>"66298916321472"</f>
        <v>66298916321472</v>
      </c>
      <c r="D3620" s="1" t="str">
        <f>"P10052"</f>
        <v>P10052</v>
      </c>
      <c r="E3620" s="1" t="s">
        <v>17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</row>
    <row r="3621" spans="1:11" x14ac:dyDescent="0.2">
      <c r="A3621" s="1" t="s">
        <v>3192</v>
      </c>
      <c r="B3621" s="1" t="s">
        <v>3310</v>
      </c>
      <c r="C3621" s="1" t="str">
        <f>"66298916366391"</f>
        <v>66298916366391</v>
      </c>
      <c r="D3621" s="1" t="str">
        <f>"06455-KCC-841CM"</f>
        <v>06455-KCC-841CM</v>
      </c>
      <c r="E3621" s="1" t="s">
        <v>17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</row>
    <row r="3622" spans="1:11" x14ac:dyDescent="0.2">
      <c r="A3622" s="1" t="s">
        <v>3192</v>
      </c>
      <c r="B3622" s="1" t="s">
        <v>3311</v>
      </c>
      <c r="C3622" s="1" t="str">
        <f>"59100-34880CM"</f>
        <v>59100-34880CM</v>
      </c>
      <c r="D3622" s="1" t="str">
        <f>"59100-34880CM"</f>
        <v>59100-34880CM</v>
      </c>
      <c r="E3622" s="1" t="s">
        <v>17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</row>
    <row r="3623" spans="1:11" x14ac:dyDescent="0.2">
      <c r="A3623" s="1" t="s">
        <v>3192</v>
      </c>
      <c r="B3623" s="1" t="s">
        <v>3311</v>
      </c>
      <c r="C3623" s="1" t="str">
        <f>"06455-KCC-841SEMI"</f>
        <v>06455-KCC-841SEMI</v>
      </c>
      <c r="D3623" s="1" t="str">
        <f>"06455-KCC-841SEMI"</f>
        <v>06455-KCC-841SEMI</v>
      </c>
      <c r="E3623" s="1" t="s">
        <v>17</v>
      </c>
      <c r="F3623" s="1">
        <v>17</v>
      </c>
      <c r="G3623" s="1">
        <v>1897</v>
      </c>
      <c r="H3623" s="1">
        <v>32249</v>
      </c>
      <c r="I3623" s="1">
        <v>0</v>
      </c>
      <c r="J3623" s="1">
        <v>17</v>
      </c>
      <c r="K3623" s="1">
        <v>0</v>
      </c>
    </row>
    <row r="3624" spans="1:11" ht="30" x14ac:dyDescent="0.2">
      <c r="A3624" s="1" t="s">
        <v>3192</v>
      </c>
      <c r="B3624" s="1" t="s">
        <v>3312</v>
      </c>
      <c r="C3624" s="1" t="str">
        <f>"66298916411768"</f>
        <v>66298916411768</v>
      </c>
      <c r="D3624" s="1" t="str">
        <f>"400298"</f>
        <v>400298</v>
      </c>
      <c r="E3624" s="1" t="s">
        <v>17</v>
      </c>
      <c r="F3624" s="1">
        <v>18</v>
      </c>
      <c r="G3624" s="1">
        <v>970</v>
      </c>
      <c r="H3624" s="1">
        <v>17460</v>
      </c>
      <c r="I3624" s="1">
        <v>0</v>
      </c>
      <c r="J3624" s="1">
        <v>18</v>
      </c>
      <c r="K3624" s="1">
        <v>0</v>
      </c>
    </row>
    <row r="3625" spans="1:11" ht="30" x14ac:dyDescent="0.2">
      <c r="A3625" s="1" t="s">
        <v>3192</v>
      </c>
      <c r="B3625" s="1" t="s">
        <v>3313</v>
      </c>
      <c r="C3625" s="1" t="str">
        <f>"06435-KSP-B01-CM"</f>
        <v>06435-KSP-B01-CM</v>
      </c>
      <c r="D3625" s="1" t="str">
        <f>"06435-KSP-B01-CM"</f>
        <v>06435-KSP-B01-CM</v>
      </c>
      <c r="E3625" s="1" t="s">
        <v>17</v>
      </c>
      <c r="F3625" s="1">
        <v>3</v>
      </c>
      <c r="G3625" s="1">
        <v>2420</v>
      </c>
      <c r="H3625" s="1">
        <v>7260</v>
      </c>
      <c r="I3625" s="1">
        <v>0</v>
      </c>
      <c r="J3625" s="1">
        <v>3</v>
      </c>
      <c r="K3625" s="1">
        <v>0</v>
      </c>
    </row>
    <row r="3626" spans="1:11" ht="30" x14ac:dyDescent="0.2">
      <c r="A3626" s="1" t="s">
        <v>3192</v>
      </c>
      <c r="B3626" s="1" t="s">
        <v>3313</v>
      </c>
      <c r="C3626" s="1" t="str">
        <f>"U040"</f>
        <v>U040</v>
      </c>
      <c r="D3626" s="1" t="str">
        <f>"U040"</f>
        <v>U040</v>
      </c>
      <c r="E3626" s="1" t="s">
        <v>17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</row>
    <row r="3627" spans="1:11" ht="30" x14ac:dyDescent="0.2">
      <c r="A3627" s="1" t="s">
        <v>3192</v>
      </c>
      <c r="B3627" s="1" t="s">
        <v>3314</v>
      </c>
      <c r="C3627" s="1" t="str">
        <f>"66298917121260"</f>
        <v>66298917121260</v>
      </c>
      <c r="D3627" s="1" t="str">
        <f>"59100-41HAOJP"</f>
        <v>59100-41HAOJP</v>
      </c>
      <c r="E3627" s="1" t="s">
        <v>17</v>
      </c>
      <c r="F3627" s="1">
        <v>4</v>
      </c>
      <c r="G3627" s="1">
        <v>1131</v>
      </c>
      <c r="H3627" s="1">
        <v>4524</v>
      </c>
      <c r="I3627" s="1">
        <v>0</v>
      </c>
      <c r="J3627" s="1">
        <v>4</v>
      </c>
      <c r="K3627" s="1">
        <v>0</v>
      </c>
    </row>
    <row r="3628" spans="1:11" ht="30" x14ac:dyDescent="0.2">
      <c r="A3628" s="1" t="s">
        <v>3192</v>
      </c>
      <c r="B3628" s="1" t="s">
        <v>3314</v>
      </c>
      <c r="C3628" s="1" t="str">
        <f>"12889"</f>
        <v>12889</v>
      </c>
      <c r="D3628" s="1" t="str">
        <f>"12889"</f>
        <v>12889</v>
      </c>
      <c r="E3628" s="1" t="s">
        <v>17</v>
      </c>
      <c r="F3628" s="1">
        <v>1</v>
      </c>
      <c r="G3628" s="1">
        <v>3983.19</v>
      </c>
      <c r="H3628" s="1">
        <v>3983</v>
      </c>
      <c r="I3628" s="1">
        <v>0</v>
      </c>
      <c r="J3628" s="1">
        <v>1</v>
      </c>
      <c r="K3628" s="1">
        <v>0</v>
      </c>
    </row>
    <row r="3629" spans="1:11" x14ac:dyDescent="0.2">
      <c r="A3629" s="1" t="s">
        <v>3192</v>
      </c>
      <c r="B3629" s="1" t="s">
        <v>3315</v>
      </c>
      <c r="C3629" s="1" t="str">
        <f>"U045"</f>
        <v>U045</v>
      </c>
      <c r="D3629" s="1" t="str">
        <f>"U045"</f>
        <v>U045</v>
      </c>
      <c r="E3629" s="1" t="s">
        <v>17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</row>
    <row r="3630" spans="1:11" ht="30" x14ac:dyDescent="0.2">
      <c r="A3630" s="1" t="s">
        <v>3192</v>
      </c>
      <c r="B3630" s="1" t="s">
        <v>3316</v>
      </c>
      <c r="C3630" s="1" t="str">
        <f>"66298916451659"</f>
        <v>66298916451659</v>
      </c>
      <c r="D3630" s="1" t="str">
        <f>"400299"</f>
        <v>400299</v>
      </c>
      <c r="E3630" s="1" t="s">
        <v>17</v>
      </c>
      <c r="F3630" s="1">
        <v>41</v>
      </c>
      <c r="G3630" s="1">
        <v>953</v>
      </c>
      <c r="H3630" s="1">
        <v>39073</v>
      </c>
      <c r="I3630" s="1">
        <v>0</v>
      </c>
      <c r="J3630" s="1">
        <v>41</v>
      </c>
      <c r="K3630" s="1">
        <v>0</v>
      </c>
    </row>
    <row r="3631" spans="1:11" x14ac:dyDescent="0.2">
      <c r="A3631" s="1" t="s">
        <v>3192</v>
      </c>
      <c r="B3631" s="1" t="s">
        <v>3317</v>
      </c>
      <c r="C3631" s="1" t="str">
        <f>"3509"</f>
        <v>3509</v>
      </c>
      <c r="D3631" s="1" t="str">
        <f>"3509"</f>
        <v>3509</v>
      </c>
      <c r="E3631" s="1" t="s">
        <v>17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</row>
    <row r="3632" spans="1:11" x14ac:dyDescent="0.2">
      <c r="A3632" s="1" t="s">
        <v>3192</v>
      </c>
      <c r="B3632" s="1" t="s">
        <v>3317</v>
      </c>
      <c r="C3632" s="1" t="str">
        <f>"12890"</f>
        <v>12890</v>
      </c>
      <c r="D3632" s="1" t="str">
        <f>"12890"</f>
        <v>12890</v>
      </c>
      <c r="E3632" s="1" t="s">
        <v>17</v>
      </c>
      <c r="F3632" s="1">
        <v>5</v>
      </c>
      <c r="G3632" s="1">
        <v>3983.19</v>
      </c>
      <c r="H3632" s="1">
        <v>19916</v>
      </c>
      <c r="I3632" s="1">
        <v>0</v>
      </c>
      <c r="J3632" s="1">
        <v>5</v>
      </c>
      <c r="K3632" s="1">
        <v>0</v>
      </c>
    </row>
    <row r="3633" spans="1:11" x14ac:dyDescent="0.2">
      <c r="A3633" s="1" t="s">
        <v>3192</v>
      </c>
      <c r="B3633" s="1" t="s">
        <v>3318</v>
      </c>
      <c r="C3633" s="1" t="str">
        <f>"12350"</f>
        <v>12350</v>
      </c>
      <c r="D3633" s="1" t="str">
        <f>"12350"</f>
        <v>12350</v>
      </c>
      <c r="E3633" s="1" t="s">
        <v>17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</row>
    <row r="3634" spans="1:11" x14ac:dyDescent="0.2">
      <c r="A3634" s="1" t="s">
        <v>3192</v>
      </c>
      <c r="B3634" s="1" t="s">
        <v>3319</v>
      </c>
      <c r="C3634" s="1" t="str">
        <f>"66298916489440"</f>
        <v>66298916489440</v>
      </c>
      <c r="D3634" s="1" t="str">
        <f>"MBP-63HH"</f>
        <v>MBP-63HH</v>
      </c>
      <c r="E3634" s="1" t="s">
        <v>17</v>
      </c>
      <c r="F3634" s="1">
        <v>5</v>
      </c>
      <c r="G3634" s="1">
        <v>5348</v>
      </c>
      <c r="H3634" s="1">
        <v>26740</v>
      </c>
      <c r="I3634" s="1">
        <v>0</v>
      </c>
      <c r="J3634" s="1">
        <v>5</v>
      </c>
      <c r="K3634" s="1">
        <v>0</v>
      </c>
    </row>
    <row r="3635" spans="1:11" x14ac:dyDescent="0.2">
      <c r="A3635" s="1" t="s">
        <v>3192</v>
      </c>
      <c r="B3635" s="1" t="s">
        <v>3320</v>
      </c>
      <c r="C3635" s="1" t="str">
        <f>"66298916532785"</f>
        <v>66298916532785</v>
      </c>
      <c r="D3635" s="1" t="str">
        <f>"MBP-67HH"</f>
        <v>MBP-67HH</v>
      </c>
      <c r="E3635" s="1" t="s">
        <v>17</v>
      </c>
      <c r="F3635" s="1">
        <v>11</v>
      </c>
      <c r="G3635" s="1">
        <v>7814</v>
      </c>
      <c r="H3635" s="1">
        <v>85954</v>
      </c>
      <c r="I3635" s="1">
        <v>0</v>
      </c>
      <c r="J3635" s="1">
        <v>11</v>
      </c>
      <c r="K3635" s="1">
        <v>0</v>
      </c>
    </row>
    <row r="3636" spans="1:11" ht="30" x14ac:dyDescent="0.2">
      <c r="A3636" s="1" t="s">
        <v>3192</v>
      </c>
      <c r="B3636" s="1" t="s">
        <v>3321</v>
      </c>
      <c r="C3636" s="1" t="str">
        <f>"66298916573933"</f>
        <v>66298916573933</v>
      </c>
      <c r="D3636" s="1" t="str">
        <f>"MBP-228HH"</f>
        <v>MBP-228HH</v>
      </c>
      <c r="E3636" s="1" t="s">
        <v>17</v>
      </c>
      <c r="F3636" s="1">
        <v>1</v>
      </c>
      <c r="G3636" s="1">
        <v>6991</v>
      </c>
      <c r="H3636" s="1">
        <v>6991</v>
      </c>
      <c r="I3636" s="1">
        <v>0</v>
      </c>
      <c r="J3636" s="1">
        <v>1</v>
      </c>
      <c r="K3636" s="1">
        <v>0</v>
      </c>
    </row>
    <row r="3637" spans="1:11" x14ac:dyDescent="0.2">
      <c r="A3637" s="1" t="s">
        <v>3192</v>
      </c>
      <c r="B3637" s="1" t="s">
        <v>3322</v>
      </c>
      <c r="C3637" s="1" t="str">
        <f>"MBP-140HH"</f>
        <v>MBP-140HH</v>
      </c>
      <c r="D3637" s="1" t="str">
        <f>"MBP-140HH"</f>
        <v>MBP-140HH</v>
      </c>
      <c r="E3637" s="1" t="s">
        <v>17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</row>
    <row r="3638" spans="1:11" x14ac:dyDescent="0.2">
      <c r="A3638" s="1" t="s">
        <v>3192</v>
      </c>
      <c r="B3638" s="1" t="s">
        <v>3323</v>
      </c>
      <c r="C3638" s="1" t="str">
        <f>"66298916616919"</f>
        <v>66298916616919</v>
      </c>
      <c r="D3638" s="1" t="str">
        <f>"MBP-158HH"</f>
        <v>MBP-158HH</v>
      </c>
      <c r="E3638" s="1" t="s">
        <v>17</v>
      </c>
      <c r="F3638" s="1">
        <v>2</v>
      </c>
      <c r="G3638" s="1">
        <v>10692</v>
      </c>
      <c r="H3638" s="1">
        <v>21384</v>
      </c>
      <c r="I3638" s="1">
        <v>0</v>
      </c>
      <c r="J3638" s="1">
        <v>2</v>
      </c>
      <c r="K3638" s="1">
        <v>0</v>
      </c>
    </row>
    <row r="3639" spans="1:11" x14ac:dyDescent="0.2">
      <c r="A3639" s="1" t="s">
        <v>3192</v>
      </c>
      <c r="B3639" s="1" t="s">
        <v>3324</v>
      </c>
      <c r="C3639" s="1" t="str">
        <f>"MBP-152HH"</f>
        <v>MBP-152HH</v>
      </c>
      <c r="D3639" s="1" t="str">
        <f>"MBP-152HH"</f>
        <v>MBP-152HH</v>
      </c>
      <c r="E3639" s="1" t="s">
        <v>17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</row>
    <row r="3640" spans="1:11" x14ac:dyDescent="0.2">
      <c r="A3640" s="1" t="s">
        <v>3192</v>
      </c>
      <c r="B3640" s="1" t="s">
        <v>3325</v>
      </c>
      <c r="C3640" s="1" t="str">
        <f>"MBP-252HH"</f>
        <v>MBP-252HH</v>
      </c>
      <c r="D3640" s="1" t="str">
        <f>"MBP-252HH"</f>
        <v>MBP-252HH</v>
      </c>
      <c r="E3640" s="1" t="s">
        <v>17</v>
      </c>
      <c r="F3640" s="1">
        <v>10</v>
      </c>
      <c r="G3640" s="1">
        <v>11821</v>
      </c>
      <c r="H3640" s="1">
        <v>118210</v>
      </c>
      <c r="I3640" s="1">
        <v>0</v>
      </c>
      <c r="J3640" s="1">
        <v>10</v>
      </c>
      <c r="K3640" s="1">
        <v>0</v>
      </c>
    </row>
    <row r="3641" spans="1:11" ht="30" x14ac:dyDescent="0.2">
      <c r="A3641" s="1" t="s">
        <v>3192</v>
      </c>
      <c r="B3641" s="1" t="s">
        <v>3326</v>
      </c>
      <c r="C3641" s="1" t="str">
        <f>"66298916658253"</f>
        <v>66298916658253</v>
      </c>
      <c r="D3641" s="1" t="str">
        <f>"MBP-197HH"</f>
        <v>MBP-197HH</v>
      </c>
      <c r="E3641" s="1" t="s">
        <v>17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</row>
    <row r="3642" spans="1:11" ht="30" x14ac:dyDescent="0.2">
      <c r="A3642" s="1" t="s">
        <v>3192</v>
      </c>
      <c r="B3642" s="1" t="s">
        <v>3327</v>
      </c>
      <c r="C3642" s="1" t="str">
        <f>"66298916697329"</f>
        <v>66298916697329</v>
      </c>
      <c r="D3642" s="1" t="str">
        <f>"MBP-165HH"</f>
        <v>MBP-165HH</v>
      </c>
      <c r="E3642" s="1" t="s">
        <v>17</v>
      </c>
      <c r="F3642" s="1">
        <v>6</v>
      </c>
      <c r="G3642" s="1">
        <v>11247</v>
      </c>
      <c r="H3642" s="1">
        <v>67482</v>
      </c>
      <c r="I3642" s="1">
        <v>0</v>
      </c>
      <c r="J3642" s="1">
        <v>6</v>
      </c>
      <c r="K3642" s="1">
        <v>0</v>
      </c>
    </row>
    <row r="3643" spans="1:11" ht="45" x14ac:dyDescent="0.2">
      <c r="A3643" s="1" t="s">
        <v>3192</v>
      </c>
      <c r="B3643" s="1" t="s">
        <v>3328</v>
      </c>
      <c r="C3643" s="1" t="str">
        <f>"66298916739928"</f>
        <v>66298916739928</v>
      </c>
      <c r="D3643" s="1" t="str">
        <f>"MBP-181HH"</f>
        <v>MBP-181HH</v>
      </c>
      <c r="E3643" s="1" t="s">
        <v>17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</row>
    <row r="3644" spans="1:11" x14ac:dyDescent="0.2">
      <c r="A3644" s="1" t="s">
        <v>3192</v>
      </c>
      <c r="B3644" s="1" t="s">
        <v>3329</v>
      </c>
      <c r="C3644" s="1" t="str">
        <f>"66298916779919"</f>
        <v>66298916779919</v>
      </c>
      <c r="D3644" s="1" t="str">
        <f>"MBP-209HH"</f>
        <v>MBP-209HH</v>
      </c>
      <c r="E3644" s="1" t="s">
        <v>17</v>
      </c>
      <c r="F3644" s="1">
        <v>1</v>
      </c>
      <c r="G3644" s="1">
        <v>10126</v>
      </c>
      <c r="H3644" s="1">
        <v>10126</v>
      </c>
      <c r="I3644" s="1">
        <v>0</v>
      </c>
      <c r="J3644" s="1">
        <v>1</v>
      </c>
      <c r="K3644" s="1">
        <v>0</v>
      </c>
    </row>
    <row r="3645" spans="1:11" x14ac:dyDescent="0.2">
      <c r="A3645" s="1" t="s">
        <v>3192</v>
      </c>
      <c r="B3645" s="1" t="s">
        <v>3330</v>
      </c>
      <c r="C3645" s="1" t="str">
        <f>"66298916821775"</f>
        <v>66298916821775</v>
      </c>
      <c r="D3645" s="1" t="str">
        <f>"MBP-185HH"</f>
        <v>MBP-185HH</v>
      </c>
      <c r="E3645" s="1" t="s">
        <v>17</v>
      </c>
      <c r="F3645" s="1">
        <v>6</v>
      </c>
      <c r="G3645" s="1">
        <v>8167</v>
      </c>
      <c r="H3645" s="1">
        <v>49002</v>
      </c>
      <c r="I3645" s="1">
        <v>0</v>
      </c>
      <c r="J3645" s="1">
        <v>6</v>
      </c>
      <c r="K3645" s="1">
        <v>0</v>
      </c>
    </row>
    <row r="3646" spans="1:11" x14ac:dyDescent="0.2">
      <c r="A3646" s="1" t="s">
        <v>3192</v>
      </c>
      <c r="B3646" s="1" t="s">
        <v>3331</v>
      </c>
      <c r="C3646" s="1" t="str">
        <f>"66298916865961"</f>
        <v>66298916865961</v>
      </c>
      <c r="D3646" s="1" t="str">
        <f>"MBP-231HH"</f>
        <v>MBP-231HH</v>
      </c>
      <c r="E3646" s="1" t="s">
        <v>17</v>
      </c>
      <c r="F3646" s="1">
        <v>1</v>
      </c>
      <c r="G3646" s="1">
        <v>9769</v>
      </c>
      <c r="H3646" s="1">
        <v>9769</v>
      </c>
      <c r="I3646" s="1">
        <v>0</v>
      </c>
      <c r="J3646" s="1">
        <v>1</v>
      </c>
      <c r="K3646" s="1">
        <v>0</v>
      </c>
    </row>
    <row r="3647" spans="1:11" x14ac:dyDescent="0.2">
      <c r="A3647" s="1" t="s">
        <v>3192</v>
      </c>
      <c r="B3647" s="1" t="s">
        <v>3332</v>
      </c>
      <c r="C3647" s="1" t="str">
        <f>"66298916910960"</f>
        <v>66298916910960</v>
      </c>
      <c r="D3647" s="1" t="str">
        <f>"MBP-229HH"</f>
        <v>MBP-229HH</v>
      </c>
      <c r="E3647" s="1" t="s">
        <v>17</v>
      </c>
      <c r="F3647" s="1">
        <v>2</v>
      </c>
      <c r="G3647" s="1">
        <v>9754</v>
      </c>
      <c r="H3647" s="1">
        <v>19508</v>
      </c>
      <c r="I3647" s="1">
        <v>0</v>
      </c>
      <c r="J3647" s="1">
        <v>2</v>
      </c>
      <c r="K3647" s="1">
        <v>0</v>
      </c>
    </row>
    <row r="3648" spans="1:11" x14ac:dyDescent="0.2">
      <c r="A3648" s="1" t="s">
        <v>3192</v>
      </c>
      <c r="B3648" s="1" t="s">
        <v>3333</v>
      </c>
      <c r="C3648" s="1" t="str">
        <f>"66298916950787"</f>
        <v>66298916950787</v>
      </c>
      <c r="D3648" s="1" t="str">
        <f>"MBP-335HH"</f>
        <v>MBP-335HH</v>
      </c>
      <c r="E3648" s="1" t="s">
        <v>17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</row>
    <row r="3649" spans="1:11" ht="30" x14ac:dyDescent="0.2">
      <c r="A3649" s="1" t="s">
        <v>3192</v>
      </c>
      <c r="B3649" s="1" t="s">
        <v>3334</v>
      </c>
      <c r="C3649" s="1" t="str">
        <f>"66298916991673"</f>
        <v>66298916991673</v>
      </c>
      <c r="D3649" s="1" t="str">
        <f>"MBP-388HH"</f>
        <v>MBP-388HH</v>
      </c>
      <c r="E3649" s="1" t="s">
        <v>17</v>
      </c>
      <c r="F3649" s="1">
        <v>2</v>
      </c>
      <c r="G3649" s="1">
        <v>14925</v>
      </c>
      <c r="H3649" s="1">
        <v>29850</v>
      </c>
      <c r="I3649" s="1">
        <v>0</v>
      </c>
      <c r="J3649" s="1">
        <v>2</v>
      </c>
      <c r="K3649" s="1">
        <v>0</v>
      </c>
    </row>
    <row r="3650" spans="1:11" x14ac:dyDescent="0.2">
      <c r="A3650" s="1" t="s">
        <v>3192</v>
      </c>
      <c r="B3650" s="1" t="s">
        <v>3335</v>
      </c>
      <c r="C3650" s="1" t="str">
        <f>"66298917035044"</f>
        <v>66298917035044</v>
      </c>
      <c r="D3650" s="1" t="str">
        <f>"MBP-419HH"</f>
        <v>MBP-419HH</v>
      </c>
      <c r="E3650" s="1" t="s">
        <v>17</v>
      </c>
      <c r="F3650" s="1">
        <v>6</v>
      </c>
      <c r="G3650" s="1">
        <v>12817</v>
      </c>
      <c r="H3650" s="1">
        <v>76902</v>
      </c>
      <c r="I3650" s="1">
        <v>0</v>
      </c>
      <c r="J3650" s="1">
        <v>6</v>
      </c>
      <c r="K3650" s="1">
        <v>0</v>
      </c>
    </row>
    <row r="3651" spans="1:11" ht="30" x14ac:dyDescent="0.2">
      <c r="A3651" s="1" t="s">
        <v>3192</v>
      </c>
      <c r="B3651" s="1" t="s">
        <v>3336</v>
      </c>
      <c r="C3651" s="1" t="str">
        <f>"MBP-629HH"</f>
        <v>MBP-629HH</v>
      </c>
      <c r="D3651" s="1" t="str">
        <f>"MBP-629HH"</f>
        <v>MBP-629HH</v>
      </c>
      <c r="E3651" s="1" t="s">
        <v>17</v>
      </c>
      <c r="F3651" s="1">
        <v>4</v>
      </c>
      <c r="G3651" s="1">
        <v>11915</v>
      </c>
      <c r="H3651" s="1">
        <v>47660</v>
      </c>
      <c r="I3651" s="1">
        <v>0</v>
      </c>
      <c r="J3651" s="1">
        <v>4</v>
      </c>
      <c r="K3651" s="1">
        <v>0</v>
      </c>
    </row>
    <row r="3652" spans="1:11" ht="30" x14ac:dyDescent="0.2">
      <c r="A3652" s="1" t="s">
        <v>3192</v>
      </c>
      <c r="B3652" s="1" t="s">
        <v>3337</v>
      </c>
      <c r="C3652" s="1" t="str">
        <f>"MBP-663HH"</f>
        <v>MBP-663HH</v>
      </c>
      <c r="D3652" s="1" t="str">
        <f>"MBP-663HH"</f>
        <v>MBP-663HH</v>
      </c>
      <c r="E3652" s="1" t="s">
        <v>17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</row>
    <row r="3653" spans="1:11" ht="30" x14ac:dyDescent="0.2">
      <c r="A3653" s="1" t="s">
        <v>3192</v>
      </c>
      <c r="B3653" s="1" t="s">
        <v>3338</v>
      </c>
      <c r="C3653" s="1" t="str">
        <f>"MBP-662HH"</f>
        <v>MBP-662HH</v>
      </c>
      <c r="D3653" s="1" t="str">
        <f>"MBP-662HH"</f>
        <v>MBP-662HH</v>
      </c>
      <c r="E3653" s="1" t="s">
        <v>17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</row>
    <row r="3654" spans="1:11" x14ac:dyDescent="0.2">
      <c r="A3654" s="1" t="s">
        <v>3192</v>
      </c>
      <c r="B3654" s="1" t="s">
        <v>3339</v>
      </c>
      <c r="C3654" s="1" t="str">
        <f>"10177100"</f>
        <v>10177100</v>
      </c>
      <c r="D3654" s="1" t="str">
        <f>"10177100"</f>
        <v>10177100</v>
      </c>
      <c r="E3654" s="1" t="s">
        <v>17</v>
      </c>
      <c r="F3654" s="1">
        <v>2</v>
      </c>
      <c r="G3654" s="1">
        <v>4999.96</v>
      </c>
      <c r="H3654" s="1">
        <v>10000</v>
      </c>
      <c r="I3654" s="1">
        <v>0</v>
      </c>
      <c r="J3654" s="1">
        <v>2</v>
      </c>
      <c r="K3654" s="1">
        <v>0</v>
      </c>
    </row>
    <row r="3655" spans="1:11" ht="30" x14ac:dyDescent="0.2">
      <c r="A3655" s="1" t="s">
        <v>3192</v>
      </c>
      <c r="B3655" s="1" t="s">
        <v>3340</v>
      </c>
      <c r="C3655" s="1" t="str">
        <f>"06455-KRF-H60JP"</f>
        <v>06455-KRF-H60JP</v>
      </c>
      <c r="D3655" s="1" t="str">
        <f>"06455-KRF-H60JP"</f>
        <v>06455-KRF-H60JP</v>
      </c>
      <c r="E3655" s="1" t="s">
        <v>17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</row>
    <row r="3656" spans="1:11" ht="30" x14ac:dyDescent="0.2">
      <c r="A3656" s="1" t="s">
        <v>3192</v>
      </c>
      <c r="B3656" s="1" t="s">
        <v>3341</v>
      </c>
      <c r="C3656" s="1" t="str">
        <f>"66298917080486"</f>
        <v>66298917080486</v>
      </c>
      <c r="D3656" s="1" t="str">
        <f>"N9322240"</f>
        <v>N9322240</v>
      </c>
      <c r="E3656" s="1" t="s">
        <v>17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</row>
    <row r="3657" spans="1:11" x14ac:dyDescent="0.2">
      <c r="A3657" s="1" t="s">
        <v>3192</v>
      </c>
      <c r="B3657" s="1" t="s">
        <v>3342</v>
      </c>
      <c r="C3657" s="1" t="str">
        <f>"3521"</f>
        <v>3521</v>
      </c>
      <c r="D3657" s="1" t="str">
        <f>"3521"</f>
        <v>3521</v>
      </c>
      <c r="E3657" s="1" t="s">
        <v>17</v>
      </c>
      <c r="F3657" s="1">
        <v>4</v>
      </c>
      <c r="G3657" s="1">
        <v>5693.25</v>
      </c>
      <c r="H3657" s="1">
        <v>22773</v>
      </c>
      <c r="I3657" s="1">
        <v>0</v>
      </c>
      <c r="J3657" s="1">
        <v>4</v>
      </c>
      <c r="K3657" s="1">
        <v>0</v>
      </c>
    </row>
    <row r="3658" spans="1:11" x14ac:dyDescent="0.2">
      <c r="A3658" s="1" t="s">
        <v>3192</v>
      </c>
      <c r="B3658" s="1" t="s">
        <v>3343</v>
      </c>
      <c r="C3658" s="1" t="str">
        <f>"3516"</f>
        <v>3516</v>
      </c>
      <c r="D3658" s="1" t="str">
        <f>"3516"</f>
        <v>3516</v>
      </c>
      <c r="E3658" s="1" t="s">
        <v>17</v>
      </c>
      <c r="F3658" s="1">
        <v>16</v>
      </c>
      <c r="G3658" s="1">
        <v>2733.81</v>
      </c>
      <c r="H3658" s="1">
        <v>43741</v>
      </c>
      <c r="I3658" s="1">
        <v>0</v>
      </c>
      <c r="J3658" s="1">
        <v>16</v>
      </c>
      <c r="K3658" s="1">
        <v>0</v>
      </c>
    </row>
    <row r="3659" spans="1:11" x14ac:dyDescent="0.2">
      <c r="A3659" s="1" t="s">
        <v>3192</v>
      </c>
      <c r="B3659" s="1" t="s">
        <v>3344</v>
      </c>
      <c r="C3659" s="1" t="str">
        <f>"66298917166806"</f>
        <v>66298917166806</v>
      </c>
      <c r="D3659" s="1" t="str">
        <f>"MBP-920"</f>
        <v>MBP-920</v>
      </c>
      <c r="E3659" s="1" t="s">
        <v>17</v>
      </c>
      <c r="F3659" s="1">
        <v>28</v>
      </c>
      <c r="G3659" s="1">
        <v>1375</v>
      </c>
      <c r="H3659" s="1">
        <v>38500</v>
      </c>
      <c r="I3659" s="1">
        <v>0</v>
      </c>
      <c r="J3659" s="1">
        <v>28</v>
      </c>
      <c r="K3659" s="1">
        <v>0</v>
      </c>
    </row>
    <row r="3660" spans="1:11" x14ac:dyDescent="0.2">
      <c r="A3660" s="1" t="s">
        <v>3192</v>
      </c>
      <c r="B3660" s="1" t="s">
        <v>3344</v>
      </c>
      <c r="C3660" s="1" t="str">
        <f>"U020P"</f>
        <v>U020P</v>
      </c>
      <c r="D3660" s="1" t="str">
        <f>"U020P"</f>
        <v>U020P</v>
      </c>
      <c r="E3660" s="1" t="s">
        <v>17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</row>
    <row r="3661" spans="1:11" x14ac:dyDescent="0.2">
      <c r="A3661" s="1" t="s">
        <v>3192</v>
      </c>
      <c r="B3661" s="1" t="s">
        <v>3345</v>
      </c>
      <c r="C3661" s="1" t="str">
        <f>"66298917208977"</f>
        <v>66298917208977</v>
      </c>
      <c r="D3661" s="1" t="str">
        <f>"B06070002"</f>
        <v>B06070002</v>
      </c>
      <c r="E3661" s="1" t="s">
        <v>17</v>
      </c>
      <c r="F3661" s="1">
        <v>17</v>
      </c>
      <c r="G3661" s="1">
        <v>1723</v>
      </c>
      <c r="H3661" s="1">
        <v>29291</v>
      </c>
      <c r="I3661" s="1">
        <v>0</v>
      </c>
      <c r="J3661" s="1">
        <v>17</v>
      </c>
      <c r="K3661" s="1">
        <v>0</v>
      </c>
    </row>
    <row r="3662" spans="1:11" x14ac:dyDescent="0.2">
      <c r="A3662" s="1" t="s">
        <v>3192</v>
      </c>
      <c r="B3662" s="1" t="s">
        <v>3345</v>
      </c>
      <c r="C3662" s="1" t="str">
        <f>"U030P"</f>
        <v>U030P</v>
      </c>
      <c r="D3662" s="1" t="str">
        <f>"U030P"</f>
        <v>U030P</v>
      </c>
      <c r="E3662" s="1" t="s">
        <v>17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</row>
    <row r="3663" spans="1:11" x14ac:dyDescent="0.2">
      <c r="A3663" s="1" t="s">
        <v>3192</v>
      </c>
      <c r="B3663" s="1" t="s">
        <v>3346</v>
      </c>
      <c r="C3663" s="1" t="str">
        <f>"66298917251809"</f>
        <v>66298917251809</v>
      </c>
      <c r="D3663" s="1" t="str">
        <f>"TK250-F8-15"</f>
        <v>TK250-F8-15</v>
      </c>
      <c r="E3663" s="1" t="s">
        <v>17</v>
      </c>
      <c r="F3663" s="1">
        <v>1</v>
      </c>
      <c r="G3663" s="1">
        <v>3457</v>
      </c>
      <c r="H3663" s="1">
        <v>3457</v>
      </c>
      <c r="I3663" s="1">
        <v>0</v>
      </c>
      <c r="J3663" s="1">
        <v>1</v>
      </c>
      <c r="K3663" s="1">
        <v>0</v>
      </c>
    </row>
    <row r="3664" spans="1:11" x14ac:dyDescent="0.2">
      <c r="A3664" s="1" t="s">
        <v>3192</v>
      </c>
      <c r="B3664" s="1" t="s">
        <v>3347</v>
      </c>
      <c r="C3664" s="1" t="str">
        <f>"66298917296300"</f>
        <v>66298917296300</v>
      </c>
      <c r="D3664" s="1" t="str">
        <f>"DSR2"</f>
        <v>DSR2</v>
      </c>
      <c r="E3664" s="1" t="s">
        <v>17</v>
      </c>
      <c r="F3664" s="1">
        <v>5</v>
      </c>
      <c r="G3664" s="1">
        <v>2440</v>
      </c>
      <c r="H3664" s="1">
        <v>12200</v>
      </c>
      <c r="I3664" s="1">
        <v>0</v>
      </c>
      <c r="J3664" s="1">
        <v>5</v>
      </c>
      <c r="K3664" s="1">
        <v>0</v>
      </c>
    </row>
    <row r="3665" spans="1:11" x14ac:dyDescent="0.2">
      <c r="A3665" s="1" t="s">
        <v>3348</v>
      </c>
      <c r="B3665" s="1" t="s">
        <v>3349</v>
      </c>
      <c r="C3665" s="1" t="str">
        <f>"42100H2C000H000"</f>
        <v>42100H2C000H000</v>
      </c>
      <c r="D3665" s="1" t="str">
        <f>"42100H2C000H000"</f>
        <v>42100H2C000H000</v>
      </c>
      <c r="E3665" s="1" t="s">
        <v>17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</row>
    <row r="3666" spans="1:11" x14ac:dyDescent="0.2">
      <c r="A3666" s="1" t="s">
        <v>3348</v>
      </c>
      <c r="B3666" s="1" t="s">
        <v>3350</v>
      </c>
      <c r="C3666" s="1" t="str">
        <f>"G202"</f>
        <v>G202</v>
      </c>
      <c r="D3666" s="1" t="str">
        <f>"G202"</f>
        <v>G202</v>
      </c>
      <c r="E3666" s="1" t="s">
        <v>17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</row>
    <row r="3667" spans="1:11" x14ac:dyDescent="0.2">
      <c r="A3667" s="1" t="s">
        <v>3348</v>
      </c>
      <c r="B3667" s="1" t="s">
        <v>3351</v>
      </c>
      <c r="C3667" s="1" t="str">
        <f>"G201"</f>
        <v>G201</v>
      </c>
      <c r="D3667" s="1" t="str">
        <f>"G201"</f>
        <v>G201</v>
      </c>
      <c r="E3667" s="1" t="s">
        <v>17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</row>
    <row r="3668" spans="1:11" x14ac:dyDescent="0.2">
      <c r="A3668" s="1" t="s">
        <v>3348</v>
      </c>
      <c r="B3668" s="1" t="s">
        <v>3351</v>
      </c>
      <c r="C3668" s="1" t="str">
        <f>"PATA-LATERAL"</f>
        <v>PATA-LATERAL</v>
      </c>
      <c r="D3668" s="1" t="str">
        <f>"PATA-LATERAL"</f>
        <v>PATA-LATERAL</v>
      </c>
      <c r="E3668" s="1" t="s">
        <v>17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</row>
    <row r="3669" spans="1:11" x14ac:dyDescent="0.2">
      <c r="A3669" s="1" t="s">
        <v>3348</v>
      </c>
      <c r="B3669" s="1" t="s">
        <v>3352</v>
      </c>
      <c r="C3669" s="1" t="str">
        <f>"21C-F7311-00"</f>
        <v>21C-F7311-00</v>
      </c>
      <c r="D3669" s="1" t="str">
        <f>"21C-F7311-00"</f>
        <v>21C-F7311-00</v>
      </c>
      <c r="E3669" s="1" t="s">
        <v>17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</row>
    <row r="3670" spans="1:11" x14ac:dyDescent="0.2">
      <c r="A3670" s="1" t="s">
        <v>3348</v>
      </c>
      <c r="B3670" s="1" t="s">
        <v>3353</v>
      </c>
      <c r="C3670" s="1" t="str">
        <f>"66298917338655"</f>
        <v>66298917338655</v>
      </c>
      <c r="D3670" s="1" t="str">
        <f>"JC090-DORADO"</f>
        <v>JC090-DORADO</v>
      </c>
      <c r="E3670" s="1" t="s">
        <v>17</v>
      </c>
      <c r="F3670" s="1">
        <v>4</v>
      </c>
      <c r="G3670" s="1">
        <v>3560</v>
      </c>
      <c r="H3670" s="1">
        <v>14240</v>
      </c>
      <c r="I3670" s="1">
        <v>0</v>
      </c>
      <c r="J3670" s="1">
        <v>4</v>
      </c>
      <c r="K3670" s="1">
        <v>0</v>
      </c>
    </row>
    <row r="3671" spans="1:11" x14ac:dyDescent="0.2">
      <c r="A3671" s="1" t="s">
        <v>3348</v>
      </c>
      <c r="B3671" s="1" t="s">
        <v>3354</v>
      </c>
      <c r="C3671" s="1" t="str">
        <f>"66298917378434"</f>
        <v>66298917378434</v>
      </c>
      <c r="D3671" s="1" t="str">
        <f>"JC090-ROJO"</f>
        <v>JC090-ROJO</v>
      </c>
      <c r="E3671" s="1" t="s">
        <v>17</v>
      </c>
      <c r="F3671" s="1">
        <v>1</v>
      </c>
      <c r="G3671" s="1">
        <v>3560</v>
      </c>
      <c r="H3671" s="1">
        <v>3560</v>
      </c>
      <c r="I3671" s="1">
        <v>0</v>
      </c>
      <c r="J3671" s="1">
        <v>1</v>
      </c>
      <c r="K3671" s="1">
        <v>0</v>
      </c>
    </row>
    <row r="3672" spans="1:11" x14ac:dyDescent="0.2">
      <c r="A3672" s="1" t="s">
        <v>3348</v>
      </c>
      <c r="B3672" s="1" t="s">
        <v>3355</v>
      </c>
      <c r="C3672" s="1" t="str">
        <f>"BRCA62HP"</f>
        <v>BRCA62HP</v>
      </c>
      <c r="D3672" s="1" t="str">
        <f>"BRCA62HP"</f>
        <v>BRCA62HP</v>
      </c>
      <c r="E3672" s="1" t="s">
        <v>17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</row>
    <row r="3673" spans="1:11" x14ac:dyDescent="0.2">
      <c r="A3673" s="1" t="s">
        <v>98</v>
      </c>
      <c r="B3673" s="1" t="s">
        <v>3356</v>
      </c>
      <c r="C3673" s="1" t="str">
        <f>"66298917418373"</f>
        <v>66298917418373</v>
      </c>
      <c r="D3673" s="1" t="str">
        <f>"22350-HKE-000"</f>
        <v>22350-HKE-000</v>
      </c>
      <c r="E3673" s="1" t="s">
        <v>17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</row>
    <row r="3674" spans="1:11" x14ac:dyDescent="0.2">
      <c r="A3674" s="1" t="s">
        <v>3357</v>
      </c>
      <c r="B3674" s="1" t="s">
        <v>3358</v>
      </c>
      <c r="C3674" s="1" t="str">
        <f>"66298917457810"</f>
        <v>66298917457810</v>
      </c>
      <c r="D3674" s="1" t="str">
        <f>"3KG-W253E-00JP"</f>
        <v>3KG-W253E-00JP</v>
      </c>
      <c r="E3674" s="1" t="s">
        <v>17</v>
      </c>
      <c r="F3674" s="1">
        <v>1</v>
      </c>
      <c r="G3674" s="1">
        <v>5301</v>
      </c>
      <c r="H3674" s="1">
        <v>5301</v>
      </c>
      <c r="I3674" s="1">
        <v>0</v>
      </c>
      <c r="J3674" s="1">
        <v>1</v>
      </c>
      <c r="K3674" s="1">
        <v>0</v>
      </c>
    </row>
    <row r="3675" spans="1:11" x14ac:dyDescent="0.2">
      <c r="A3675" s="1" t="s">
        <v>3357</v>
      </c>
      <c r="B3675" s="1" t="s">
        <v>3359</v>
      </c>
      <c r="C3675" s="1" t="str">
        <f>"66298917495381"</f>
        <v>66298917495381</v>
      </c>
      <c r="D3675" s="1" t="str">
        <f>"843-AN125"</f>
        <v>843-AN125</v>
      </c>
      <c r="E3675" s="1" t="s">
        <v>17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</row>
    <row r="3676" spans="1:11" x14ac:dyDescent="0.2">
      <c r="A3676" s="1" t="s">
        <v>3357</v>
      </c>
      <c r="B3676" s="1" t="s">
        <v>3360</v>
      </c>
      <c r="C3676" s="1" t="str">
        <f>"66298917536417"</f>
        <v>66298917536417</v>
      </c>
      <c r="D3676" s="1" t="str">
        <f>"400214"</f>
        <v>400214</v>
      </c>
      <c r="E3676" s="1" t="s">
        <v>17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</row>
    <row r="3677" spans="1:11" x14ac:dyDescent="0.2">
      <c r="A3677" s="1" t="s">
        <v>3357</v>
      </c>
      <c r="B3677" s="1" t="s">
        <v>3361</v>
      </c>
      <c r="C3677" s="1" t="str">
        <f>"66298917575278"</f>
        <v>66298917575278</v>
      </c>
      <c r="D3677" s="1" t="str">
        <f>"41048-017JP"</f>
        <v>41048-017JP</v>
      </c>
      <c r="E3677" s="1" t="s">
        <v>17</v>
      </c>
      <c r="F3677" s="1">
        <v>4</v>
      </c>
      <c r="G3677" s="1">
        <v>4418</v>
      </c>
      <c r="H3677" s="1">
        <v>17672</v>
      </c>
      <c r="I3677" s="1">
        <v>0</v>
      </c>
      <c r="J3677" s="1">
        <v>4</v>
      </c>
      <c r="K3677" s="1">
        <v>0</v>
      </c>
    </row>
    <row r="3678" spans="1:11" x14ac:dyDescent="0.2">
      <c r="A3678" s="1" t="s">
        <v>3357</v>
      </c>
      <c r="B3678" s="1" t="s">
        <v>3362</v>
      </c>
      <c r="C3678" s="1" t="str">
        <f>"66298917615489"</f>
        <v>66298917615489</v>
      </c>
      <c r="D3678" s="1" t="str">
        <f>"31-1510-60-HT"</f>
        <v>31-1510-60-HT</v>
      </c>
      <c r="E3678" s="1" t="s">
        <v>17</v>
      </c>
      <c r="F3678" s="1">
        <v>3</v>
      </c>
      <c r="G3678" s="1">
        <v>2735</v>
      </c>
      <c r="H3678" s="1">
        <v>8205</v>
      </c>
      <c r="I3678" s="1">
        <v>0</v>
      </c>
      <c r="J3678" s="1">
        <v>3</v>
      </c>
      <c r="K3678" s="1">
        <v>0</v>
      </c>
    </row>
    <row r="3679" spans="1:11" x14ac:dyDescent="0.2">
      <c r="A3679" s="1" t="s">
        <v>3357</v>
      </c>
      <c r="B3679" s="1" t="s">
        <v>3363</v>
      </c>
      <c r="C3679" s="1" t="str">
        <f>"49CC50"</f>
        <v>49CC50</v>
      </c>
      <c r="D3679" s="1" t="str">
        <f>"49CC50"</f>
        <v>49CC50</v>
      </c>
      <c r="E3679" s="1" t="s">
        <v>17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</row>
    <row r="3680" spans="1:11" x14ac:dyDescent="0.2">
      <c r="A3680" s="1" t="s">
        <v>3357</v>
      </c>
      <c r="B3680" s="1" t="s">
        <v>3364</v>
      </c>
      <c r="C3680" s="1" t="str">
        <f>"66298917655846"</f>
        <v>66298917655846</v>
      </c>
      <c r="D3680" s="1" t="str">
        <f>"U043"</f>
        <v>U043</v>
      </c>
      <c r="E3680" s="1" t="s">
        <v>17</v>
      </c>
      <c r="F3680" s="1">
        <v>12</v>
      </c>
      <c r="G3680" s="1">
        <v>3114</v>
      </c>
      <c r="H3680" s="1">
        <v>37368</v>
      </c>
      <c r="I3680" s="1">
        <v>0</v>
      </c>
      <c r="J3680" s="1">
        <v>12</v>
      </c>
      <c r="K3680" s="1">
        <v>0</v>
      </c>
    </row>
    <row r="3681" spans="1:11" ht="30" x14ac:dyDescent="0.2">
      <c r="A3681" s="1" t="s">
        <v>3357</v>
      </c>
      <c r="B3681" s="1" t="s">
        <v>3365</v>
      </c>
      <c r="C3681" s="1" t="str">
        <f>"66298917696223"</f>
        <v>66298917696223</v>
      </c>
      <c r="D3681" s="1" t="str">
        <f>"45125-KCC-900JP"</f>
        <v>45125-KCC-900JP</v>
      </c>
      <c r="E3681" s="1" t="s">
        <v>17</v>
      </c>
      <c r="F3681" s="1">
        <v>20</v>
      </c>
      <c r="G3681" s="1">
        <v>3935</v>
      </c>
      <c r="H3681" s="1">
        <v>78700</v>
      </c>
      <c r="I3681" s="1">
        <v>0</v>
      </c>
      <c r="J3681" s="1">
        <v>20</v>
      </c>
      <c r="K3681" s="1">
        <v>0</v>
      </c>
    </row>
    <row r="3682" spans="1:11" x14ac:dyDescent="0.2">
      <c r="A3682" s="1" t="s">
        <v>3357</v>
      </c>
      <c r="B3682" s="1" t="s">
        <v>3366</v>
      </c>
      <c r="C3682" s="1" t="str">
        <f>"66298917736483"</f>
        <v>66298917736483</v>
      </c>
      <c r="D3682" s="1" t="str">
        <f>"45120-096-652JP"</f>
        <v>45120-096-652JP</v>
      </c>
      <c r="E3682" s="1" t="s">
        <v>17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</row>
    <row r="3683" spans="1:11" x14ac:dyDescent="0.2">
      <c r="A3683" s="1" t="s">
        <v>3357</v>
      </c>
      <c r="B3683" s="1" t="s">
        <v>3367</v>
      </c>
      <c r="C3683" s="1" t="str">
        <f>"9632"</f>
        <v>9632</v>
      </c>
      <c r="D3683" s="1" t="str">
        <f>"9632"</f>
        <v>9632</v>
      </c>
      <c r="E3683" s="1" t="s">
        <v>17</v>
      </c>
      <c r="F3683" s="1">
        <v>4</v>
      </c>
      <c r="G3683" s="1">
        <v>3272.27</v>
      </c>
      <c r="H3683" s="1">
        <v>13089</v>
      </c>
      <c r="I3683" s="1">
        <v>0</v>
      </c>
      <c r="J3683" s="1">
        <v>4</v>
      </c>
      <c r="K3683" s="1">
        <v>0</v>
      </c>
    </row>
    <row r="3684" spans="1:11" x14ac:dyDescent="0.2">
      <c r="A3684" s="1" t="s">
        <v>3357</v>
      </c>
      <c r="B3684" s="1" t="s">
        <v>3368</v>
      </c>
      <c r="C3684" s="1" t="str">
        <f>"U023"</f>
        <v>U023</v>
      </c>
      <c r="D3684" s="1" t="str">
        <f>"U023"</f>
        <v>U023</v>
      </c>
      <c r="E3684" s="1" t="s">
        <v>17</v>
      </c>
      <c r="F3684" s="1">
        <v>4</v>
      </c>
      <c r="G3684" s="1">
        <v>3591</v>
      </c>
      <c r="H3684" s="1">
        <v>14364</v>
      </c>
      <c r="I3684" s="1">
        <v>0</v>
      </c>
      <c r="J3684" s="1">
        <v>4</v>
      </c>
      <c r="K3684" s="1">
        <v>0</v>
      </c>
    </row>
    <row r="3685" spans="1:11" ht="30" x14ac:dyDescent="0.2">
      <c r="A3685" s="1" t="s">
        <v>3357</v>
      </c>
      <c r="B3685" s="1" t="s">
        <v>3369</v>
      </c>
      <c r="C3685" s="1" t="str">
        <f>"183-25330-00JP"</f>
        <v>183-25330-00JP</v>
      </c>
      <c r="D3685" s="1" t="str">
        <f>"183-25330-00JP"</f>
        <v>183-25330-00JP</v>
      </c>
      <c r="E3685" s="1" t="s">
        <v>17</v>
      </c>
      <c r="F3685" s="1">
        <v>26</v>
      </c>
      <c r="G3685" s="1">
        <v>3994</v>
      </c>
      <c r="H3685" s="1">
        <v>103844</v>
      </c>
      <c r="I3685" s="1">
        <v>0</v>
      </c>
      <c r="J3685" s="1">
        <v>26</v>
      </c>
      <c r="K3685" s="1">
        <v>0</v>
      </c>
    </row>
    <row r="3686" spans="1:11" x14ac:dyDescent="0.2">
      <c r="A3686" s="1" t="s">
        <v>3357</v>
      </c>
      <c r="B3686" s="1" t="s">
        <v>3370</v>
      </c>
      <c r="C3686" s="1" t="str">
        <f>"6380"</f>
        <v>6380</v>
      </c>
      <c r="D3686" s="1" t="str">
        <f>"6380"</f>
        <v>6380</v>
      </c>
      <c r="E3686" s="1" t="s">
        <v>17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</row>
    <row r="3687" spans="1:11" x14ac:dyDescent="0.2">
      <c r="A3687" s="1" t="s">
        <v>3357</v>
      </c>
      <c r="B3687" s="1" t="s">
        <v>3371</v>
      </c>
      <c r="C3687" s="1" t="str">
        <f>"66298917777558"</f>
        <v>66298917777558</v>
      </c>
      <c r="D3687" s="1" t="str">
        <f>"54410-02410JP"</f>
        <v>54410-02410JP</v>
      </c>
      <c r="E3687" s="1" t="s">
        <v>17</v>
      </c>
      <c r="F3687" s="1">
        <v>1</v>
      </c>
      <c r="G3687" s="1">
        <v>901</v>
      </c>
      <c r="H3687" s="1">
        <v>901</v>
      </c>
      <c r="I3687" s="1">
        <v>0</v>
      </c>
      <c r="J3687" s="1">
        <v>1</v>
      </c>
      <c r="K3687" s="1">
        <v>0</v>
      </c>
    </row>
    <row r="3688" spans="1:11" x14ac:dyDescent="0.2">
      <c r="A3688" s="1" t="s">
        <v>3357</v>
      </c>
      <c r="B3688" s="1" t="s">
        <v>3372</v>
      </c>
      <c r="C3688" s="1" t="str">
        <f>"U026"</f>
        <v>U026</v>
      </c>
      <c r="D3688" s="1" t="str">
        <f>"U026"</f>
        <v>U026</v>
      </c>
      <c r="E3688" s="1" t="s">
        <v>17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</row>
    <row r="3689" spans="1:11" ht="30" x14ac:dyDescent="0.2">
      <c r="A3689" s="1" t="s">
        <v>3357</v>
      </c>
      <c r="B3689" s="1" t="s">
        <v>3373</v>
      </c>
      <c r="C3689" s="1" t="str">
        <f>"66298917834645"</f>
        <v>66298917834645</v>
      </c>
      <c r="D3689" s="1" t="str">
        <f>"54400-07880JP"</f>
        <v>54400-07880JP</v>
      </c>
      <c r="E3689" s="1" t="s">
        <v>17</v>
      </c>
      <c r="F3689" s="1">
        <v>2</v>
      </c>
      <c r="G3689" s="1">
        <v>4314</v>
      </c>
      <c r="H3689" s="1">
        <v>8628</v>
      </c>
      <c r="I3689" s="1">
        <v>0</v>
      </c>
      <c r="J3689" s="1">
        <v>2</v>
      </c>
      <c r="K3689" s="1">
        <v>0</v>
      </c>
    </row>
    <row r="3690" spans="1:11" ht="30" x14ac:dyDescent="0.2">
      <c r="A3690" s="1" t="s">
        <v>3357</v>
      </c>
      <c r="B3690" s="1" t="s">
        <v>3373</v>
      </c>
      <c r="C3690" s="1" t="str">
        <f>"20905"</f>
        <v>20905</v>
      </c>
      <c r="D3690" s="1" t="str">
        <f>"20905"</f>
        <v>20905</v>
      </c>
      <c r="E3690" s="1" t="s">
        <v>17</v>
      </c>
      <c r="F3690" s="1">
        <v>1</v>
      </c>
      <c r="G3690" s="1">
        <v>2899</v>
      </c>
      <c r="H3690" s="1">
        <v>2899</v>
      </c>
      <c r="I3690" s="1">
        <v>0</v>
      </c>
      <c r="J3690" s="1">
        <v>1</v>
      </c>
      <c r="K3690" s="1">
        <v>0</v>
      </c>
    </row>
    <row r="3691" spans="1:11" ht="30" x14ac:dyDescent="0.2">
      <c r="A3691" s="1" t="s">
        <v>3357</v>
      </c>
      <c r="B3691" s="1" t="s">
        <v>3373</v>
      </c>
      <c r="C3691" s="1" t="str">
        <f>"PAT-GN125H"</f>
        <v>PAT-GN125H</v>
      </c>
      <c r="D3691" s="1" t="str">
        <f>"PAT-GN125H"</f>
        <v>PAT-GN125H</v>
      </c>
      <c r="E3691" s="1" t="s">
        <v>17</v>
      </c>
      <c r="F3691" s="1">
        <v>3</v>
      </c>
      <c r="G3691" s="1">
        <v>1916.08</v>
      </c>
      <c r="H3691" s="1">
        <v>5748</v>
      </c>
      <c r="I3691" s="1">
        <v>0</v>
      </c>
      <c r="J3691" s="1">
        <v>3</v>
      </c>
      <c r="K3691" s="1">
        <v>0</v>
      </c>
    </row>
    <row r="3692" spans="1:11" x14ac:dyDescent="0.2">
      <c r="A3692" s="1" t="s">
        <v>3357</v>
      </c>
      <c r="B3692" s="1" t="s">
        <v>3374</v>
      </c>
      <c r="C3692" s="1" t="str">
        <f>"54400H22Y00H000"</f>
        <v>54400H22Y00H000</v>
      </c>
      <c r="D3692" s="1" t="str">
        <f>"54400H22Y00H000"</f>
        <v>54400H22Y00H000</v>
      </c>
      <c r="E3692" s="1" t="s">
        <v>17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</row>
    <row r="3693" spans="1:11" ht="30" x14ac:dyDescent="0.2">
      <c r="A3693" s="1" t="s">
        <v>3357</v>
      </c>
      <c r="B3693" s="1" t="s">
        <v>3375</v>
      </c>
      <c r="C3693" s="1" t="str">
        <f>"66298917920238"</f>
        <v>66298917920238</v>
      </c>
      <c r="D3693" s="1" t="str">
        <f>"400387"</f>
        <v>400387</v>
      </c>
      <c r="E3693" s="1" t="s">
        <v>17</v>
      </c>
      <c r="F3693" s="1">
        <v>14</v>
      </c>
      <c r="G3693" s="1">
        <v>1824</v>
      </c>
      <c r="H3693" s="1">
        <v>25536</v>
      </c>
      <c r="I3693" s="1">
        <v>0</v>
      </c>
      <c r="J3693" s="1">
        <v>14</v>
      </c>
      <c r="K3693" s="1">
        <v>0</v>
      </c>
    </row>
    <row r="3694" spans="1:11" x14ac:dyDescent="0.2">
      <c r="A3694" s="1" t="s">
        <v>3357</v>
      </c>
      <c r="B3694" s="1" t="s">
        <v>3376</v>
      </c>
      <c r="C3694" s="1" t="str">
        <f>"64410H40Y00H000"</f>
        <v>64410H40Y00H000</v>
      </c>
      <c r="D3694" s="1" t="str">
        <f>"64410H40Y00H000"</f>
        <v>64410H40Y00H000</v>
      </c>
      <c r="E3694" s="1" t="s">
        <v>17</v>
      </c>
      <c r="F3694" s="1">
        <v>1</v>
      </c>
      <c r="G3694" s="1">
        <v>23191.52</v>
      </c>
      <c r="H3694" s="1">
        <v>23192</v>
      </c>
      <c r="I3694" s="1">
        <v>0</v>
      </c>
      <c r="J3694" s="1">
        <v>1</v>
      </c>
      <c r="K3694" s="1">
        <v>0</v>
      </c>
    </row>
    <row r="3695" spans="1:11" x14ac:dyDescent="0.2">
      <c r="A3695" s="1" t="s">
        <v>3357</v>
      </c>
      <c r="B3695" s="1" t="s">
        <v>3377</v>
      </c>
      <c r="C3695" s="1" t="str">
        <f>"U021"</f>
        <v>U021</v>
      </c>
      <c r="D3695" s="1" t="str">
        <f>"U021"</f>
        <v>U021</v>
      </c>
      <c r="E3695" s="1" t="s">
        <v>17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</row>
    <row r="3696" spans="1:11" x14ac:dyDescent="0.2">
      <c r="A3696" s="1" t="s">
        <v>3357</v>
      </c>
      <c r="B3696" s="1" t="s">
        <v>3378</v>
      </c>
      <c r="C3696" s="1" t="str">
        <f>"66298917875143"</f>
        <v>66298917875143</v>
      </c>
      <c r="D3696" s="1" t="str">
        <f>"18A-W2534-00JP"</f>
        <v>18A-W2534-00JP</v>
      </c>
      <c r="E3696" s="1" t="s">
        <v>17</v>
      </c>
      <c r="F3696" s="1">
        <v>20</v>
      </c>
      <c r="G3696" s="1">
        <v>1687</v>
      </c>
      <c r="H3696" s="1">
        <v>33740</v>
      </c>
      <c r="I3696" s="1">
        <v>0</v>
      </c>
      <c r="J3696" s="1">
        <v>20</v>
      </c>
      <c r="K3696" s="1">
        <v>0</v>
      </c>
    </row>
    <row r="3697" spans="1:11" x14ac:dyDescent="0.2">
      <c r="A3697" s="1" t="s">
        <v>3357</v>
      </c>
      <c r="B3697" s="1" t="s">
        <v>3379</v>
      </c>
      <c r="C3697" s="1" t="str">
        <f>"U027"</f>
        <v>U027</v>
      </c>
      <c r="D3697" s="1" t="str">
        <f>"U027"</f>
        <v>U027</v>
      </c>
      <c r="E3697" s="1" t="s">
        <v>17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</row>
    <row r="3698" spans="1:11" x14ac:dyDescent="0.2">
      <c r="A3698" s="1" t="s">
        <v>3357</v>
      </c>
      <c r="B3698" s="1" t="s">
        <v>3380</v>
      </c>
      <c r="C3698" s="1" t="str">
        <f>"66298917965048"</f>
        <v>66298917965048</v>
      </c>
      <c r="D3698" s="1" t="str">
        <f>"M150"</f>
        <v>M150</v>
      </c>
      <c r="E3698" s="1" t="s">
        <v>17</v>
      </c>
      <c r="F3698" s="1">
        <v>10</v>
      </c>
      <c r="G3698" s="1">
        <v>1780</v>
      </c>
      <c r="H3698" s="1">
        <v>17800</v>
      </c>
      <c r="I3698" s="1">
        <v>0</v>
      </c>
      <c r="J3698" s="1">
        <v>10</v>
      </c>
      <c r="K3698" s="1">
        <v>0</v>
      </c>
    </row>
    <row r="3699" spans="1:11" x14ac:dyDescent="0.2">
      <c r="A3699" s="1" t="s">
        <v>3357</v>
      </c>
      <c r="B3699" s="1" t="s">
        <v>3381</v>
      </c>
      <c r="C3699" s="1" t="str">
        <f>"66298918049957"</f>
        <v>66298918049957</v>
      </c>
      <c r="D3699" s="1" t="str">
        <f>"400217"</f>
        <v>400217</v>
      </c>
      <c r="E3699" s="1" t="s">
        <v>17</v>
      </c>
      <c r="F3699" s="1">
        <v>29</v>
      </c>
      <c r="G3699" s="1">
        <v>1023</v>
      </c>
      <c r="H3699" s="1">
        <v>29667</v>
      </c>
      <c r="I3699" s="1">
        <v>0</v>
      </c>
      <c r="J3699" s="1">
        <v>29</v>
      </c>
      <c r="K3699" s="1">
        <v>0</v>
      </c>
    </row>
    <row r="3700" spans="1:11" x14ac:dyDescent="0.2">
      <c r="A3700" s="1" t="s">
        <v>3357</v>
      </c>
      <c r="B3700" s="1" t="s">
        <v>3382</v>
      </c>
      <c r="C3700" s="1" t="str">
        <f>"66298918091277"</f>
        <v>66298918091277</v>
      </c>
      <c r="D3700" s="1" t="str">
        <f>"43120-362-000JP"</f>
        <v>43120-362-000JP</v>
      </c>
      <c r="E3700" s="1" t="s">
        <v>17</v>
      </c>
      <c r="F3700" s="1">
        <v>16</v>
      </c>
      <c r="G3700" s="1">
        <v>2931</v>
      </c>
      <c r="H3700" s="1">
        <v>46896</v>
      </c>
      <c r="I3700" s="1">
        <v>0</v>
      </c>
      <c r="J3700" s="1">
        <v>16</v>
      </c>
      <c r="K3700" s="1">
        <v>0</v>
      </c>
    </row>
    <row r="3701" spans="1:11" x14ac:dyDescent="0.2">
      <c r="A3701" s="1" t="s">
        <v>3357</v>
      </c>
      <c r="B3701" s="1" t="s">
        <v>3383</v>
      </c>
      <c r="C3701" s="1" t="str">
        <f>"66298918010544"</f>
        <v>66298918010544</v>
      </c>
      <c r="D3701" s="1" t="str">
        <f>"06430-KBR-003JP"</f>
        <v>06430-KBR-003JP</v>
      </c>
      <c r="E3701" s="1" t="s">
        <v>17</v>
      </c>
      <c r="F3701" s="1">
        <v>34</v>
      </c>
      <c r="G3701" s="1">
        <v>2574</v>
      </c>
      <c r="H3701" s="1">
        <v>87516</v>
      </c>
      <c r="I3701" s="1">
        <v>0</v>
      </c>
      <c r="J3701" s="1">
        <v>34</v>
      </c>
      <c r="K3701" s="1">
        <v>0</v>
      </c>
    </row>
    <row r="3702" spans="1:11" x14ac:dyDescent="0.2">
      <c r="A3702" s="1" t="s">
        <v>3357</v>
      </c>
      <c r="B3702" s="1" t="s">
        <v>3384</v>
      </c>
      <c r="C3702" s="1" t="str">
        <f>"66298918133675"</f>
        <v>66298918133675</v>
      </c>
      <c r="D3702" s="1" t="str">
        <f>"400218"</f>
        <v>400218</v>
      </c>
      <c r="E3702" s="1" t="s">
        <v>17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</row>
    <row r="3703" spans="1:11" x14ac:dyDescent="0.2">
      <c r="A3703" s="1" t="s">
        <v>3357</v>
      </c>
      <c r="B3703" s="1" t="s">
        <v>3385</v>
      </c>
      <c r="C3703" s="1" t="str">
        <f>"66298918176747"</f>
        <v>66298918176747</v>
      </c>
      <c r="D3703" s="1" t="str">
        <f>"5ML-XF533-00"</f>
        <v>5ML-XF533-00</v>
      </c>
      <c r="E3703" s="1" t="s">
        <v>17</v>
      </c>
      <c r="F3703" s="1">
        <v>18</v>
      </c>
      <c r="G3703" s="1">
        <v>7407</v>
      </c>
      <c r="H3703" s="1">
        <v>133326</v>
      </c>
      <c r="I3703" s="1">
        <v>0</v>
      </c>
      <c r="J3703" s="1">
        <v>18</v>
      </c>
      <c r="K3703" s="1">
        <v>0</v>
      </c>
    </row>
    <row r="3704" spans="1:11" x14ac:dyDescent="0.2">
      <c r="A3704" s="1" t="s">
        <v>3386</v>
      </c>
      <c r="B3704" s="1" t="s">
        <v>3387</v>
      </c>
      <c r="C3704" s="1" t="str">
        <f>"66298918217029"</f>
        <v>66298918217029</v>
      </c>
      <c r="D3704" s="1" t="str">
        <f>"400548"</f>
        <v>400548</v>
      </c>
      <c r="E3704" s="1" t="s">
        <v>17</v>
      </c>
      <c r="F3704" s="1">
        <v>15</v>
      </c>
      <c r="G3704" s="1">
        <v>2418</v>
      </c>
      <c r="H3704" s="1">
        <v>36270</v>
      </c>
      <c r="I3704" s="1">
        <v>0</v>
      </c>
      <c r="J3704" s="1">
        <v>15</v>
      </c>
      <c r="K3704" s="1">
        <v>0</v>
      </c>
    </row>
    <row r="3705" spans="1:11" x14ac:dyDescent="0.2">
      <c r="A3705" s="1" t="s">
        <v>3386</v>
      </c>
      <c r="B3705" s="1" t="s">
        <v>3388</v>
      </c>
      <c r="C3705" s="1" t="str">
        <f>"66298918257659"</f>
        <v>66298918257659</v>
      </c>
      <c r="D3705" s="1" t="str">
        <f>"GB015"</f>
        <v>GB015</v>
      </c>
      <c r="E3705" s="1" t="s">
        <v>17</v>
      </c>
      <c r="F3705" s="1">
        <v>1</v>
      </c>
      <c r="G3705" s="1">
        <v>2353</v>
      </c>
      <c r="H3705" s="1">
        <v>2353</v>
      </c>
      <c r="I3705" s="1">
        <v>0</v>
      </c>
      <c r="J3705" s="1">
        <v>1</v>
      </c>
      <c r="K3705" s="1">
        <v>0</v>
      </c>
    </row>
    <row r="3706" spans="1:11" x14ac:dyDescent="0.2">
      <c r="A3706" s="1" t="s">
        <v>3386</v>
      </c>
      <c r="B3706" s="1" t="s">
        <v>3389</v>
      </c>
      <c r="C3706" s="1" t="str">
        <f>"66298918341354"</f>
        <v>66298918341354</v>
      </c>
      <c r="D3706" s="1" t="str">
        <f>"83157"</f>
        <v>83157</v>
      </c>
      <c r="E3706" s="1" t="s">
        <v>17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</row>
    <row r="3707" spans="1:11" x14ac:dyDescent="0.2">
      <c r="A3707" s="1" t="s">
        <v>3386</v>
      </c>
      <c r="B3707" s="1" t="s">
        <v>3390</v>
      </c>
      <c r="C3707" s="1" t="str">
        <f>"66298918302384"</f>
        <v>66298918302384</v>
      </c>
      <c r="D3707" s="1" t="str">
        <f>"JPC-1801-107"</f>
        <v>JPC-1801-107</v>
      </c>
      <c r="E3707" s="1" t="s">
        <v>17</v>
      </c>
      <c r="F3707" s="1">
        <v>1</v>
      </c>
      <c r="G3707" s="1">
        <v>5441</v>
      </c>
      <c r="H3707" s="1">
        <v>5441</v>
      </c>
      <c r="I3707" s="1">
        <v>0</v>
      </c>
      <c r="J3707" s="1">
        <v>1</v>
      </c>
      <c r="K3707" s="1">
        <v>0</v>
      </c>
    </row>
    <row r="3708" spans="1:11" x14ac:dyDescent="0.2">
      <c r="A3708" s="1" t="s">
        <v>3386</v>
      </c>
      <c r="B3708" s="1" t="s">
        <v>3391</v>
      </c>
      <c r="C3708" s="1" t="str">
        <f>"66298918427187"</f>
        <v>66298918427187</v>
      </c>
      <c r="D3708" s="1" t="str">
        <f>"401029"</f>
        <v>401029</v>
      </c>
      <c r="E3708" s="1" t="s">
        <v>17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</row>
    <row r="3709" spans="1:11" x14ac:dyDescent="0.2">
      <c r="A3709" s="1" t="s">
        <v>3386</v>
      </c>
      <c r="B3709" s="1" t="s">
        <v>3392</v>
      </c>
      <c r="C3709" s="1" t="str">
        <f>"66298918381775"</f>
        <v>66298918381775</v>
      </c>
      <c r="D3709" s="1" t="str">
        <f>"GB002"</f>
        <v>GB002</v>
      </c>
      <c r="E3709" s="1" t="s">
        <v>17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</row>
    <row r="3710" spans="1:11" x14ac:dyDescent="0.2">
      <c r="A3710" s="1" t="s">
        <v>3386</v>
      </c>
      <c r="B3710" s="1" t="s">
        <v>3393</v>
      </c>
      <c r="C3710" s="1" t="str">
        <f>"66298918467729"</f>
        <v>66298918467729</v>
      </c>
      <c r="D3710" s="1" t="str">
        <f>"24653"</f>
        <v>24653</v>
      </c>
      <c r="E3710" s="1" t="s">
        <v>17</v>
      </c>
      <c r="F3710" s="1">
        <v>1</v>
      </c>
      <c r="G3710" s="1">
        <v>2910</v>
      </c>
      <c r="H3710" s="1">
        <v>2910</v>
      </c>
      <c r="I3710" s="1">
        <v>0</v>
      </c>
      <c r="J3710" s="1">
        <v>1</v>
      </c>
      <c r="K3710" s="1">
        <v>0</v>
      </c>
    </row>
    <row r="3711" spans="1:11" x14ac:dyDescent="0.2">
      <c r="A3711" s="1" t="s">
        <v>3386</v>
      </c>
      <c r="B3711" s="1" t="s">
        <v>3394</v>
      </c>
      <c r="C3711" s="1" t="str">
        <f>"66298918510768"</f>
        <v>66298918510768</v>
      </c>
      <c r="D3711" s="1" t="str">
        <f>"GB001"</f>
        <v>GB001</v>
      </c>
      <c r="E3711" s="1" t="s">
        <v>17</v>
      </c>
      <c r="F3711" s="1">
        <v>9</v>
      </c>
      <c r="G3711" s="1">
        <v>3329</v>
      </c>
      <c r="H3711" s="1">
        <v>29961</v>
      </c>
      <c r="I3711" s="1">
        <v>0</v>
      </c>
      <c r="J3711" s="1">
        <v>9</v>
      </c>
      <c r="K3711" s="1">
        <v>0</v>
      </c>
    </row>
    <row r="3712" spans="1:11" x14ac:dyDescent="0.2">
      <c r="A3712" s="1" t="s">
        <v>3386</v>
      </c>
      <c r="B3712" s="1" t="s">
        <v>3395</v>
      </c>
      <c r="C3712" s="1" t="str">
        <f>"66298918557448"</f>
        <v>66298918557448</v>
      </c>
      <c r="D3712" s="1" t="str">
        <f>"GB003"</f>
        <v>GB003</v>
      </c>
      <c r="E3712" s="1" t="s">
        <v>17</v>
      </c>
      <c r="F3712" s="1">
        <v>8</v>
      </c>
      <c r="G3712" s="1">
        <v>2386.8000000000002</v>
      </c>
      <c r="H3712" s="1">
        <v>19094</v>
      </c>
      <c r="I3712" s="1">
        <v>0</v>
      </c>
      <c r="J3712" s="1">
        <v>8</v>
      </c>
      <c r="K3712" s="1">
        <v>0</v>
      </c>
    </row>
    <row r="3713" spans="1:11" x14ac:dyDescent="0.2">
      <c r="A3713" s="1" t="s">
        <v>3386</v>
      </c>
      <c r="B3713" s="1" t="s">
        <v>3396</v>
      </c>
      <c r="C3713" s="1" t="str">
        <f>"GB004"</f>
        <v>GB004</v>
      </c>
      <c r="D3713" s="1" t="str">
        <f>"GB004"</f>
        <v>GB004</v>
      </c>
      <c r="E3713" s="1" t="s">
        <v>17</v>
      </c>
      <c r="F3713" s="1">
        <v>3</v>
      </c>
      <c r="G3713" s="1">
        <v>4611.6099999999997</v>
      </c>
      <c r="H3713" s="1">
        <v>13835</v>
      </c>
      <c r="I3713" s="1">
        <v>0</v>
      </c>
      <c r="J3713" s="1">
        <v>3</v>
      </c>
      <c r="K3713" s="1">
        <v>0</v>
      </c>
    </row>
    <row r="3714" spans="1:11" x14ac:dyDescent="0.2">
      <c r="A3714" s="1" t="s">
        <v>3386</v>
      </c>
      <c r="B3714" s="1" t="s">
        <v>3397</v>
      </c>
      <c r="C3714" s="1" t="str">
        <f>"66298918596754"</f>
        <v>66298918596754</v>
      </c>
      <c r="D3714" s="1" t="str">
        <f>"400437"</f>
        <v>400437</v>
      </c>
      <c r="E3714" s="1" t="s">
        <v>17</v>
      </c>
      <c r="F3714" s="1">
        <v>17</v>
      </c>
      <c r="G3714" s="1">
        <v>843</v>
      </c>
      <c r="H3714" s="1">
        <v>14331</v>
      </c>
      <c r="I3714" s="1">
        <v>0</v>
      </c>
      <c r="J3714" s="1">
        <v>17</v>
      </c>
      <c r="K3714" s="1">
        <v>0</v>
      </c>
    </row>
    <row r="3715" spans="1:11" x14ac:dyDescent="0.2">
      <c r="A3715" s="1" t="s">
        <v>3386</v>
      </c>
      <c r="B3715" s="1" t="s">
        <v>3398</v>
      </c>
      <c r="C3715" s="1" t="str">
        <f>"GB006"</f>
        <v>GB006</v>
      </c>
      <c r="D3715" s="1" t="str">
        <f>"GB006"</f>
        <v>GB006</v>
      </c>
      <c r="E3715" s="1" t="s">
        <v>17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</row>
    <row r="3716" spans="1:11" x14ac:dyDescent="0.2">
      <c r="A3716" s="1" t="s">
        <v>3386</v>
      </c>
      <c r="B3716" s="1" t="s">
        <v>3399</v>
      </c>
      <c r="C3716" s="1" t="str">
        <f>"66298918637269"</f>
        <v>66298918637269</v>
      </c>
      <c r="D3716" s="1" t="str">
        <f>"400010"</f>
        <v>400010</v>
      </c>
      <c r="E3716" s="1" t="s">
        <v>17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</row>
    <row r="3717" spans="1:11" x14ac:dyDescent="0.2">
      <c r="A3717" s="1" t="s">
        <v>3386</v>
      </c>
      <c r="B3717" s="1" t="s">
        <v>3400</v>
      </c>
      <c r="C3717" s="1" t="str">
        <f>"66298918680060"</f>
        <v>66298918680060</v>
      </c>
      <c r="D3717" s="1" t="str">
        <f>"25600H2C000H000"</f>
        <v>25600H2C000H000</v>
      </c>
      <c r="E3717" s="1" t="s">
        <v>17</v>
      </c>
      <c r="F3717" s="1">
        <v>1</v>
      </c>
      <c r="G3717" s="1">
        <v>10052</v>
      </c>
      <c r="H3717" s="1">
        <v>10052</v>
      </c>
      <c r="I3717" s="1">
        <v>0</v>
      </c>
      <c r="J3717" s="1">
        <v>1</v>
      </c>
      <c r="K3717" s="1">
        <v>0</v>
      </c>
    </row>
    <row r="3718" spans="1:11" x14ac:dyDescent="0.2">
      <c r="A3718" s="1" t="s">
        <v>3386</v>
      </c>
      <c r="B3718" s="1" t="s">
        <v>3401</v>
      </c>
      <c r="C3718" s="1" t="str">
        <f>"66298918723487"</f>
        <v>66298918723487</v>
      </c>
      <c r="D3718" s="1" t="str">
        <f>"25600H40100H000"</f>
        <v>25600H40100H000</v>
      </c>
      <c r="E3718" s="1" t="s">
        <v>17</v>
      </c>
      <c r="F3718" s="1">
        <v>1</v>
      </c>
      <c r="G3718" s="1">
        <v>12370</v>
      </c>
      <c r="H3718" s="1">
        <v>12370</v>
      </c>
      <c r="I3718" s="1">
        <v>0</v>
      </c>
      <c r="J3718" s="1">
        <v>1</v>
      </c>
      <c r="K3718" s="1">
        <v>0</v>
      </c>
    </row>
    <row r="3719" spans="1:11" x14ac:dyDescent="0.2">
      <c r="A3719" s="1" t="s">
        <v>3386</v>
      </c>
      <c r="B3719" s="1" t="s">
        <v>3402</v>
      </c>
      <c r="C3719" s="1" t="str">
        <f>"66298918811092"</f>
        <v>66298918811092</v>
      </c>
      <c r="D3719" s="1" t="str">
        <f>"400229"</f>
        <v>400229</v>
      </c>
      <c r="E3719" s="1" t="s">
        <v>17</v>
      </c>
      <c r="F3719" s="1">
        <v>58</v>
      </c>
      <c r="G3719" s="1">
        <v>736</v>
      </c>
      <c r="H3719" s="1">
        <v>42688</v>
      </c>
      <c r="I3719" s="1">
        <v>0</v>
      </c>
      <c r="J3719" s="1">
        <v>58</v>
      </c>
      <c r="K3719" s="1">
        <v>0</v>
      </c>
    </row>
    <row r="3720" spans="1:11" x14ac:dyDescent="0.2">
      <c r="A3720" s="1" t="s">
        <v>3386</v>
      </c>
      <c r="B3720" s="1" t="s">
        <v>3403</v>
      </c>
      <c r="C3720" s="1" t="str">
        <f>"66298918767415"</f>
        <v>66298918767415</v>
      </c>
      <c r="D3720" s="1" t="str">
        <f>"PED-CAM-NXR"</f>
        <v>PED-CAM-NXR</v>
      </c>
      <c r="E3720" s="1" t="s">
        <v>17</v>
      </c>
      <c r="F3720" s="1">
        <v>1</v>
      </c>
      <c r="G3720" s="1">
        <v>2824</v>
      </c>
      <c r="H3720" s="1">
        <v>2824</v>
      </c>
      <c r="I3720" s="1">
        <v>0</v>
      </c>
      <c r="J3720" s="1">
        <v>1</v>
      </c>
      <c r="K3720" s="1">
        <v>0</v>
      </c>
    </row>
    <row r="3721" spans="1:11" x14ac:dyDescent="0.2">
      <c r="A3721" s="1" t="s">
        <v>3386</v>
      </c>
      <c r="B3721" s="1" t="s">
        <v>3404</v>
      </c>
      <c r="C3721" s="1" t="str">
        <f>"66298918852235"</f>
        <v>66298918852235</v>
      </c>
      <c r="D3721" s="1" t="str">
        <f>"400444"</f>
        <v>400444</v>
      </c>
      <c r="E3721" s="1" t="s">
        <v>17</v>
      </c>
      <c r="F3721" s="1">
        <v>1</v>
      </c>
      <c r="G3721" s="1">
        <v>2348</v>
      </c>
      <c r="H3721" s="1">
        <v>2348</v>
      </c>
      <c r="I3721" s="1">
        <v>0</v>
      </c>
      <c r="J3721" s="1">
        <v>1</v>
      </c>
      <c r="K3721" s="1">
        <v>0</v>
      </c>
    </row>
    <row r="3722" spans="1:11" x14ac:dyDescent="0.2">
      <c r="A3722" s="1" t="s">
        <v>3386</v>
      </c>
      <c r="B3722" s="1" t="s">
        <v>3405</v>
      </c>
      <c r="C3722" s="1" t="str">
        <f>"66298918894612"</f>
        <v>66298918894612</v>
      </c>
      <c r="D3722" s="1" t="str">
        <f>"400440"</f>
        <v>400440</v>
      </c>
      <c r="E3722" s="1" t="s">
        <v>17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</row>
    <row r="3723" spans="1:11" x14ac:dyDescent="0.2">
      <c r="A3723" s="1" t="s">
        <v>3386</v>
      </c>
      <c r="B3723" s="1" t="s">
        <v>3406</v>
      </c>
      <c r="C3723" s="1" t="str">
        <f>"66298918935840"</f>
        <v>66298918935840</v>
      </c>
      <c r="D3723" s="1" t="str">
        <f>"400441"</f>
        <v>400441</v>
      </c>
      <c r="E3723" s="1" t="s">
        <v>17</v>
      </c>
      <c r="F3723" s="1">
        <v>22</v>
      </c>
      <c r="G3723" s="1">
        <v>2942</v>
      </c>
      <c r="H3723" s="1">
        <v>64724</v>
      </c>
      <c r="I3723" s="1">
        <v>0</v>
      </c>
      <c r="J3723" s="1">
        <v>22</v>
      </c>
      <c r="K3723" s="1">
        <v>0</v>
      </c>
    </row>
    <row r="3724" spans="1:11" x14ac:dyDescent="0.2">
      <c r="A3724" s="1" t="s">
        <v>3386</v>
      </c>
      <c r="B3724" s="1" t="s">
        <v>3407</v>
      </c>
      <c r="C3724" s="1" t="str">
        <f>"66298918977564"</f>
        <v>66298918977564</v>
      </c>
      <c r="D3724" s="1" t="str">
        <f>"25600H37210H000"</f>
        <v>25600H37210H000</v>
      </c>
      <c r="E3724" s="1" t="s">
        <v>17</v>
      </c>
      <c r="F3724" s="1">
        <v>1</v>
      </c>
      <c r="G3724" s="1">
        <v>8783</v>
      </c>
      <c r="H3724" s="1">
        <v>8783</v>
      </c>
      <c r="I3724" s="1">
        <v>0</v>
      </c>
      <c r="J3724" s="1">
        <v>1</v>
      </c>
      <c r="K3724" s="1">
        <v>0</v>
      </c>
    </row>
    <row r="3725" spans="1:11" x14ac:dyDescent="0.2">
      <c r="A3725" s="1" t="s">
        <v>3386</v>
      </c>
      <c r="B3725" s="1" t="s">
        <v>3408</v>
      </c>
      <c r="C3725" s="1" t="str">
        <f>"66298919020223"</f>
        <v>66298919020223</v>
      </c>
      <c r="D3725" s="1" t="str">
        <f>"400442"</f>
        <v>400442</v>
      </c>
      <c r="E3725" s="1" t="s">
        <v>17</v>
      </c>
      <c r="F3725" s="1">
        <v>4</v>
      </c>
      <c r="G3725" s="1">
        <v>2629</v>
      </c>
      <c r="H3725" s="1">
        <v>10516</v>
      </c>
      <c r="I3725" s="1">
        <v>0</v>
      </c>
      <c r="J3725" s="1">
        <v>4</v>
      </c>
      <c r="K3725" s="1">
        <v>0</v>
      </c>
    </row>
    <row r="3726" spans="1:11" x14ac:dyDescent="0.2">
      <c r="A3726" s="1" t="s">
        <v>3386</v>
      </c>
      <c r="B3726" s="1" t="s">
        <v>3409</v>
      </c>
      <c r="C3726" s="1" t="str">
        <f>"66298919061798"</f>
        <v>66298919061798</v>
      </c>
      <c r="D3726" s="1" t="str">
        <f>"400438"</f>
        <v>400438</v>
      </c>
      <c r="E3726" s="1" t="s">
        <v>17</v>
      </c>
      <c r="F3726" s="1">
        <v>1</v>
      </c>
      <c r="G3726" s="1">
        <v>1294</v>
      </c>
      <c r="H3726" s="1">
        <v>1294</v>
      </c>
      <c r="I3726" s="1">
        <v>0</v>
      </c>
      <c r="J3726" s="1">
        <v>1</v>
      </c>
      <c r="K3726" s="1">
        <v>0</v>
      </c>
    </row>
    <row r="3727" spans="1:11" x14ac:dyDescent="0.2">
      <c r="A3727" s="1" t="s">
        <v>3386</v>
      </c>
      <c r="B3727" s="1" t="s">
        <v>3410</v>
      </c>
      <c r="C3727" s="1" t="str">
        <f>"66298919103237"</f>
        <v>66298919103237</v>
      </c>
      <c r="D3727" s="1" t="str">
        <f>"20PWE811100"</f>
        <v>20PWE811100</v>
      </c>
      <c r="E3727" s="1" t="s">
        <v>17</v>
      </c>
      <c r="F3727" s="1">
        <v>1</v>
      </c>
      <c r="G3727" s="1">
        <v>8117</v>
      </c>
      <c r="H3727" s="1">
        <v>8117</v>
      </c>
      <c r="I3727" s="1">
        <v>0</v>
      </c>
      <c r="J3727" s="1">
        <v>1</v>
      </c>
      <c r="K3727" s="1">
        <v>0</v>
      </c>
    </row>
    <row r="3728" spans="1:11" x14ac:dyDescent="0.2">
      <c r="A3728" s="1" t="s">
        <v>3386</v>
      </c>
      <c r="B3728" s="1" t="s">
        <v>3411</v>
      </c>
      <c r="C3728" s="1" t="str">
        <f>"B070"</f>
        <v>B070</v>
      </c>
      <c r="D3728" s="1" t="str">
        <f>"B070"</f>
        <v>B070</v>
      </c>
      <c r="E3728" s="1" t="s">
        <v>17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</row>
    <row r="3729" spans="1:11" x14ac:dyDescent="0.2">
      <c r="A3729" s="1" t="s">
        <v>3386</v>
      </c>
      <c r="B3729" s="1" t="s">
        <v>3412</v>
      </c>
      <c r="C3729" s="1" t="str">
        <f>"66298919141626"</f>
        <v>66298919141626</v>
      </c>
      <c r="D3729" s="1" t="str">
        <f>"588006"</f>
        <v>588006</v>
      </c>
      <c r="E3729" s="1" t="s">
        <v>17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</row>
    <row r="3730" spans="1:11" x14ac:dyDescent="0.2">
      <c r="A3730" s="1" t="s">
        <v>3386</v>
      </c>
      <c r="B3730" s="1" t="s">
        <v>3413</v>
      </c>
      <c r="C3730" s="1" t="str">
        <f>"66298919180117"</f>
        <v>66298919180117</v>
      </c>
      <c r="D3730" s="1" t="str">
        <f>"400457"</f>
        <v>400457</v>
      </c>
      <c r="E3730" s="1" t="s">
        <v>17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</row>
    <row r="3731" spans="1:11" x14ac:dyDescent="0.2">
      <c r="A3731" s="1" t="s">
        <v>3386</v>
      </c>
      <c r="B3731" s="1" t="s">
        <v>3414</v>
      </c>
      <c r="C3731" s="1" t="str">
        <f>"66298919218508"</f>
        <v>66298919218508</v>
      </c>
      <c r="D3731" s="1" t="str">
        <f>"GC003"</f>
        <v>GC003</v>
      </c>
      <c r="E3731" s="1" t="s">
        <v>17</v>
      </c>
      <c r="F3731" s="1">
        <v>1</v>
      </c>
      <c r="G3731" s="1">
        <v>4343</v>
      </c>
      <c r="H3731" s="1">
        <v>4343</v>
      </c>
      <c r="I3731" s="1">
        <v>0</v>
      </c>
      <c r="J3731" s="1">
        <v>1</v>
      </c>
      <c r="K3731" s="1">
        <v>0</v>
      </c>
    </row>
    <row r="3732" spans="1:11" x14ac:dyDescent="0.2">
      <c r="A3732" s="1" t="s">
        <v>3386</v>
      </c>
      <c r="B3732" s="1" t="s">
        <v>3415</v>
      </c>
      <c r="C3732" s="1" t="str">
        <f>"66298919256418"</f>
        <v>66298919256418</v>
      </c>
      <c r="D3732" s="1" t="str">
        <f>"PED-PART-CG100"</f>
        <v>PED-PART-CG100</v>
      </c>
      <c r="E3732" s="1" t="s">
        <v>17</v>
      </c>
      <c r="F3732" s="1">
        <v>4</v>
      </c>
      <c r="G3732" s="1">
        <v>1933</v>
      </c>
      <c r="H3732" s="1">
        <v>7732</v>
      </c>
      <c r="I3732" s="1">
        <v>0</v>
      </c>
      <c r="J3732" s="1">
        <v>4</v>
      </c>
      <c r="K3732" s="1">
        <v>0</v>
      </c>
    </row>
    <row r="3733" spans="1:11" x14ac:dyDescent="0.2">
      <c r="A3733" s="1" t="s">
        <v>3386</v>
      </c>
      <c r="B3733" s="1" t="s">
        <v>3416</v>
      </c>
      <c r="C3733" s="1" t="str">
        <f>"66298919346472"</f>
        <v>66298919346472</v>
      </c>
      <c r="D3733" s="1" t="str">
        <f>"400473"</f>
        <v>400473</v>
      </c>
      <c r="E3733" s="1" t="s">
        <v>17</v>
      </c>
      <c r="F3733" s="1">
        <v>1</v>
      </c>
      <c r="G3733" s="1">
        <v>1875</v>
      </c>
      <c r="H3733" s="1">
        <v>1875</v>
      </c>
      <c r="I3733" s="1">
        <v>0</v>
      </c>
      <c r="J3733" s="1">
        <v>1</v>
      </c>
      <c r="K3733" s="1">
        <v>0</v>
      </c>
    </row>
    <row r="3734" spans="1:11" x14ac:dyDescent="0.2">
      <c r="A3734" s="1" t="s">
        <v>3386</v>
      </c>
      <c r="B3734" s="1" t="s">
        <v>3417</v>
      </c>
      <c r="C3734" s="1" t="str">
        <f>"66298919389219"</f>
        <v>66298919389219</v>
      </c>
      <c r="D3734" s="1" t="str">
        <f>"GA008"</f>
        <v>GA008</v>
      </c>
      <c r="E3734" s="1" t="s">
        <v>17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</row>
    <row r="3735" spans="1:11" x14ac:dyDescent="0.2">
      <c r="A3735" s="1" t="s">
        <v>3386</v>
      </c>
      <c r="B3735" s="1" t="s">
        <v>3418</v>
      </c>
      <c r="C3735" s="1" t="str">
        <f>"66298919430830"</f>
        <v>66298919430830</v>
      </c>
      <c r="D3735" s="1" t="str">
        <f>"2063"</f>
        <v>2063</v>
      </c>
      <c r="E3735" s="1" t="s">
        <v>17</v>
      </c>
      <c r="F3735" s="1">
        <v>1</v>
      </c>
      <c r="G3735" s="1">
        <v>3882</v>
      </c>
      <c r="H3735" s="1">
        <v>3882</v>
      </c>
      <c r="I3735" s="1">
        <v>0</v>
      </c>
      <c r="J3735" s="1">
        <v>1</v>
      </c>
      <c r="K3735" s="1">
        <v>0</v>
      </c>
    </row>
    <row r="3736" spans="1:11" x14ac:dyDescent="0.2">
      <c r="A3736" s="1" t="s">
        <v>3386</v>
      </c>
      <c r="B3736" s="1" t="s">
        <v>3419</v>
      </c>
      <c r="C3736" s="1" t="str">
        <f>"66298919298152"</f>
        <v>66298919298152</v>
      </c>
      <c r="D3736" s="1" t="str">
        <f>"GA006"</f>
        <v>GA006</v>
      </c>
      <c r="E3736" s="1" t="s">
        <v>17</v>
      </c>
      <c r="F3736" s="1">
        <v>1</v>
      </c>
      <c r="G3736" s="1">
        <v>2316</v>
      </c>
      <c r="H3736" s="1">
        <v>2316</v>
      </c>
      <c r="I3736" s="1">
        <v>0</v>
      </c>
      <c r="J3736" s="1">
        <v>1</v>
      </c>
      <c r="K3736" s="1">
        <v>0</v>
      </c>
    </row>
    <row r="3737" spans="1:11" x14ac:dyDescent="0.2">
      <c r="A3737" s="1" t="s">
        <v>3386</v>
      </c>
      <c r="B3737" s="1" t="s">
        <v>3419</v>
      </c>
      <c r="C3737" s="1" t="str">
        <f>"B071"</f>
        <v>B071</v>
      </c>
      <c r="D3737" s="1" t="str">
        <f>"B071"</f>
        <v>B071</v>
      </c>
      <c r="E3737" s="1" t="s">
        <v>17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</row>
    <row r="3738" spans="1:11" x14ac:dyDescent="0.2">
      <c r="A3738" s="1" t="s">
        <v>3386</v>
      </c>
      <c r="B3738" s="1" t="s">
        <v>3420</v>
      </c>
      <c r="C3738" s="1" t="str">
        <f>"66298919607747"</f>
        <v>66298919607747</v>
      </c>
      <c r="D3738" s="1" t="str">
        <f>"GA001"</f>
        <v>GA001</v>
      </c>
      <c r="E3738" s="1" t="s">
        <v>17</v>
      </c>
      <c r="F3738" s="1">
        <v>3</v>
      </c>
      <c r="G3738" s="1">
        <v>2502</v>
      </c>
      <c r="H3738" s="1">
        <v>7506</v>
      </c>
      <c r="I3738" s="1">
        <v>0</v>
      </c>
      <c r="J3738" s="1">
        <v>3</v>
      </c>
      <c r="K3738" s="1">
        <v>0</v>
      </c>
    </row>
    <row r="3739" spans="1:11" x14ac:dyDescent="0.2">
      <c r="A3739" s="1" t="s">
        <v>3386</v>
      </c>
      <c r="B3739" s="1" t="s">
        <v>3421</v>
      </c>
      <c r="C3739" s="1" t="str">
        <f>"66298919566376"</f>
        <v>66298919566376</v>
      </c>
      <c r="D3739" s="1" t="str">
        <f>"400233"</f>
        <v>400233</v>
      </c>
      <c r="E3739" s="1" t="s">
        <v>17</v>
      </c>
      <c r="F3739" s="1">
        <v>12</v>
      </c>
      <c r="G3739" s="1">
        <v>1683</v>
      </c>
      <c r="H3739" s="1">
        <v>20196</v>
      </c>
      <c r="I3739" s="1">
        <v>0</v>
      </c>
      <c r="J3739" s="1">
        <v>12</v>
      </c>
      <c r="K3739" s="1">
        <v>0</v>
      </c>
    </row>
    <row r="3740" spans="1:11" x14ac:dyDescent="0.2">
      <c r="A3740" s="1" t="s">
        <v>3386</v>
      </c>
      <c r="B3740" s="1" t="s">
        <v>3422</v>
      </c>
      <c r="C3740" s="1" t="str">
        <f>"66298919470820"</f>
        <v>66298919470820</v>
      </c>
      <c r="D3740" s="1" t="str">
        <f>"625"</f>
        <v>625</v>
      </c>
      <c r="E3740" s="1" t="s">
        <v>17</v>
      </c>
      <c r="F3740" s="1">
        <v>1</v>
      </c>
      <c r="G3740" s="1">
        <v>5177</v>
      </c>
      <c r="H3740" s="1">
        <v>5177</v>
      </c>
      <c r="I3740" s="1">
        <v>0</v>
      </c>
      <c r="J3740" s="1">
        <v>1</v>
      </c>
      <c r="K3740" s="1">
        <v>0</v>
      </c>
    </row>
    <row r="3741" spans="1:11" x14ac:dyDescent="0.2">
      <c r="A3741" s="1" t="s">
        <v>3386</v>
      </c>
      <c r="B3741" s="1" t="s">
        <v>3422</v>
      </c>
      <c r="C3741" s="1" t="str">
        <f>"66298919521712"</f>
        <v>66298919521712</v>
      </c>
      <c r="D3741" s="1" t="str">
        <f>"GA009"</f>
        <v>GA009</v>
      </c>
      <c r="E3741" s="1" t="s">
        <v>17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</row>
    <row r="3742" spans="1:11" x14ac:dyDescent="0.2">
      <c r="A3742" s="1" t="s">
        <v>3386</v>
      </c>
      <c r="B3742" s="1" t="s">
        <v>3423</v>
      </c>
      <c r="C3742" s="1" t="str">
        <f>"66298919652638"</f>
        <v>66298919652638</v>
      </c>
      <c r="D3742" s="1" t="str">
        <f>"GA011"</f>
        <v>GA011</v>
      </c>
      <c r="E3742" s="1" t="s">
        <v>17</v>
      </c>
      <c r="F3742" s="1">
        <v>1</v>
      </c>
      <c r="G3742" s="1">
        <v>3674</v>
      </c>
      <c r="H3742" s="1">
        <v>3674</v>
      </c>
      <c r="I3742" s="1">
        <v>0</v>
      </c>
      <c r="J3742" s="1">
        <v>1</v>
      </c>
      <c r="K3742" s="1">
        <v>0</v>
      </c>
    </row>
    <row r="3743" spans="1:11" x14ac:dyDescent="0.2">
      <c r="A3743" s="1" t="s">
        <v>3386</v>
      </c>
      <c r="B3743" s="1" t="s">
        <v>3424</v>
      </c>
      <c r="C3743" s="1" t="str">
        <f>"66298919694313"</f>
        <v>66298919694313</v>
      </c>
      <c r="D3743" s="1" t="str">
        <f>"400470"</f>
        <v>400470</v>
      </c>
      <c r="E3743" s="1" t="s">
        <v>17</v>
      </c>
      <c r="F3743" s="1">
        <v>11</v>
      </c>
      <c r="G3743" s="1">
        <v>2154</v>
      </c>
      <c r="H3743" s="1">
        <v>23694</v>
      </c>
      <c r="I3743" s="1">
        <v>0</v>
      </c>
      <c r="J3743" s="1">
        <v>11</v>
      </c>
      <c r="K3743" s="1">
        <v>0</v>
      </c>
    </row>
    <row r="3744" spans="1:11" x14ac:dyDescent="0.2">
      <c r="A3744" s="1" t="s">
        <v>3386</v>
      </c>
      <c r="B3744" s="1" t="s">
        <v>3425</v>
      </c>
      <c r="C3744" s="1" t="str">
        <f>"66298919733595"</f>
        <v>66298919733595</v>
      </c>
      <c r="D3744" s="1" t="str">
        <f>"588005"</f>
        <v>588005</v>
      </c>
      <c r="E3744" s="1" t="s">
        <v>17</v>
      </c>
      <c r="F3744" s="1">
        <v>1</v>
      </c>
      <c r="G3744" s="1">
        <v>3485</v>
      </c>
      <c r="H3744" s="1">
        <v>3485</v>
      </c>
      <c r="I3744" s="1">
        <v>0</v>
      </c>
      <c r="J3744" s="1">
        <v>1</v>
      </c>
      <c r="K3744" s="1">
        <v>0</v>
      </c>
    </row>
    <row r="3745" spans="1:11" x14ac:dyDescent="0.2">
      <c r="A3745" s="1" t="s">
        <v>3386</v>
      </c>
      <c r="B3745" s="1" t="s">
        <v>3426</v>
      </c>
      <c r="C3745" s="1" t="str">
        <f>"66298919777684"</f>
        <v>66298919777684</v>
      </c>
      <c r="D3745" s="1" t="str">
        <f>"GA003"</f>
        <v>GA003</v>
      </c>
      <c r="E3745" s="1" t="s">
        <v>17</v>
      </c>
      <c r="F3745" s="1">
        <v>1</v>
      </c>
      <c r="G3745" s="1">
        <v>4343</v>
      </c>
      <c r="H3745" s="1">
        <v>4343</v>
      </c>
      <c r="I3745" s="1">
        <v>0</v>
      </c>
      <c r="J3745" s="1">
        <v>1</v>
      </c>
      <c r="K3745" s="1">
        <v>0</v>
      </c>
    </row>
    <row r="3746" spans="1:11" x14ac:dyDescent="0.2">
      <c r="A3746" s="1" t="s">
        <v>3386</v>
      </c>
      <c r="B3746" s="1" t="s">
        <v>3427</v>
      </c>
      <c r="C3746" s="1" t="str">
        <f>"66298919819333"</f>
        <v>66298919819333</v>
      </c>
      <c r="D3746" s="1" t="str">
        <f>"1573"</f>
        <v>1573</v>
      </c>
      <c r="E3746" s="1" t="s">
        <v>17</v>
      </c>
      <c r="F3746" s="1">
        <v>1</v>
      </c>
      <c r="G3746" s="1">
        <v>5588</v>
      </c>
      <c r="H3746" s="1">
        <v>5588</v>
      </c>
      <c r="I3746" s="1">
        <v>0</v>
      </c>
      <c r="J3746" s="1">
        <v>1</v>
      </c>
      <c r="K3746" s="1">
        <v>0</v>
      </c>
    </row>
    <row r="3747" spans="1:11" x14ac:dyDescent="0.2">
      <c r="A3747" s="1" t="s">
        <v>3386</v>
      </c>
      <c r="B3747" s="1" t="s">
        <v>3427</v>
      </c>
      <c r="C3747" s="1" t="str">
        <f>"66298919877975"</f>
        <v>66298919877975</v>
      </c>
      <c r="D3747" s="1" t="str">
        <f>"82639"</f>
        <v>82639</v>
      </c>
      <c r="E3747" s="1" t="s">
        <v>17</v>
      </c>
      <c r="F3747" s="1">
        <v>5</v>
      </c>
      <c r="G3747" s="1">
        <v>3869</v>
      </c>
      <c r="H3747" s="1">
        <v>19345</v>
      </c>
      <c r="I3747" s="1">
        <v>0</v>
      </c>
      <c r="J3747" s="1">
        <v>5</v>
      </c>
      <c r="K3747" s="1">
        <v>0</v>
      </c>
    </row>
    <row r="3748" spans="1:11" x14ac:dyDescent="0.2">
      <c r="A3748" s="1" t="s">
        <v>3386</v>
      </c>
      <c r="B3748" s="1" t="s">
        <v>3428</v>
      </c>
      <c r="C3748" s="1" t="str">
        <f>"66298919917960"</f>
        <v>66298919917960</v>
      </c>
      <c r="D3748" s="1" t="str">
        <f>"400472"</f>
        <v>400472</v>
      </c>
      <c r="E3748" s="1" t="s">
        <v>17</v>
      </c>
      <c r="F3748" s="1">
        <v>9</v>
      </c>
      <c r="G3748" s="1">
        <v>2097</v>
      </c>
      <c r="H3748" s="1">
        <v>18873</v>
      </c>
      <c r="I3748" s="1">
        <v>0</v>
      </c>
      <c r="J3748" s="1">
        <v>9</v>
      </c>
      <c r="K3748" s="1">
        <v>0</v>
      </c>
    </row>
    <row r="3749" spans="1:11" x14ac:dyDescent="0.2">
      <c r="A3749" s="1" t="s">
        <v>3386</v>
      </c>
      <c r="B3749" s="1" t="s">
        <v>3429</v>
      </c>
      <c r="C3749" s="1" t="str">
        <f>"66298919960157"</f>
        <v>66298919960157</v>
      </c>
      <c r="D3749" s="1" t="str">
        <f>"C066"</f>
        <v>C066</v>
      </c>
      <c r="E3749" s="1" t="s">
        <v>17</v>
      </c>
      <c r="F3749" s="1">
        <v>1</v>
      </c>
      <c r="G3749" s="1">
        <v>5760</v>
      </c>
      <c r="H3749" s="1">
        <v>5760</v>
      </c>
      <c r="I3749" s="1">
        <v>0</v>
      </c>
      <c r="J3749" s="1">
        <v>1</v>
      </c>
      <c r="K3749" s="1">
        <v>0</v>
      </c>
    </row>
    <row r="3750" spans="1:11" x14ac:dyDescent="0.2">
      <c r="A3750" s="1" t="s">
        <v>3386</v>
      </c>
      <c r="B3750" s="1" t="s">
        <v>3430</v>
      </c>
      <c r="C3750" s="1" t="str">
        <f>"66298920005016"</f>
        <v>66298920005016</v>
      </c>
      <c r="D3750" s="1" t="str">
        <f>"13519"</f>
        <v>13519</v>
      </c>
      <c r="E3750" s="1" t="s">
        <v>17</v>
      </c>
      <c r="F3750" s="1">
        <v>5</v>
      </c>
      <c r="G3750" s="1">
        <v>6470</v>
      </c>
      <c r="H3750" s="1">
        <v>32350</v>
      </c>
      <c r="I3750" s="1">
        <v>0</v>
      </c>
      <c r="J3750" s="1">
        <v>5</v>
      </c>
      <c r="K3750" s="1">
        <v>0</v>
      </c>
    </row>
    <row r="3751" spans="1:11" x14ac:dyDescent="0.2">
      <c r="A3751" s="1" t="s">
        <v>3386</v>
      </c>
      <c r="B3751" s="1" t="s">
        <v>3431</v>
      </c>
      <c r="C3751" s="1" t="str">
        <f>"66298920050410"</f>
        <v>66298920050410</v>
      </c>
      <c r="D3751" s="1" t="str">
        <f>"400474"</f>
        <v>400474</v>
      </c>
      <c r="E3751" s="1" t="s">
        <v>17</v>
      </c>
      <c r="F3751" s="1">
        <v>1</v>
      </c>
      <c r="G3751" s="1">
        <v>2429</v>
      </c>
      <c r="H3751" s="1">
        <v>2429</v>
      </c>
      <c r="I3751" s="1">
        <v>0</v>
      </c>
      <c r="J3751" s="1">
        <v>1</v>
      </c>
      <c r="K3751" s="1">
        <v>0</v>
      </c>
    </row>
    <row r="3752" spans="1:11" x14ac:dyDescent="0.2">
      <c r="A3752" s="1" t="s">
        <v>3386</v>
      </c>
      <c r="B3752" s="1" t="s">
        <v>3432</v>
      </c>
      <c r="C3752" s="1" t="str">
        <f>"H2119"</f>
        <v>H2119</v>
      </c>
      <c r="D3752" s="1" t="str">
        <f>"H2119"</f>
        <v>H2119</v>
      </c>
      <c r="E3752" s="1" t="s">
        <v>17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</row>
    <row r="3753" spans="1:11" x14ac:dyDescent="0.2">
      <c r="A3753" s="1" t="s">
        <v>3386</v>
      </c>
      <c r="B3753" s="1" t="s">
        <v>3432</v>
      </c>
      <c r="C3753" s="1" t="str">
        <f>"GA005"</f>
        <v>GA005</v>
      </c>
      <c r="D3753" s="1" t="str">
        <f>"GA005"</f>
        <v>GA005</v>
      </c>
      <c r="E3753" s="1" t="s">
        <v>17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</row>
    <row r="3754" spans="1:11" x14ac:dyDescent="0.2">
      <c r="A3754" s="1" t="s">
        <v>3386</v>
      </c>
      <c r="B3754" s="1" t="s">
        <v>3433</v>
      </c>
      <c r="C3754" s="1" t="str">
        <f>"GA007"</f>
        <v>GA007</v>
      </c>
      <c r="D3754" s="1" t="str">
        <f>"GA007"</f>
        <v>GA007</v>
      </c>
      <c r="E3754" s="1" t="s">
        <v>17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</row>
    <row r="3755" spans="1:11" x14ac:dyDescent="0.2">
      <c r="A3755" s="1" t="s">
        <v>3386</v>
      </c>
      <c r="B3755" s="1" t="s">
        <v>3434</v>
      </c>
      <c r="C3755" s="1" t="str">
        <f>"66298920154455"</f>
        <v>66298920154455</v>
      </c>
      <c r="D3755" s="1" t="str">
        <f>"PP-CG125"</f>
        <v>PP-CG125</v>
      </c>
      <c r="E3755" s="1" t="s">
        <v>17</v>
      </c>
      <c r="F3755" s="1">
        <v>9</v>
      </c>
      <c r="G3755" s="1">
        <v>2941</v>
      </c>
      <c r="H3755" s="1">
        <v>26469</v>
      </c>
      <c r="I3755" s="1">
        <v>0</v>
      </c>
      <c r="J3755" s="1">
        <v>9</v>
      </c>
      <c r="K3755" s="1">
        <v>0</v>
      </c>
    </row>
    <row r="3756" spans="1:11" x14ac:dyDescent="0.2">
      <c r="A3756" s="1" t="s">
        <v>3386</v>
      </c>
      <c r="B3756" s="1" t="s">
        <v>3435</v>
      </c>
      <c r="C3756" s="1" t="str">
        <f>"66298920114873"</f>
        <v>66298920114873</v>
      </c>
      <c r="D3756" s="1" t="str">
        <f>"81003"</f>
        <v>81003</v>
      </c>
      <c r="E3756" s="1" t="s">
        <v>17</v>
      </c>
      <c r="F3756" s="1">
        <v>4</v>
      </c>
      <c r="G3756" s="1">
        <v>2560</v>
      </c>
      <c r="H3756" s="1">
        <v>10240</v>
      </c>
      <c r="I3756" s="1">
        <v>0</v>
      </c>
      <c r="J3756" s="1">
        <v>4</v>
      </c>
      <c r="K3756" s="1">
        <v>0</v>
      </c>
    </row>
    <row r="3757" spans="1:11" x14ac:dyDescent="0.2">
      <c r="A3757" s="1" t="s">
        <v>3386</v>
      </c>
      <c r="B3757" s="1" t="s">
        <v>3436</v>
      </c>
      <c r="C3757" s="1" t="str">
        <f>"GA002"</f>
        <v>GA002</v>
      </c>
      <c r="D3757" s="1" t="str">
        <f>"GA002"</f>
        <v>GA002</v>
      </c>
      <c r="E3757" s="1" t="s">
        <v>17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</row>
    <row r="3758" spans="1:11" x14ac:dyDescent="0.2">
      <c r="A3758" s="1" t="s">
        <v>3386</v>
      </c>
      <c r="B3758" s="1" t="s">
        <v>3437</v>
      </c>
      <c r="C3758" s="1" t="str">
        <f>"66298920194394"</f>
        <v>66298920194394</v>
      </c>
      <c r="D3758" s="1" t="str">
        <f>"82616"</f>
        <v>82616</v>
      </c>
      <c r="E3758" s="1" t="s">
        <v>17</v>
      </c>
      <c r="F3758" s="1">
        <v>1</v>
      </c>
      <c r="G3758" s="1">
        <v>3073</v>
      </c>
      <c r="H3758" s="1">
        <v>3073</v>
      </c>
      <c r="I3758" s="1">
        <v>0</v>
      </c>
      <c r="J3758" s="1">
        <v>1</v>
      </c>
      <c r="K3758" s="1">
        <v>0</v>
      </c>
    </row>
    <row r="3759" spans="1:11" x14ac:dyDescent="0.2">
      <c r="A3759" s="1" t="s">
        <v>3386</v>
      </c>
      <c r="B3759" s="1" t="s">
        <v>3438</v>
      </c>
      <c r="C3759" s="1" t="str">
        <f>"66298920276463"</f>
        <v>66298920276463</v>
      </c>
      <c r="D3759" s="1" t="str">
        <f>"400471"</f>
        <v>400471</v>
      </c>
      <c r="E3759" s="1" t="s">
        <v>17</v>
      </c>
      <c r="F3759" s="1">
        <v>8</v>
      </c>
      <c r="G3759" s="1">
        <v>2093</v>
      </c>
      <c r="H3759" s="1">
        <v>16744</v>
      </c>
      <c r="I3759" s="1">
        <v>0</v>
      </c>
      <c r="J3759" s="1">
        <v>8</v>
      </c>
      <c r="K3759" s="1">
        <v>0</v>
      </c>
    </row>
    <row r="3760" spans="1:11" x14ac:dyDescent="0.2">
      <c r="A3760" s="1" t="s">
        <v>3386</v>
      </c>
      <c r="B3760" s="1" t="s">
        <v>3439</v>
      </c>
      <c r="C3760" s="1" t="str">
        <f>"66298920234269"</f>
        <v>66298920234269</v>
      </c>
      <c r="D3760" s="1" t="str">
        <f>"81004"</f>
        <v>81004</v>
      </c>
      <c r="E3760" s="1" t="s">
        <v>17</v>
      </c>
      <c r="F3760" s="1">
        <v>8</v>
      </c>
      <c r="G3760" s="1">
        <v>3766</v>
      </c>
      <c r="H3760" s="1">
        <v>30128</v>
      </c>
      <c r="I3760" s="1">
        <v>0</v>
      </c>
      <c r="J3760" s="1">
        <v>8</v>
      </c>
      <c r="K3760" s="1">
        <v>0</v>
      </c>
    </row>
    <row r="3761" spans="1:11" x14ac:dyDescent="0.2">
      <c r="A3761" s="1" t="s">
        <v>3386</v>
      </c>
      <c r="B3761" s="1" t="s">
        <v>3440</v>
      </c>
      <c r="C3761" s="1" t="str">
        <f>"G203"</f>
        <v>G203</v>
      </c>
      <c r="D3761" s="1" t="str">
        <f>"G203"</f>
        <v>G203</v>
      </c>
      <c r="E3761" s="1" t="s">
        <v>17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</row>
    <row r="3762" spans="1:11" x14ac:dyDescent="0.2">
      <c r="A3762" s="1" t="s">
        <v>3441</v>
      </c>
      <c r="B3762" s="1" t="s">
        <v>3442</v>
      </c>
      <c r="C3762" s="1" t="str">
        <f>"GAA001-FZ-IZQ"</f>
        <v>GAA001-FZ-IZQ</v>
      </c>
      <c r="D3762" s="1" t="str">
        <f>"GAA001-FZ-IZQ"</f>
        <v>GAA001-FZ-IZQ</v>
      </c>
      <c r="E3762" s="1" t="s">
        <v>17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</row>
    <row r="3763" spans="1:11" x14ac:dyDescent="0.2">
      <c r="A3763" s="1" t="s">
        <v>3441</v>
      </c>
      <c r="B3763" s="1" t="s">
        <v>3443</v>
      </c>
      <c r="C3763" s="1" t="str">
        <f>"66298920318640"</f>
        <v>66298920318640</v>
      </c>
      <c r="D3763" s="1" t="str">
        <f>"43501H2C000H000"</f>
        <v>43501H2C000H000</v>
      </c>
      <c r="E3763" s="1" t="s">
        <v>17</v>
      </c>
      <c r="F3763" s="1">
        <v>1</v>
      </c>
      <c r="G3763" s="1">
        <v>9949</v>
      </c>
      <c r="H3763" s="1">
        <v>9949</v>
      </c>
      <c r="I3763" s="1">
        <v>0</v>
      </c>
      <c r="J3763" s="1">
        <v>1</v>
      </c>
      <c r="K3763" s="1">
        <v>0</v>
      </c>
    </row>
    <row r="3764" spans="1:11" x14ac:dyDescent="0.2">
      <c r="A3764" s="1" t="s">
        <v>3441</v>
      </c>
      <c r="B3764" s="1" t="s">
        <v>3444</v>
      </c>
      <c r="C3764" s="1" t="str">
        <f>"20P-F7461-00"</f>
        <v>20P-F7461-00</v>
      </c>
      <c r="D3764" s="1" t="str">
        <f>"20P-F7461-00"</f>
        <v>20P-F7461-00</v>
      </c>
      <c r="E3764" s="1" t="s">
        <v>17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</row>
    <row r="3765" spans="1:11" x14ac:dyDescent="0.2">
      <c r="A3765" s="1" t="s">
        <v>3441</v>
      </c>
      <c r="B3765" s="1" t="s">
        <v>3445</v>
      </c>
      <c r="C3765" s="1" t="str">
        <f>"20P-F7451-00"</f>
        <v>20P-F7451-00</v>
      </c>
      <c r="D3765" s="1" t="str">
        <f>"20P-F7451-00"</f>
        <v>20P-F7451-00</v>
      </c>
      <c r="E3765" s="1" t="s">
        <v>17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</row>
    <row r="3766" spans="1:11" x14ac:dyDescent="0.2">
      <c r="A3766" s="1" t="s">
        <v>3441</v>
      </c>
      <c r="B3766" s="1" t="s">
        <v>3446</v>
      </c>
      <c r="C3766" s="1" t="str">
        <f>"66298920359834"</f>
        <v>66298920359834</v>
      </c>
      <c r="D3766" s="1" t="str">
        <f>"43700H2C000H000"</f>
        <v>43700H2C000H000</v>
      </c>
      <c r="E3766" s="1" t="s">
        <v>17</v>
      </c>
      <c r="F3766" s="1">
        <v>1</v>
      </c>
      <c r="G3766" s="1">
        <v>4375</v>
      </c>
      <c r="H3766" s="1">
        <v>4375</v>
      </c>
      <c r="I3766" s="1">
        <v>0</v>
      </c>
      <c r="J3766" s="1">
        <v>1</v>
      </c>
      <c r="K3766" s="1">
        <v>0</v>
      </c>
    </row>
    <row r="3767" spans="1:11" x14ac:dyDescent="0.2">
      <c r="A3767" s="1" t="s">
        <v>3441</v>
      </c>
      <c r="B3767" s="1" t="s">
        <v>3447</v>
      </c>
      <c r="C3767" s="1" t="str">
        <f>"GAA049"</f>
        <v>GAA049</v>
      </c>
      <c r="D3767" s="1" t="str">
        <f>"GAA049"</f>
        <v>GAA049</v>
      </c>
      <c r="E3767" s="1" t="s">
        <v>17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</row>
    <row r="3768" spans="1:11" x14ac:dyDescent="0.2">
      <c r="A3768" s="1" t="s">
        <v>3441</v>
      </c>
      <c r="B3768" s="1" t="s">
        <v>3448</v>
      </c>
      <c r="C3768" s="1" t="str">
        <f>"66298920401352"</f>
        <v>66298920401352</v>
      </c>
      <c r="D3768" s="1" t="str">
        <f>"GAA009"</f>
        <v>GAA009</v>
      </c>
      <c r="E3768" s="1" t="s">
        <v>17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</row>
    <row r="3769" spans="1:11" x14ac:dyDescent="0.2">
      <c r="A3769" s="1" t="s">
        <v>3441</v>
      </c>
      <c r="B3769" s="1" t="s">
        <v>3449</v>
      </c>
      <c r="C3769" s="1" t="str">
        <f>"66298920444917"</f>
        <v>66298920444917</v>
      </c>
      <c r="D3769" s="1" t="str">
        <f>"GAA014"</f>
        <v>GAA014</v>
      </c>
      <c r="E3769" s="1" t="s">
        <v>17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</row>
    <row r="3770" spans="1:11" x14ac:dyDescent="0.2">
      <c r="A3770" s="1" t="s">
        <v>3441</v>
      </c>
      <c r="B3770" s="1" t="s">
        <v>3450</v>
      </c>
      <c r="C3770" s="1" t="str">
        <f>"66298920486875"</f>
        <v>66298920486875</v>
      </c>
      <c r="D3770" s="1" t="str">
        <f>"GAA006"</f>
        <v>GAA006</v>
      </c>
      <c r="E3770" s="1" t="s">
        <v>17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</row>
    <row r="3771" spans="1:11" x14ac:dyDescent="0.2">
      <c r="A3771" s="1" t="s">
        <v>3441</v>
      </c>
      <c r="B3771" s="1" t="s">
        <v>3451</v>
      </c>
      <c r="C3771" s="1" t="str">
        <f>"GAA001-FZ"</f>
        <v>GAA001-FZ</v>
      </c>
      <c r="D3771" s="1" t="str">
        <f>"GAA001-FZ"</f>
        <v>GAA001-FZ</v>
      </c>
      <c r="E3771" s="1" t="s">
        <v>17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</row>
    <row r="3772" spans="1:11" x14ac:dyDescent="0.2">
      <c r="A3772" s="1" t="s">
        <v>3441</v>
      </c>
      <c r="B3772" s="1" t="s">
        <v>3451</v>
      </c>
      <c r="C3772" s="1" t="str">
        <f>"7817"</f>
        <v>7817</v>
      </c>
      <c r="D3772" s="1" t="str">
        <f>"7817"</f>
        <v>7817</v>
      </c>
      <c r="E3772" s="1" t="s">
        <v>17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</row>
    <row r="3773" spans="1:11" x14ac:dyDescent="0.2">
      <c r="A3773" s="1" t="s">
        <v>3441</v>
      </c>
      <c r="B3773" s="1" t="s">
        <v>3452</v>
      </c>
      <c r="C3773" s="1" t="str">
        <f>"125773"</f>
        <v>125773</v>
      </c>
      <c r="D3773" s="1" t="str">
        <f>"125773"</f>
        <v>125773</v>
      </c>
      <c r="E3773" s="1" t="s">
        <v>17</v>
      </c>
      <c r="F3773" s="1">
        <v>6</v>
      </c>
      <c r="G3773" s="1">
        <v>2815</v>
      </c>
      <c r="H3773" s="1">
        <v>16890</v>
      </c>
      <c r="I3773" s="1">
        <v>0</v>
      </c>
      <c r="J3773" s="1">
        <v>6</v>
      </c>
      <c r="K3773" s="1">
        <v>0</v>
      </c>
    </row>
    <row r="3774" spans="1:11" x14ac:dyDescent="0.2">
      <c r="A3774" s="1" t="s">
        <v>3441</v>
      </c>
      <c r="B3774" s="1" t="s">
        <v>3453</v>
      </c>
      <c r="C3774" s="1" t="str">
        <f>"GAA048"</f>
        <v>GAA048</v>
      </c>
      <c r="D3774" s="1" t="str">
        <f>"GAA048"</f>
        <v>GAA048</v>
      </c>
      <c r="E3774" s="1" t="s">
        <v>17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</row>
    <row r="3775" spans="1:11" x14ac:dyDescent="0.2">
      <c r="A3775" s="1" t="s">
        <v>3441</v>
      </c>
      <c r="B3775" s="1" t="s">
        <v>3454</v>
      </c>
      <c r="C3775" s="1" t="str">
        <f>"66298920528922"</f>
        <v>66298920528922</v>
      </c>
      <c r="D3775" s="1" t="str">
        <f>"SS209"</f>
        <v>SS209</v>
      </c>
      <c r="E3775" s="1" t="s">
        <v>17</v>
      </c>
      <c r="F3775" s="1">
        <v>2</v>
      </c>
      <c r="G3775" s="1">
        <v>6371</v>
      </c>
      <c r="H3775" s="1">
        <v>12742</v>
      </c>
      <c r="I3775" s="1">
        <v>0</v>
      </c>
      <c r="J3775" s="1">
        <v>2</v>
      </c>
      <c r="K3775" s="1">
        <v>0</v>
      </c>
    </row>
    <row r="3776" spans="1:11" x14ac:dyDescent="0.2">
      <c r="A3776" s="1" t="s">
        <v>3386</v>
      </c>
      <c r="B3776" s="1" t="s">
        <v>3455</v>
      </c>
      <c r="C3776" s="1" t="str">
        <f>"GAA004"</f>
        <v>GAA004</v>
      </c>
      <c r="D3776" s="1" t="str">
        <f>"GAA004"</f>
        <v>GAA004</v>
      </c>
      <c r="E3776" s="1" t="s">
        <v>17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</row>
    <row r="3777" spans="1:11" x14ac:dyDescent="0.2">
      <c r="A3777" s="1" t="s">
        <v>3441</v>
      </c>
      <c r="B3777" s="1" t="s">
        <v>3456</v>
      </c>
      <c r="C3777" s="1" t="str">
        <f>"66298920568294"</f>
        <v>66298920568294</v>
      </c>
      <c r="D3777" s="1" t="str">
        <f>"80500"</f>
        <v>80500</v>
      </c>
      <c r="E3777" s="1" t="s">
        <v>17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</row>
    <row r="3778" spans="1:11" x14ac:dyDescent="0.2">
      <c r="A3778" s="1" t="s">
        <v>3441</v>
      </c>
      <c r="B3778" s="1" t="s">
        <v>3457</v>
      </c>
      <c r="C3778" s="1" t="str">
        <f>"66298920607195"</f>
        <v>66298920607195</v>
      </c>
      <c r="D3778" s="1" t="str">
        <f>"GAA005"</f>
        <v>GAA005</v>
      </c>
      <c r="E3778" s="1" t="s">
        <v>17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</row>
    <row r="3779" spans="1:11" x14ac:dyDescent="0.2">
      <c r="A3779" s="1" t="s">
        <v>3441</v>
      </c>
      <c r="B3779" s="1" t="s">
        <v>3458</v>
      </c>
      <c r="C3779" s="1" t="str">
        <f>"GAA016"</f>
        <v>GAA016</v>
      </c>
      <c r="D3779" s="1" t="str">
        <f>"GAA016"</f>
        <v>GAA016</v>
      </c>
      <c r="E3779" s="1" t="s">
        <v>17</v>
      </c>
      <c r="F3779" s="1">
        <v>15</v>
      </c>
      <c r="G3779" s="1">
        <v>3105</v>
      </c>
      <c r="H3779" s="1">
        <v>46575</v>
      </c>
      <c r="I3779" s="1">
        <v>0</v>
      </c>
      <c r="J3779" s="1">
        <v>15</v>
      </c>
      <c r="K3779" s="1">
        <v>0</v>
      </c>
    </row>
    <row r="3780" spans="1:11" x14ac:dyDescent="0.2">
      <c r="A3780" s="1" t="s">
        <v>3441</v>
      </c>
      <c r="B3780" s="1" t="s">
        <v>3459</v>
      </c>
      <c r="C3780" s="1" t="str">
        <f>"66298920648187"</f>
        <v>66298920648187</v>
      </c>
      <c r="D3780" s="1" t="str">
        <f>"80502"</f>
        <v>80502</v>
      </c>
      <c r="E3780" s="1" t="s">
        <v>17</v>
      </c>
      <c r="F3780" s="1">
        <v>21</v>
      </c>
      <c r="G3780" s="1">
        <v>2479</v>
      </c>
      <c r="H3780" s="1">
        <v>52059</v>
      </c>
      <c r="I3780" s="1">
        <v>0</v>
      </c>
      <c r="J3780" s="1">
        <v>21</v>
      </c>
      <c r="K3780" s="1">
        <v>0</v>
      </c>
    </row>
    <row r="3781" spans="1:11" x14ac:dyDescent="0.2">
      <c r="A3781" s="1" t="s">
        <v>3441</v>
      </c>
      <c r="B3781" s="1" t="s">
        <v>3460</v>
      </c>
      <c r="C3781" s="1" t="str">
        <f>"66298920692400"</f>
        <v>66298920692400</v>
      </c>
      <c r="D3781" s="1" t="str">
        <f>"GAA003"</f>
        <v>GAA003</v>
      </c>
      <c r="E3781" s="1" t="s">
        <v>17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</row>
    <row r="3782" spans="1:11" x14ac:dyDescent="0.2">
      <c r="A3782" s="1" t="s">
        <v>3441</v>
      </c>
      <c r="B3782" s="1" t="s">
        <v>3461</v>
      </c>
      <c r="C3782" s="1" t="str">
        <f>"66298920732298"</f>
        <v>66298920732298</v>
      </c>
      <c r="D3782" s="1" t="str">
        <f>"H060"</f>
        <v>H060</v>
      </c>
      <c r="E3782" s="1" t="s">
        <v>17</v>
      </c>
      <c r="F3782" s="1">
        <v>2</v>
      </c>
      <c r="G3782" s="1">
        <v>3250</v>
      </c>
      <c r="H3782" s="1">
        <v>6500</v>
      </c>
      <c r="I3782" s="1">
        <v>0</v>
      </c>
      <c r="J3782" s="1">
        <v>2</v>
      </c>
      <c r="K3782" s="1">
        <v>0</v>
      </c>
    </row>
    <row r="3783" spans="1:11" x14ac:dyDescent="0.2">
      <c r="A3783" s="1" t="s">
        <v>3441</v>
      </c>
      <c r="B3783" s="1" t="s">
        <v>3462</v>
      </c>
      <c r="C3783" s="1" t="str">
        <f>"66298920771691"</f>
        <v>66298920771691</v>
      </c>
      <c r="D3783" s="1" t="str">
        <f>"GAA046"</f>
        <v>GAA046</v>
      </c>
      <c r="E3783" s="1" t="s">
        <v>17</v>
      </c>
      <c r="F3783" s="1">
        <v>3</v>
      </c>
      <c r="G3783" s="1">
        <v>2277</v>
      </c>
      <c r="H3783" s="1">
        <v>6831</v>
      </c>
      <c r="I3783" s="1">
        <v>0</v>
      </c>
      <c r="J3783" s="1">
        <v>3</v>
      </c>
      <c r="K3783" s="1">
        <v>0</v>
      </c>
    </row>
    <row r="3784" spans="1:11" x14ac:dyDescent="0.2">
      <c r="A3784" s="1" t="s">
        <v>3441</v>
      </c>
      <c r="B3784" s="1" t="s">
        <v>3463</v>
      </c>
      <c r="C3784" s="1" t="str">
        <f>"66298920814102"</f>
        <v>66298920814102</v>
      </c>
      <c r="D3784" s="1" t="str">
        <f>"GAA047"</f>
        <v>GAA047</v>
      </c>
      <c r="E3784" s="1" t="s">
        <v>17</v>
      </c>
      <c r="F3784" s="1">
        <v>3</v>
      </c>
      <c r="G3784" s="1">
        <v>2475</v>
      </c>
      <c r="H3784" s="1">
        <v>7425</v>
      </c>
      <c r="I3784" s="1">
        <v>0</v>
      </c>
      <c r="J3784" s="1">
        <v>3</v>
      </c>
      <c r="K3784" s="1">
        <v>0</v>
      </c>
    </row>
    <row r="3785" spans="1:11" x14ac:dyDescent="0.2">
      <c r="A3785" s="1" t="s">
        <v>3441</v>
      </c>
      <c r="B3785" s="1" t="s">
        <v>3464</v>
      </c>
      <c r="C3785" s="1" t="str">
        <f>"66298920856574"</f>
        <v>66298920856574</v>
      </c>
      <c r="D3785" s="1" t="str">
        <f>"80501"</f>
        <v>80501</v>
      </c>
      <c r="E3785" s="1" t="s">
        <v>17</v>
      </c>
      <c r="F3785" s="1">
        <v>1</v>
      </c>
      <c r="G3785" s="1">
        <v>1526</v>
      </c>
      <c r="H3785" s="1">
        <v>1526</v>
      </c>
      <c r="I3785" s="1">
        <v>0</v>
      </c>
      <c r="J3785" s="1">
        <v>1</v>
      </c>
      <c r="K3785" s="1">
        <v>0</v>
      </c>
    </row>
    <row r="3786" spans="1:11" x14ac:dyDescent="0.2">
      <c r="A3786" s="1" t="s">
        <v>3441</v>
      </c>
      <c r="B3786" s="1" t="s">
        <v>3465</v>
      </c>
      <c r="C3786" s="1" t="str">
        <f>"GAA044"</f>
        <v>GAA044</v>
      </c>
      <c r="D3786" s="1" t="str">
        <f>"GAA044"</f>
        <v>GAA044</v>
      </c>
      <c r="E3786" s="1" t="s">
        <v>17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</row>
    <row r="3787" spans="1:11" x14ac:dyDescent="0.2">
      <c r="A3787" s="1" t="s">
        <v>3466</v>
      </c>
      <c r="B3787" s="1" t="s">
        <v>3467</v>
      </c>
      <c r="C3787" s="1" t="str">
        <f>"66298920891562"</f>
        <v>66298920891562</v>
      </c>
      <c r="D3787" s="1" t="str">
        <f>"90109-08056"</f>
        <v>90109-08056</v>
      </c>
      <c r="E3787" s="1" t="s">
        <v>17</v>
      </c>
      <c r="F3787" s="1">
        <v>3</v>
      </c>
      <c r="G3787" s="1">
        <v>165</v>
      </c>
      <c r="H3787" s="1">
        <v>495</v>
      </c>
      <c r="I3787" s="1">
        <v>0</v>
      </c>
      <c r="J3787" s="1">
        <v>3</v>
      </c>
      <c r="K3787" s="1">
        <v>0</v>
      </c>
    </row>
    <row r="3788" spans="1:11" x14ac:dyDescent="0.2">
      <c r="A3788" s="1" t="s">
        <v>3466</v>
      </c>
      <c r="B3788" s="1" t="s">
        <v>3468</v>
      </c>
      <c r="C3788" s="1" t="str">
        <f>"66298920933832"</f>
        <v>66298920933832</v>
      </c>
      <c r="D3788" s="1" t="str">
        <f>"ZZZ059"</f>
        <v>ZZZ059</v>
      </c>
      <c r="E3788" s="1" t="s">
        <v>17</v>
      </c>
      <c r="F3788" s="1">
        <v>10</v>
      </c>
      <c r="G3788" s="1">
        <v>753</v>
      </c>
      <c r="H3788" s="1">
        <v>7530</v>
      </c>
      <c r="I3788" s="1">
        <v>0</v>
      </c>
      <c r="J3788" s="1">
        <v>10</v>
      </c>
      <c r="K3788" s="1">
        <v>0</v>
      </c>
    </row>
    <row r="3789" spans="1:11" x14ac:dyDescent="0.2">
      <c r="A3789" s="1" t="s">
        <v>3466</v>
      </c>
      <c r="B3789" s="1" t="s">
        <v>3469</v>
      </c>
      <c r="C3789" s="1" t="str">
        <f>"66298920977190"</f>
        <v>66298920977190</v>
      </c>
      <c r="D3789" s="1" t="str">
        <f>"ZZZ056"</f>
        <v>ZZZ056</v>
      </c>
      <c r="E3789" s="1" t="s">
        <v>17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</row>
    <row r="3790" spans="1:11" x14ac:dyDescent="0.2">
      <c r="A3790" s="1" t="s">
        <v>3466</v>
      </c>
      <c r="B3790" s="1" t="s">
        <v>3470</v>
      </c>
      <c r="C3790" s="1" t="str">
        <f>"66298921024325"</f>
        <v>66298921024325</v>
      </c>
      <c r="D3790" s="1" t="str">
        <f>"ZZZ057"</f>
        <v>ZZZ057</v>
      </c>
      <c r="E3790" s="1" t="s">
        <v>17</v>
      </c>
      <c r="F3790" s="1">
        <v>7</v>
      </c>
      <c r="G3790" s="1">
        <v>753</v>
      </c>
      <c r="H3790" s="1">
        <v>5271</v>
      </c>
      <c r="I3790" s="1">
        <v>0</v>
      </c>
      <c r="J3790" s="1">
        <v>7</v>
      </c>
      <c r="K3790" s="1">
        <v>0</v>
      </c>
    </row>
    <row r="3791" spans="1:11" x14ac:dyDescent="0.2">
      <c r="A3791" s="1" t="s">
        <v>3466</v>
      </c>
      <c r="B3791" s="1" t="s">
        <v>3471</v>
      </c>
      <c r="C3791" s="1" t="str">
        <f>"66298921063028"</f>
        <v>66298921063028</v>
      </c>
      <c r="D3791" s="1" t="str">
        <f>"ZZZ058"</f>
        <v>ZZZ058</v>
      </c>
      <c r="E3791" s="1" t="s">
        <v>17</v>
      </c>
      <c r="F3791" s="1">
        <v>8</v>
      </c>
      <c r="G3791" s="1">
        <v>753</v>
      </c>
      <c r="H3791" s="1">
        <v>6024</v>
      </c>
      <c r="I3791" s="1">
        <v>0</v>
      </c>
      <c r="J3791" s="1">
        <v>8</v>
      </c>
      <c r="K3791" s="1">
        <v>0</v>
      </c>
    </row>
    <row r="3792" spans="1:11" x14ac:dyDescent="0.2">
      <c r="A3792" s="1" t="s">
        <v>3466</v>
      </c>
      <c r="B3792" s="1" t="s">
        <v>3472</v>
      </c>
      <c r="C3792" s="1" t="str">
        <f>"66298921100802"</f>
        <v>66298921100802</v>
      </c>
      <c r="D3792" s="1" t="str">
        <f>"ZZZ064"</f>
        <v>ZZZ064</v>
      </c>
      <c r="E3792" s="1" t="s">
        <v>17</v>
      </c>
      <c r="F3792" s="1">
        <v>17</v>
      </c>
      <c r="G3792" s="1">
        <v>753</v>
      </c>
      <c r="H3792" s="1">
        <v>12801</v>
      </c>
      <c r="I3792" s="1">
        <v>0</v>
      </c>
      <c r="J3792" s="1">
        <v>17</v>
      </c>
      <c r="K3792" s="1">
        <v>0</v>
      </c>
    </row>
    <row r="3793" spans="1:11" x14ac:dyDescent="0.2">
      <c r="A3793" s="1" t="s">
        <v>3466</v>
      </c>
      <c r="B3793" s="1" t="s">
        <v>3473</v>
      </c>
      <c r="C3793" s="1" t="str">
        <f>"66298921142541"</f>
        <v>66298921142541</v>
      </c>
      <c r="D3793" s="1" t="str">
        <f>"ZZZ065"</f>
        <v>ZZZ065</v>
      </c>
      <c r="E3793" s="1" t="s">
        <v>17</v>
      </c>
      <c r="F3793" s="1">
        <v>20</v>
      </c>
      <c r="G3793" s="1">
        <v>707</v>
      </c>
      <c r="H3793" s="1">
        <v>14140</v>
      </c>
      <c r="I3793" s="1">
        <v>0</v>
      </c>
      <c r="J3793" s="1">
        <v>20</v>
      </c>
      <c r="K3793" s="1">
        <v>0</v>
      </c>
    </row>
    <row r="3794" spans="1:11" x14ac:dyDescent="0.2">
      <c r="A3794" s="1" t="s">
        <v>3466</v>
      </c>
      <c r="B3794" s="1" t="s">
        <v>3474</v>
      </c>
      <c r="C3794" s="1" t="str">
        <f>"66298921182214"</f>
        <v>66298921182214</v>
      </c>
      <c r="D3794" s="1" t="str">
        <f>"ZZZ067"</f>
        <v>ZZZ067</v>
      </c>
      <c r="E3794" s="1" t="s">
        <v>17</v>
      </c>
      <c r="F3794" s="1">
        <v>19</v>
      </c>
      <c r="G3794" s="1">
        <v>753</v>
      </c>
      <c r="H3794" s="1">
        <v>14307</v>
      </c>
      <c r="I3794" s="1">
        <v>0</v>
      </c>
      <c r="J3794" s="1">
        <v>19</v>
      </c>
      <c r="K3794" s="1">
        <v>0</v>
      </c>
    </row>
    <row r="3795" spans="1:11" x14ac:dyDescent="0.2">
      <c r="A3795" s="1" t="s">
        <v>3466</v>
      </c>
      <c r="B3795" s="1" t="s">
        <v>3475</v>
      </c>
      <c r="C3795" s="1" t="str">
        <f>"66298921222631"</f>
        <v>66298921222631</v>
      </c>
      <c r="D3795" s="1" t="str">
        <f>"QQ002"</f>
        <v>QQ002</v>
      </c>
      <c r="E3795" s="1" t="s">
        <v>17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</row>
    <row r="3796" spans="1:11" x14ac:dyDescent="0.2">
      <c r="A3796" s="1" t="s">
        <v>3466</v>
      </c>
      <c r="B3796" s="1" t="s">
        <v>3476</v>
      </c>
      <c r="C3796" s="1" t="str">
        <f>"66298921261652"</f>
        <v>66298921261652</v>
      </c>
      <c r="D3796" s="1" t="str">
        <f>"DM-P-00033"</f>
        <v>DM-P-00033</v>
      </c>
      <c r="E3796" s="1" t="s">
        <v>17</v>
      </c>
      <c r="F3796" s="1">
        <v>62</v>
      </c>
      <c r="G3796" s="1">
        <v>67</v>
      </c>
      <c r="H3796" s="1">
        <v>4154</v>
      </c>
      <c r="I3796" s="1">
        <v>0</v>
      </c>
      <c r="J3796" s="1">
        <v>62</v>
      </c>
      <c r="K3796" s="1">
        <v>0</v>
      </c>
    </row>
    <row r="3797" spans="1:11" x14ac:dyDescent="0.2">
      <c r="A3797" s="1" t="s">
        <v>3466</v>
      </c>
      <c r="B3797" s="1" t="s">
        <v>3477</v>
      </c>
      <c r="C3797" s="1" t="str">
        <f>"ZZA003"</f>
        <v>ZZA003</v>
      </c>
      <c r="D3797" s="1" t="str">
        <f>"ZZA003"</f>
        <v>ZZA003</v>
      </c>
      <c r="E3797" s="1" t="s">
        <v>17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</row>
    <row r="3798" spans="1:11" x14ac:dyDescent="0.2">
      <c r="A3798" s="1" t="s">
        <v>3466</v>
      </c>
      <c r="B3798" s="1" t="s">
        <v>3478</v>
      </c>
      <c r="C3798" s="1" t="str">
        <f>"66298921301831"</f>
        <v>66298921301831</v>
      </c>
      <c r="D3798" s="1" t="str">
        <f>"400303"</f>
        <v>400303</v>
      </c>
      <c r="E3798" s="1" t="s">
        <v>17</v>
      </c>
      <c r="F3798" s="1">
        <v>46</v>
      </c>
      <c r="G3798" s="1">
        <v>315</v>
      </c>
      <c r="H3798" s="1">
        <v>14490</v>
      </c>
      <c r="I3798" s="1">
        <v>0</v>
      </c>
      <c r="J3798" s="1">
        <v>46</v>
      </c>
      <c r="K3798" s="1">
        <v>0</v>
      </c>
    </row>
    <row r="3799" spans="1:11" x14ac:dyDescent="0.2">
      <c r="A3799" s="1" t="s">
        <v>3466</v>
      </c>
      <c r="B3799" s="1" t="s">
        <v>3479</v>
      </c>
      <c r="C3799" s="1" t="str">
        <f>"66298921341234"</f>
        <v>66298921341234</v>
      </c>
      <c r="D3799" s="1" t="str">
        <f>"82833"</f>
        <v>82833</v>
      </c>
      <c r="E3799" s="1" t="s">
        <v>17</v>
      </c>
      <c r="F3799" s="1">
        <v>9</v>
      </c>
      <c r="G3799" s="1">
        <v>311</v>
      </c>
      <c r="H3799" s="1">
        <v>2799</v>
      </c>
      <c r="I3799" s="1">
        <v>0</v>
      </c>
      <c r="J3799" s="1">
        <v>9</v>
      </c>
      <c r="K3799" s="1">
        <v>0</v>
      </c>
    </row>
    <row r="3800" spans="1:11" x14ac:dyDescent="0.2">
      <c r="A3800" s="1" t="s">
        <v>3466</v>
      </c>
      <c r="B3800" s="1" t="s">
        <v>3480</v>
      </c>
      <c r="C3800" s="1" t="str">
        <f>"66298921383011"</f>
        <v>66298921383011</v>
      </c>
      <c r="D3800" s="1" t="str">
        <f>"ZZA009"</f>
        <v>ZZA009</v>
      </c>
      <c r="E3800" s="1" t="s">
        <v>17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</row>
    <row r="3801" spans="1:11" ht="30" x14ac:dyDescent="0.2">
      <c r="A3801" s="1" t="s">
        <v>3466</v>
      </c>
      <c r="B3801" s="1" t="s">
        <v>3481</v>
      </c>
      <c r="C3801" s="1" t="str">
        <f>"66298921421528"</f>
        <v>66298921421528</v>
      </c>
      <c r="D3801" s="1" t="str">
        <f>"400304"</f>
        <v>400304</v>
      </c>
      <c r="E3801" s="1" t="s">
        <v>17</v>
      </c>
      <c r="F3801" s="1">
        <v>20</v>
      </c>
      <c r="G3801" s="1">
        <v>305</v>
      </c>
      <c r="H3801" s="1">
        <v>6100</v>
      </c>
      <c r="I3801" s="1">
        <v>0</v>
      </c>
      <c r="J3801" s="1">
        <v>20</v>
      </c>
      <c r="K3801" s="1">
        <v>0</v>
      </c>
    </row>
    <row r="3802" spans="1:11" x14ac:dyDescent="0.2">
      <c r="A3802" s="1" t="s">
        <v>3466</v>
      </c>
      <c r="B3802" s="1" t="s">
        <v>3482</v>
      </c>
      <c r="C3802" s="1" t="str">
        <f>"66298921460962"</f>
        <v>66298921460962</v>
      </c>
      <c r="D3802" s="1" t="str">
        <f>"425004"</f>
        <v>425004</v>
      </c>
      <c r="E3802" s="1" t="s">
        <v>17</v>
      </c>
      <c r="F3802" s="1">
        <v>7</v>
      </c>
      <c r="G3802" s="1">
        <v>157</v>
      </c>
      <c r="H3802" s="1">
        <v>1099</v>
      </c>
      <c r="I3802" s="1">
        <v>0</v>
      </c>
      <c r="J3802" s="1">
        <v>7</v>
      </c>
      <c r="K3802" s="1">
        <v>0</v>
      </c>
    </row>
    <row r="3803" spans="1:11" x14ac:dyDescent="0.2">
      <c r="A3803" s="1" t="s">
        <v>3466</v>
      </c>
      <c r="B3803" s="1" t="s">
        <v>3483</v>
      </c>
      <c r="C3803" s="1" t="str">
        <f>"66298921508165"</f>
        <v>66298921508165</v>
      </c>
      <c r="D3803" s="1" t="str">
        <f>"ZZA002"</f>
        <v>ZZA002</v>
      </c>
      <c r="E3803" s="1" t="s">
        <v>17</v>
      </c>
      <c r="F3803" s="1">
        <v>5</v>
      </c>
      <c r="G3803" s="1">
        <v>651</v>
      </c>
      <c r="H3803" s="1">
        <v>3255</v>
      </c>
      <c r="I3803" s="1">
        <v>0</v>
      </c>
      <c r="J3803" s="1">
        <v>5</v>
      </c>
      <c r="K3803" s="1">
        <v>0</v>
      </c>
    </row>
    <row r="3804" spans="1:11" x14ac:dyDescent="0.2">
      <c r="A3804" s="1" t="s">
        <v>98</v>
      </c>
      <c r="B3804" s="1" t="s">
        <v>3484</v>
      </c>
      <c r="C3804" s="1" t="str">
        <f>"66298921548387"</f>
        <v>66298921548387</v>
      </c>
      <c r="D3804" s="1" t="str">
        <f>"GBH001"</f>
        <v>GBH001</v>
      </c>
      <c r="E3804" s="1" t="s">
        <v>17</v>
      </c>
      <c r="F3804" s="1">
        <v>2</v>
      </c>
      <c r="G3804" s="1">
        <v>2093</v>
      </c>
      <c r="H3804" s="1">
        <v>4186</v>
      </c>
      <c r="I3804" s="1">
        <v>0</v>
      </c>
      <c r="J3804" s="1">
        <v>2</v>
      </c>
      <c r="K3804" s="1">
        <v>0</v>
      </c>
    </row>
    <row r="3805" spans="1:11" x14ac:dyDescent="0.2">
      <c r="A3805" s="1" t="s">
        <v>98</v>
      </c>
      <c r="B3805" s="1" t="s">
        <v>3485</v>
      </c>
      <c r="C3805" s="1" t="str">
        <f>"66298921593191"</f>
        <v>66298921593191</v>
      </c>
      <c r="D3805" s="1" t="str">
        <f>"10-5006"</f>
        <v>10-5006</v>
      </c>
      <c r="E3805" s="1" t="s">
        <v>17</v>
      </c>
      <c r="F3805" s="1">
        <v>1</v>
      </c>
      <c r="G3805" s="1">
        <v>5276</v>
      </c>
      <c r="H3805" s="1">
        <v>5276</v>
      </c>
      <c r="I3805" s="1">
        <v>0</v>
      </c>
      <c r="J3805" s="1">
        <v>1</v>
      </c>
      <c r="K3805" s="1">
        <v>0</v>
      </c>
    </row>
    <row r="3806" spans="1:11" x14ac:dyDescent="0.2">
      <c r="A3806" s="1" t="s">
        <v>3486</v>
      </c>
      <c r="B3806" s="1" t="s">
        <v>3487</v>
      </c>
      <c r="C3806" s="1" t="str">
        <f>"10000025138"</f>
        <v>10000025138</v>
      </c>
      <c r="D3806" s="1" t="str">
        <f>"10000025138"</f>
        <v>10000025138</v>
      </c>
      <c r="E3806" s="1" t="s">
        <v>17</v>
      </c>
      <c r="F3806" s="1">
        <v>1</v>
      </c>
      <c r="G3806" s="1">
        <v>3966.38</v>
      </c>
      <c r="H3806" s="1">
        <v>3966</v>
      </c>
      <c r="I3806" s="1">
        <v>0</v>
      </c>
      <c r="J3806" s="1">
        <v>1</v>
      </c>
      <c r="K3806" s="1">
        <v>0</v>
      </c>
    </row>
    <row r="3807" spans="1:11" x14ac:dyDescent="0.2">
      <c r="A3807" s="1" t="s">
        <v>3486</v>
      </c>
      <c r="B3807" s="1" t="s">
        <v>3488</v>
      </c>
      <c r="C3807" s="1" t="str">
        <f>"66298921715124"</f>
        <v>66298921715124</v>
      </c>
      <c r="D3807" s="1" t="str">
        <f>"XM-30418-000"</f>
        <v>XM-30418-000</v>
      </c>
      <c r="E3807" s="1" t="s">
        <v>17</v>
      </c>
      <c r="F3807" s="1">
        <v>4</v>
      </c>
      <c r="G3807" s="1">
        <v>1038</v>
      </c>
      <c r="H3807" s="1">
        <v>4152</v>
      </c>
      <c r="I3807" s="1">
        <v>0</v>
      </c>
      <c r="J3807" s="1">
        <v>4</v>
      </c>
      <c r="K3807" s="1">
        <v>0</v>
      </c>
    </row>
    <row r="3808" spans="1:11" x14ac:dyDescent="0.2">
      <c r="A3808" s="1" t="s">
        <v>3486</v>
      </c>
      <c r="B3808" s="1" t="s">
        <v>3489</v>
      </c>
      <c r="C3808" s="1" t="str">
        <f>"66298921756386"</f>
        <v>66298921756386</v>
      </c>
      <c r="D3808" s="1" t="str">
        <f>"20021"</f>
        <v>20021</v>
      </c>
      <c r="E3808" s="1" t="s">
        <v>17</v>
      </c>
      <c r="F3808" s="1">
        <v>1</v>
      </c>
      <c r="G3808" s="1">
        <v>760</v>
      </c>
      <c r="H3808" s="1">
        <v>760</v>
      </c>
      <c r="I3808" s="1">
        <v>0</v>
      </c>
      <c r="J3808" s="1">
        <v>1</v>
      </c>
      <c r="K3808" s="1">
        <v>0</v>
      </c>
    </row>
    <row r="3809" spans="1:11" x14ac:dyDescent="0.2">
      <c r="A3809" s="1" t="s">
        <v>3486</v>
      </c>
      <c r="B3809" s="1" t="s">
        <v>3490</v>
      </c>
      <c r="C3809" s="1" t="str">
        <f>"66298921793169"</f>
        <v>66298921793169</v>
      </c>
      <c r="D3809" s="1" t="str">
        <f>"23801-KSR-A00VA"</f>
        <v>23801-KSR-A00VA</v>
      </c>
      <c r="E3809" s="1" t="s">
        <v>17</v>
      </c>
      <c r="F3809" s="1">
        <v>1</v>
      </c>
      <c r="G3809" s="1">
        <v>7621.85</v>
      </c>
      <c r="H3809" s="1">
        <v>7622</v>
      </c>
      <c r="I3809" s="1">
        <v>0</v>
      </c>
      <c r="J3809" s="1">
        <v>1</v>
      </c>
      <c r="K3809" s="1">
        <v>0</v>
      </c>
    </row>
    <row r="3810" spans="1:11" x14ac:dyDescent="0.2">
      <c r="A3810" s="1" t="s">
        <v>3486</v>
      </c>
      <c r="B3810" s="1" t="s">
        <v>3491</v>
      </c>
      <c r="C3810" s="1" t="str">
        <f>"66298921833502"</f>
        <v>66298921833502</v>
      </c>
      <c r="D3810" s="1" t="str">
        <f>"23801-KCE-670VA"</f>
        <v>23801-KCE-670VA</v>
      </c>
      <c r="E3810" s="1" t="s">
        <v>17</v>
      </c>
      <c r="F3810" s="1">
        <v>1</v>
      </c>
      <c r="G3810" s="1">
        <v>3924</v>
      </c>
      <c r="H3810" s="1">
        <v>3924</v>
      </c>
      <c r="I3810" s="1">
        <v>0</v>
      </c>
      <c r="J3810" s="1">
        <v>1</v>
      </c>
      <c r="K3810" s="1">
        <v>0</v>
      </c>
    </row>
    <row r="3811" spans="1:11" x14ac:dyDescent="0.2">
      <c r="A3811" s="1" t="s">
        <v>3486</v>
      </c>
      <c r="B3811" s="1" t="s">
        <v>3492</v>
      </c>
      <c r="C3811" s="1" t="str">
        <f>"66298921875308"</f>
        <v>66298921875308</v>
      </c>
      <c r="D3811" s="1" t="str">
        <f>"23800-KBK-900VA"</f>
        <v>23800-KBK-900VA</v>
      </c>
      <c r="E3811" s="1" t="s">
        <v>17</v>
      </c>
      <c r="F3811" s="1">
        <v>1</v>
      </c>
      <c r="G3811" s="1">
        <v>6930</v>
      </c>
      <c r="H3811" s="1">
        <v>6930</v>
      </c>
      <c r="I3811" s="1">
        <v>0</v>
      </c>
      <c r="J3811" s="1">
        <v>1</v>
      </c>
      <c r="K3811" s="1">
        <v>0</v>
      </c>
    </row>
    <row r="3812" spans="1:11" x14ac:dyDescent="0.2">
      <c r="A3812" s="1" t="s">
        <v>3486</v>
      </c>
      <c r="B3812" s="1" t="s">
        <v>3493</v>
      </c>
      <c r="C3812" s="1" t="str">
        <f>"66298921915580"</f>
        <v>66298921915580</v>
      </c>
      <c r="D3812" s="1" t="str">
        <f>"4B4-17460-00JP"</f>
        <v>4B4-17460-00JP</v>
      </c>
      <c r="E3812" s="1" t="s">
        <v>17</v>
      </c>
      <c r="F3812" s="1">
        <v>11</v>
      </c>
      <c r="G3812" s="1">
        <v>2214</v>
      </c>
      <c r="H3812" s="1">
        <v>24354</v>
      </c>
      <c r="I3812" s="1">
        <v>0</v>
      </c>
      <c r="J3812" s="1">
        <v>11</v>
      </c>
      <c r="K3812" s="1">
        <v>0</v>
      </c>
    </row>
    <row r="3813" spans="1:11" x14ac:dyDescent="0.2">
      <c r="A3813" s="1" t="s">
        <v>3486</v>
      </c>
      <c r="B3813" s="1" t="s">
        <v>3494</v>
      </c>
      <c r="C3813" s="1" t="str">
        <f>"10000026594"</f>
        <v>10000026594</v>
      </c>
      <c r="D3813" s="1" t="str">
        <f>"10000026594"</f>
        <v>10000026594</v>
      </c>
      <c r="E3813" s="1" t="s">
        <v>17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</row>
    <row r="3814" spans="1:11" x14ac:dyDescent="0.2">
      <c r="A3814" s="1" t="s">
        <v>3486</v>
      </c>
      <c r="B3814" s="1" t="s">
        <v>3495</v>
      </c>
      <c r="C3814" s="1" t="str">
        <f>"66298921995739"</f>
        <v>66298921995739</v>
      </c>
      <c r="D3814" s="1" t="str">
        <f>"N030"</f>
        <v>N030</v>
      </c>
      <c r="E3814" s="1" t="s">
        <v>17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</row>
    <row r="3815" spans="1:11" x14ac:dyDescent="0.2">
      <c r="A3815" s="1" t="s">
        <v>3486</v>
      </c>
      <c r="B3815" s="1" t="s">
        <v>3496</v>
      </c>
      <c r="C3815" s="1" t="str">
        <f>"49CC70"</f>
        <v>49CC70</v>
      </c>
      <c r="D3815" s="1" t="str">
        <f>"49CC70"</f>
        <v>49CC70</v>
      </c>
      <c r="E3815" s="1" t="s">
        <v>17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</row>
    <row r="3816" spans="1:11" x14ac:dyDescent="0.2">
      <c r="A3816" s="1" t="s">
        <v>3486</v>
      </c>
      <c r="B3816" s="1" t="s">
        <v>3496</v>
      </c>
      <c r="C3816" s="1" t="str">
        <f>"PIÑON-BICIMOTO14"</f>
        <v>PIÑON-BICIMOTO14</v>
      </c>
      <c r="D3816" s="1" t="str">
        <f>"PIÑON-BICIMOTO14"</f>
        <v>PIÑON-BICIMOTO14</v>
      </c>
      <c r="E3816" s="1" t="s">
        <v>17</v>
      </c>
      <c r="F3816" s="1">
        <v>18</v>
      </c>
      <c r="G3816" s="1">
        <v>3665.98</v>
      </c>
      <c r="H3816" s="1">
        <v>65988</v>
      </c>
      <c r="I3816" s="1">
        <v>2</v>
      </c>
      <c r="J3816" s="1">
        <v>16</v>
      </c>
      <c r="K3816" s="1">
        <v>0</v>
      </c>
    </row>
    <row r="3817" spans="1:11" x14ac:dyDescent="0.2">
      <c r="A3817" s="1" t="s">
        <v>3486</v>
      </c>
      <c r="B3817" s="1" t="s">
        <v>3496</v>
      </c>
      <c r="C3817" s="1" t="str">
        <f>"N031JP"</f>
        <v>N031JP</v>
      </c>
      <c r="D3817" s="1" t="str">
        <f>"N031JP"</f>
        <v>N031JP</v>
      </c>
      <c r="E3817" s="1" t="s">
        <v>17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</row>
    <row r="3818" spans="1:11" x14ac:dyDescent="0.2">
      <c r="A3818" s="1" t="s">
        <v>3486</v>
      </c>
      <c r="B3818" s="1" t="s">
        <v>3497</v>
      </c>
      <c r="C3818" s="1" t="str">
        <f>"10000025132"</f>
        <v>10000025132</v>
      </c>
      <c r="D3818" s="1" t="str">
        <f>"10000025132"</f>
        <v>10000025132</v>
      </c>
      <c r="E3818" s="1" t="s">
        <v>17</v>
      </c>
      <c r="F3818" s="1">
        <v>1</v>
      </c>
      <c r="G3818" s="1">
        <v>1310.92</v>
      </c>
      <c r="H3818" s="1">
        <v>1311</v>
      </c>
      <c r="I3818" s="1">
        <v>0</v>
      </c>
      <c r="J3818" s="1">
        <v>1</v>
      </c>
      <c r="K3818" s="1">
        <v>0</v>
      </c>
    </row>
    <row r="3819" spans="1:11" x14ac:dyDescent="0.2">
      <c r="A3819" s="1" t="s">
        <v>3486</v>
      </c>
      <c r="B3819" s="1" t="s">
        <v>3498</v>
      </c>
      <c r="C3819" s="1" t="str">
        <f>"23801-KTC-900JP"</f>
        <v>23801-KTC-900JP</v>
      </c>
      <c r="D3819" s="1" t="str">
        <f>"23801-KTC-900JP"</f>
        <v>23801-KTC-900JP</v>
      </c>
      <c r="E3819" s="1" t="s">
        <v>17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</row>
    <row r="3820" spans="1:11" x14ac:dyDescent="0.2">
      <c r="A3820" s="1" t="s">
        <v>3486</v>
      </c>
      <c r="B3820" s="1" t="s">
        <v>3499</v>
      </c>
      <c r="C3820" s="1" t="str">
        <f>"66298922048140"</f>
        <v>66298922048140</v>
      </c>
      <c r="D3820" s="1" t="str">
        <f>"23801-KYJ-900HB"</f>
        <v>23801-KYJ-900HB</v>
      </c>
      <c r="E3820" s="1" t="s">
        <v>17</v>
      </c>
      <c r="F3820" s="1">
        <v>3</v>
      </c>
      <c r="G3820" s="1">
        <v>701</v>
      </c>
      <c r="H3820" s="1">
        <v>2103</v>
      </c>
      <c r="I3820" s="1">
        <v>0</v>
      </c>
      <c r="J3820" s="1">
        <v>3</v>
      </c>
      <c r="K3820" s="1">
        <v>0</v>
      </c>
    </row>
    <row r="3821" spans="1:11" x14ac:dyDescent="0.2">
      <c r="A3821" s="1" t="s">
        <v>3486</v>
      </c>
      <c r="B3821" s="1" t="s">
        <v>3500</v>
      </c>
      <c r="C3821" s="1" t="str">
        <f>"N011"</f>
        <v>N011</v>
      </c>
      <c r="D3821" s="1" t="str">
        <f>"N011"</f>
        <v>N011</v>
      </c>
      <c r="E3821" s="1" t="s">
        <v>17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</row>
    <row r="3822" spans="1:11" x14ac:dyDescent="0.2">
      <c r="A3822" s="1" t="s">
        <v>3486</v>
      </c>
      <c r="B3822" s="1" t="s">
        <v>3500</v>
      </c>
      <c r="C3822" s="1" t="str">
        <f>"10000025002"</f>
        <v>10000025002</v>
      </c>
      <c r="D3822" s="1" t="str">
        <f>"10000025002"</f>
        <v>10000025002</v>
      </c>
      <c r="E3822" s="1" t="s">
        <v>17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</row>
    <row r="3823" spans="1:11" x14ac:dyDescent="0.2">
      <c r="A3823" s="1" t="s">
        <v>3486</v>
      </c>
      <c r="B3823" s="1" t="s">
        <v>3501</v>
      </c>
      <c r="C3823" s="1" t="str">
        <f>"10000026571"</f>
        <v>10000026571</v>
      </c>
      <c r="D3823" s="1" t="str">
        <f>"10000026571"</f>
        <v>10000026571</v>
      </c>
      <c r="E3823" s="1" t="s">
        <v>17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</row>
    <row r="3824" spans="1:11" x14ac:dyDescent="0.2">
      <c r="A3824" s="1" t="s">
        <v>3486</v>
      </c>
      <c r="B3824" s="1" t="s">
        <v>3502</v>
      </c>
      <c r="C3824" s="1" t="str">
        <f>"66298922089860"</f>
        <v>66298922089860</v>
      </c>
      <c r="D3824" s="1" t="str">
        <f>"27511-41310JP"</f>
        <v>27511-41310JP</v>
      </c>
      <c r="E3824" s="1" t="s">
        <v>17</v>
      </c>
      <c r="F3824" s="1">
        <v>4</v>
      </c>
      <c r="G3824" s="1">
        <v>775</v>
      </c>
      <c r="H3824" s="1">
        <v>3100</v>
      </c>
      <c r="I3824" s="1">
        <v>0</v>
      </c>
      <c r="J3824" s="1">
        <v>4</v>
      </c>
      <c r="K3824" s="1">
        <v>0</v>
      </c>
    </row>
    <row r="3825" spans="1:11" x14ac:dyDescent="0.2">
      <c r="A3825" s="1" t="s">
        <v>3486</v>
      </c>
      <c r="B3825" s="1" t="s">
        <v>3503</v>
      </c>
      <c r="C3825" s="1" t="str">
        <f>"27511-30H01-000"</f>
        <v>27511-30H01-000</v>
      </c>
      <c r="D3825" s="1" t="str">
        <f>"27511-30H01-000"</f>
        <v>27511-30H01-000</v>
      </c>
      <c r="E3825" s="1" t="s">
        <v>17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</row>
    <row r="3826" spans="1:11" x14ac:dyDescent="0.2">
      <c r="A3826" s="1" t="s">
        <v>3486</v>
      </c>
      <c r="B3826" s="1" t="s">
        <v>3504</v>
      </c>
      <c r="C3826" s="1" t="str">
        <f>"66298922130555"</f>
        <v>66298922130555</v>
      </c>
      <c r="D3826" s="1" t="str">
        <f>"27510-32C00VA"</f>
        <v>27510-32C00VA</v>
      </c>
      <c r="E3826" s="1" t="s">
        <v>17</v>
      </c>
      <c r="F3826" s="1">
        <v>1</v>
      </c>
      <c r="G3826" s="1">
        <v>3059</v>
      </c>
      <c r="H3826" s="1">
        <v>3059</v>
      </c>
      <c r="I3826" s="1">
        <v>0</v>
      </c>
      <c r="J3826" s="1">
        <v>1</v>
      </c>
      <c r="K3826" s="1">
        <v>0</v>
      </c>
    </row>
    <row r="3827" spans="1:11" x14ac:dyDescent="0.2">
      <c r="A3827" s="1" t="s">
        <v>3486</v>
      </c>
      <c r="B3827" s="1" t="s">
        <v>3505</v>
      </c>
      <c r="C3827" s="1" t="str">
        <f>"66298922186677"</f>
        <v>66298922186677</v>
      </c>
      <c r="D3827" s="1" t="str">
        <f>"ZL26"</f>
        <v>ZL26</v>
      </c>
      <c r="E3827" s="1" t="s">
        <v>17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</row>
    <row r="3828" spans="1:11" x14ac:dyDescent="0.2">
      <c r="A3828" s="1" t="s">
        <v>3486</v>
      </c>
      <c r="B3828" s="1" t="s">
        <v>3506</v>
      </c>
      <c r="C3828" s="1" t="str">
        <f>"66298922248709"</f>
        <v>66298922248709</v>
      </c>
      <c r="D3828" s="1" t="str">
        <f>"DV-1010-48JP"</f>
        <v>DV-1010-48JP</v>
      </c>
      <c r="E3828" s="1" t="s">
        <v>17</v>
      </c>
      <c r="F3828" s="1">
        <v>18</v>
      </c>
      <c r="G3828" s="1">
        <v>880</v>
      </c>
      <c r="H3828" s="1">
        <v>15840</v>
      </c>
      <c r="I3828" s="1">
        <v>0</v>
      </c>
      <c r="J3828" s="1">
        <v>18</v>
      </c>
      <c r="K3828" s="1">
        <v>0</v>
      </c>
    </row>
    <row r="3829" spans="1:11" x14ac:dyDescent="0.2">
      <c r="A3829" s="1" t="s">
        <v>3486</v>
      </c>
      <c r="B3829" s="1" t="s">
        <v>3507</v>
      </c>
      <c r="C3829" s="1" t="str">
        <f>"66298921955086"</f>
        <v>66298921955086</v>
      </c>
      <c r="D3829" s="1" t="str">
        <f>"13518"</f>
        <v>13518</v>
      </c>
      <c r="E3829" s="1" t="s">
        <v>17</v>
      </c>
      <c r="F3829" s="1">
        <v>6</v>
      </c>
      <c r="G3829" s="1">
        <v>710</v>
      </c>
      <c r="H3829" s="1">
        <v>4260</v>
      </c>
      <c r="I3829" s="1">
        <v>0</v>
      </c>
      <c r="J3829" s="1">
        <v>6</v>
      </c>
      <c r="K3829" s="1">
        <v>0</v>
      </c>
    </row>
    <row r="3830" spans="1:11" x14ac:dyDescent="0.2">
      <c r="A3830" s="1" t="s">
        <v>3486</v>
      </c>
      <c r="B3830" s="1" t="s">
        <v>3508</v>
      </c>
      <c r="C3830" s="1" t="str">
        <f>"66298922299727"</f>
        <v>66298922299727</v>
      </c>
      <c r="D3830" s="1" t="str">
        <f>"23801-429-010VA"</f>
        <v>23801-429-010VA</v>
      </c>
      <c r="E3830" s="1" t="s">
        <v>17</v>
      </c>
      <c r="F3830" s="1">
        <v>2</v>
      </c>
      <c r="G3830" s="1">
        <v>4771</v>
      </c>
      <c r="H3830" s="1">
        <v>9542</v>
      </c>
      <c r="I3830" s="1">
        <v>0</v>
      </c>
      <c r="J3830" s="1">
        <v>2</v>
      </c>
      <c r="K3830" s="1">
        <v>0</v>
      </c>
    </row>
    <row r="3831" spans="1:11" x14ac:dyDescent="0.2">
      <c r="A3831" s="1" t="s">
        <v>3486</v>
      </c>
      <c r="B3831" s="1" t="s">
        <v>3509</v>
      </c>
      <c r="C3831" s="1" t="str">
        <f>"10000025037"</f>
        <v>10000025037</v>
      </c>
      <c r="D3831" s="1" t="str">
        <f>"10000025037"</f>
        <v>10000025037</v>
      </c>
      <c r="E3831" s="1" t="s">
        <v>17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</row>
    <row r="3832" spans="1:11" x14ac:dyDescent="0.2">
      <c r="A3832" s="1" t="s">
        <v>3486</v>
      </c>
      <c r="B3832" s="1" t="s">
        <v>3510</v>
      </c>
      <c r="C3832" s="1" t="str">
        <f>"66298922344655"</f>
        <v>66298922344655</v>
      </c>
      <c r="D3832" s="1" t="str">
        <f>"23801-MN1-680VA"</f>
        <v>23801-MN1-680VA</v>
      </c>
      <c r="E3832" s="1" t="s">
        <v>17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</row>
    <row r="3833" spans="1:11" x14ac:dyDescent="0.2">
      <c r="A3833" s="1" t="s">
        <v>3486</v>
      </c>
      <c r="B3833" s="1" t="s">
        <v>3511</v>
      </c>
      <c r="C3833" s="1" t="str">
        <f>"66298922391182"</f>
        <v>66298922391182</v>
      </c>
      <c r="D3833" s="1" t="str">
        <f>"23801-MBN-670VA"</f>
        <v>23801-MBN-670VA</v>
      </c>
      <c r="E3833" s="1" t="s">
        <v>17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</row>
    <row r="3834" spans="1:11" x14ac:dyDescent="0.2">
      <c r="A3834" s="1" t="s">
        <v>3486</v>
      </c>
      <c r="B3834" s="1" t="s">
        <v>3512</v>
      </c>
      <c r="C3834" s="1" t="str">
        <f>"66298922434866"</f>
        <v>66298922434866</v>
      </c>
      <c r="D3834" s="1" t="str">
        <f>"83123"</f>
        <v>83123</v>
      </c>
      <c r="E3834" s="1" t="s">
        <v>17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</row>
    <row r="3835" spans="1:11" x14ac:dyDescent="0.2">
      <c r="A3835" s="1" t="s">
        <v>3486</v>
      </c>
      <c r="B3835" s="1" t="s">
        <v>3513</v>
      </c>
      <c r="C3835" s="1" t="str">
        <f>"10000025111"</f>
        <v>10000025111</v>
      </c>
      <c r="D3835" s="1" t="str">
        <f>"10000025111"</f>
        <v>10000025111</v>
      </c>
      <c r="E3835" s="1" t="s">
        <v>17</v>
      </c>
      <c r="F3835" s="1">
        <v>1</v>
      </c>
      <c r="G3835" s="1">
        <v>1411.76</v>
      </c>
      <c r="H3835" s="1">
        <v>1412</v>
      </c>
      <c r="I3835" s="1">
        <v>0</v>
      </c>
      <c r="J3835" s="1">
        <v>1</v>
      </c>
      <c r="K3835" s="1">
        <v>0</v>
      </c>
    </row>
    <row r="3836" spans="1:11" x14ac:dyDescent="0.2">
      <c r="A3836" s="1" t="s">
        <v>3486</v>
      </c>
      <c r="B3836" s="1" t="s">
        <v>3514</v>
      </c>
      <c r="C3836" s="1" t="str">
        <f>"66298922476935"</f>
        <v>66298922476935</v>
      </c>
      <c r="D3836" s="1" t="str">
        <f>"23801-KY2-000VA"</f>
        <v>23801-KY2-000VA</v>
      </c>
      <c r="E3836" s="1" t="s">
        <v>17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</row>
    <row r="3837" spans="1:11" ht="30" x14ac:dyDescent="0.2">
      <c r="A3837" s="1" t="s">
        <v>3486</v>
      </c>
      <c r="B3837" s="1" t="s">
        <v>3515</v>
      </c>
      <c r="C3837" s="1" t="str">
        <f>"JTF1381.15RB"</f>
        <v>JTF1381.15RB</v>
      </c>
      <c r="D3837" s="1" t="str">
        <f>"JTF1381.15RB"</f>
        <v>JTF1381.15RB</v>
      </c>
      <c r="E3837" s="1" t="s">
        <v>17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</row>
    <row r="3838" spans="1:11" x14ac:dyDescent="0.2">
      <c r="A3838" s="1" t="s">
        <v>3486</v>
      </c>
      <c r="B3838" s="1" t="s">
        <v>3516</v>
      </c>
      <c r="C3838" s="1" t="str">
        <f>"83380"</f>
        <v>83380</v>
      </c>
      <c r="D3838" s="1" t="str">
        <f>"83380"</f>
        <v>83380</v>
      </c>
      <c r="E3838" s="1" t="s">
        <v>17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</row>
    <row r="3839" spans="1:11" x14ac:dyDescent="0.2">
      <c r="A3839" s="1" t="s">
        <v>3486</v>
      </c>
      <c r="B3839" s="1" t="s">
        <v>3516</v>
      </c>
      <c r="C3839" s="1" t="str">
        <f>"10000025003"</f>
        <v>10000025003</v>
      </c>
      <c r="D3839" s="1" t="str">
        <f>"10000025003"</f>
        <v>10000025003</v>
      </c>
      <c r="E3839" s="1" t="s">
        <v>17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</row>
    <row r="3840" spans="1:11" x14ac:dyDescent="0.2">
      <c r="A3840" s="1" t="s">
        <v>3486</v>
      </c>
      <c r="B3840" s="1" t="s">
        <v>3517</v>
      </c>
      <c r="C3840" s="1" t="str">
        <f>"66298922515882"</f>
        <v>66298922515882</v>
      </c>
      <c r="D3840" s="1" t="str">
        <f>"27510-42A10JP"</f>
        <v>27510-42A10JP</v>
      </c>
      <c r="E3840" s="1" t="s">
        <v>17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</row>
    <row r="3841" spans="1:11" x14ac:dyDescent="0.2">
      <c r="A3841" s="1" t="s">
        <v>3486</v>
      </c>
      <c r="B3841" s="1" t="s">
        <v>3518</v>
      </c>
      <c r="C3841" s="1" t="str">
        <f>"10000033106"</f>
        <v>10000033106</v>
      </c>
      <c r="D3841" s="1" t="str">
        <f>"10000033106"</f>
        <v>10000033106</v>
      </c>
      <c r="E3841" s="1" t="s">
        <v>17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</row>
    <row r="3842" spans="1:11" x14ac:dyDescent="0.2">
      <c r="A3842" s="1" t="s">
        <v>3486</v>
      </c>
      <c r="B3842" s="1" t="s">
        <v>3519</v>
      </c>
      <c r="C3842" s="1" t="str">
        <f>"10000026548"</f>
        <v>10000026548</v>
      </c>
      <c r="D3842" s="1" t="str">
        <f>"10000026548"</f>
        <v>10000026548</v>
      </c>
      <c r="E3842" s="1" t="s">
        <v>17</v>
      </c>
      <c r="F3842" s="1">
        <v>1</v>
      </c>
      <c r="G3842" s="1">
        <v>1512.61</v>
      </c>
      <c r="H3842" s="1">
        <v>1513</v>
      </c>
      <c r="I3842" s="1">
        <v>0</v>
      </c>
      <c r="J3842" s="1">
        <v>1</v>
      </c>
      <c r="K3842" s="1">
        <v>0</v>
      </c>
    </row>
    <row r="3843" spans="1:11" x14ac:dyDescent="0.2">
      <c r="A3843" s="1" t="s">
        <v>3486</v>
      </c>
      <c r="B3843" s="1" t="s">
        <v>3520</v>
      </c>
      <c r="C3843" s="1" t="str">
        <f>"66298922558492"</f>
        <v>66298922558492</v>
      </c>
      <c r="D3843" s="1" t="str">
        <f>"27511-41315JP"</f>
        <v>27511-41315JP</v>
      </c>
      <c r="E3843" s="1" t="s">
        <v>17</v>
      </c>
      <c r="F3843" s="1">
        <v>4</v>
      </c>
      <c r="G3843" s="1">
        <v>682</v>
      </c>
      <c r="H3843" s="1">
        <v>2728</v>
      </c>
      <c r="I3843" s="1">
        <v>0</v>
      </c>
      <c r="J3843" s="1">
        <v>4</v>
      </c>
      <c r="K3843" s="1">
        <v>0</v>
      </c>
    </row>
    <row r="3844" spans="1:11" x14ac:dyDescent="0.2">
      <c r="A3844" s="1" t="s">
        <v>3486</v>
      </c>
      <c r="B3844" s="1" t="s">
        <v>3521</v>
      </c>
      <c r="C3844" s="1" t="str">
        <f>"10000028042"</f>
        <v>10000028042</v>
      </c>
      <c r="D3844" s="1" t="str">
        <f>"10000028042"</f>
        <v>10000028042</v>
      </c>
      <c r="E3844" s="1" t="s">
        <v>17</v>
      </c>
      <c r="F3844" s="1">
        <v>4</v>
      </c>
      <c r="G3844" s="1">
        <v>1462.18</v>
      </c>
      <c r="H3844" s="1">
        <v>5849</v>
      </c>
      <c r="I3844" s="1">
        <v>0</v>
      </c>
      <c r="J3844" s="1">
        <v>4</v>
      </c>
      <c r="K3844" s="1">
        <v>0</v>
      </c>
    </row>
    <row r="3845" spans="1:11" x14ac:dyDescent="0.2">
      <c r="A3845" s="1" t="s">
        <v>3486</v>
      </c>
      <c r="B3845" s="1" t="s">
        <v>3522</v>
      </c>
      <c r="C3845" s="1" t="str">
        <f>"13144-1122VA"</f>
        <v>13144-1122VA</v>
      </c>
      <c r="D3845" s="1" t="str">
        <f>"13144-1122VA"</f>
        <v>13144-1122VA</v>
      </c>
      <c r="E3845" s="1" t="s">
        <v>17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</row>
    <row r="3846" spans="1:11" x14ac:dyDescent="0.2">
      <c r="A3846" s="1" t="s">
        <v>3486</v>
      </c>
      <c r="B3846" s="1" t="s">
        <v>3523</v>
      </c>
      <c r="C3846" s="1" t="str">
        <f>"EMHJ52034"</f>
        <v>EMHJ52034</v>
      </c>
      <c r="D3846" s="1" t="str">
        <f>"EMHJ52034"</f>
        <v>EMHJ52034</v>
      </c>
      <c r="E3846" s="1" t="s">
        <v>17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</row>
    <row r="3847" spans="1:11" x14ac:dyDescent="0.2">
      <c r="A3847" s="1" t="s">
        <v>3486</v>
      </c>
      <c r="B3847" s="1" t="s">
        <v>3524</v>
      </c>
      <c r="C3847" s="1" t="str">
        <f>"66298922601244"</f>
        <v>66298922601244</v>
      </c>
      <c r="D3847" s="1" t="str">
        <f>"JV-5510-00"</f>
        <v>JV-5510-00</v>
      </c>
      <c r="E3847" s="1" t="s">
        <v>17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</row>
    <row r="3848" spans="1:11" x14ac:dyDescent="0.2">
      <c r="A3848" s="1" t="s">
        <v>3486</v>
      </c>
      <c r="B3848" s="1" t="s">
        <v>3525</v>
      </c>
      <c r="C3848" s="1" t="str">
        <f>"66298922642818"</f>
        <v>66298922642818</v>
      </c>
      <c r="D3848" s="1" t="str">
        <f>"23801-ML0-730VA"</f>
        <v>23801-ML0-730VA</v>
      </c>
      <c r="E3848" s="1" t="s">
        <v>17</v>
      </c>
      <c r="F3848" s="1">
        <v>1</v>
      </c>
      <c r="G3848" s="1">
        <v>7759</v>
      </c>
      <c r="H3848" s="1">
        <v>7759</v>
      </c>
      <c r="I3848" s="1">
        <v>0</v>
      </c>
      <c r="J3848" s="1">
        <v>1</v>
      </c>
      <c r="K3848" s="1">
        <v>0</v>
      </c>
    </row>
    <row r="3849" spans="1:11" x14ac:dyDescent="0.2">
      <c r="A3849" s="1" t="s">
        <v>3486</v>
      </c>
      <c r="B3849" s="1" t="s">
        <v>3526</v>
      </c>
      <c r="C3849" s="1" t="str">
        <f>"66298922684293"</f>
        <v>66298922684293</v>
      </c>
      <c r="D3849" s="1" t="str">
        <f>"23801-MN9-000VA"</f>
        <v>23801-MN9-000VA</v>
      </c>
      <c r="E3849" s="1" t="s">
        <v>17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</row>
    <row r="3850" spans="1:11" x14ac:dyDescent="0.2">
      <c r="A3850" s="1" t="s">
        <v>3486</v>
      </c>
      <c r="B3850" s="1" t="s">
        <v>3527</v>
      </c>
      <c r="C3850" s="1" t="str">
        <f>"66298922724444"</f>
        <v>66298922724444</v>
      </c>
      <c r="D3850" s="1" t="str">
        <f>"5VK-E7460-10JP"</f>
        <v>5VK-E7460-10JP</v>
      </c>
      <c r="E3850" s="1" t="s">
        <v>17</v>
      </c>
      <c r="F3850" s="1">
        <v>1</v>
      </c>
      <c r="G3850" s="1">
        <v>1614</v>
      </c>
      <c r="H3850" s="1">
        <v>1614</v>
      </c>
      <c r="I3850" s="1">
        <v>0</v>
      </c>
      <c r="J3850" s="1">
        <v>1</v>
      </c>
      <c r="K3850" s="1">
        <v>0</v>
      </c>
    </row>
    <row r="3851" spans="1:11" x14ac:dyDescent="0.2">
      <c r="A3851" s="1" t="s">
        <v>3486</v>
      </c>
      <c r="B3851" s="1" t="s">
        <v>3528</v>
      </c>
      <c r="C3851" s="1" t="str">
        <f>"66298922810103"</f>
        <v>66298922810103</v>
      </c>
      <c r="D3851" s="1" t="str">
        <f>"5XT-17460-00GY"</f>
        <v>5XT-17460-00GY</v>
      </c>
      <c r="E3851" s="1" t="s">
        <v>17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</row>
    <row r="3852" spans="1:11" x14ac:dyDescent="0.2">
      <c r="A3852" s="1" t="s">
        <v>3486</v>
      </c>
      <c r="B3852" s="1" t="s">
        <v>3529</v>
      </c>
      <c r="C3852" s="1" t="str">
        <f>"66298922769187"</f>
        <v>66298922769187</v>
      </c>
      <c r="D3852" s="1" t="str">
        <f>"5XT-17460-00JP"</f>
        <v>5XT-17460-00JP</v>
      </c>
      <c r="E3852" s="1" t="s">
        <v>17</v>
      </c>
      <c r="F3852" s="1">
        <v>8</v>
      </c>
      <c r="G3852" s="1">
        <v>1707</v>
      </c>
      <c r="H3852" s="1">
        <v>13656</v>
      </c>
      <c r="I3852" s="1">
        <v>0</v>
      </c>
      <c r="J3852" s="1">
        <v>8</v>
      </c>
      <c r="K3852" s="1">
        <v>0</v>
      </c>
    </row>
    <row r="3853" spans="1:11" x14ac:dyDescent="0.2">
      <c r="A3853" s="1" t="s">
        <v>3486</v>
      </c>
      <c r="B3853" s="1" t="s">
        <v>3530</v>
      </c>
      <c r="C3853" s="1" t="str">
        <f>"JTF1591.16RB"</f>
        <v>JTF1591.16RB</v>
      </c>
      <c r="D3853" s="1" t="str">
        <f>"JTF1591.16RB"</f>
        <v>JTF1591.16RB</v>
      </c>
      <c r="E3853" s="1" t="s">
        <v>17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</row>
    <row r="3854" spans="1:11" x14ac:dyDescent="0.2">
      <c r="A3854" s="1" t="s">
        <v>3486</v>
      </c>
      <c r="B3854" s="1" t="s">
        <v>3531</v>
      </c>
      <c r="C3854" s="1" t="str">
        <f>"66298922849331"</f>
        <v>66298922849331</v>
      </c>
      <c r="D3854" s="1" t="str">
        <f>"400060"</f>
        <v>400060</v>
      </c>
      <c r="E3854" s="1" t="s">
        <v>17</v>
      </c>
      <c r="F3854" s="1">
        <v>117</v>
      </c>
      <c r="G3854" s="1">
        <v>504</v>
      </c>
      <c r="H3854" s="1">
        <v>58968</v>
      </c>
      <c r="I3854" s="1">
        <v>0</v>
      </c>
      <c r="J3854" s="1">
        <v>117</v>
      </c>
      <c r="K3854" s="1">
        <v>0</v>
      </c>
    </row>
    <row r="3855" spans="1:11" x14ac:dyDescent="0.2">
      <c r="A3855" s="1" t="s">
        <v>3486</v>
      </c>
      <c r="B3855" s="1" t="s">
        <v>3532</v>
      </c>
      <c r="C3855" s="1" t="str">
        <f>"66298922892773"</f>
        <v>66298922892773</v>
      </c>
      <c r="D3855" s="1" t="str">
        <f>"27511-01D01JP"</f>
        <v>27511-01D01JP</v>
      </c>
      <c r="E3855" s="1" t="s">
        <v>17</v>
      </c>
      <c r="F3855" s="1">
        <v>1</v>
      </c>
      <c r="G3855" s="1">
        <v>1833</v>
      </c>
      <c r="H3855" s="1">
        <v>1833</v>
      </c>
      <c r="I3855" s="1">
        <v>0</v>
      </c>
      <c r="J3855" s="1">
        <v>1</v>
      </c>
      <c r="K3855" s="1">
        <v>0</v>
      </c>
    </row>
    <row r="3856" spans="1:11" x14ac:dyDescent="0.2">
      <c r="A3856" s="1" t="s">
        <v>3486</v>
      </c>
      <c r="B3856" s="1" t="s">
        <v>3533</v>
      </c>
      <c r="C3856" s="1" t="str">
        <f>"66298922936710"</f>
        <v>66298922936710</v>
      </c>
      <c r="D3856" s="1" t="str">
        <f>"27511-04706"</f>
        <v>27511-04706</v>
      </c>
      <c r="E3856" s="1" t="s">
        <v>17</v>
      </c>
      <c r="F3856" s="1">
        <v>1</v>
      </c>
      <c r="G3856" s="1">
        <v>1435</v>
      </c>
      <c r="H3856" s="1">
        <v>1435</v>
      </c>
      <c r="I3856" s="1">
        <v>0</v>
      </c>
      <c r="J3856" s="1">
        <v>1</v>
      </c>
      <c r="K3856" s="1">
        <v>0</v>
      </c>
    </row>
    <row r="3857" spans="1:11" x14ac:dyDescent="0.2">
      <c r="A3857" s="1" t="s">
        <v>3486</v>
      </c>
      <c r="B3857" s="1" t="s">
        <v>3534</v>
      </c>
      <c r="C3857" s="1" t="str">
        <f>"1000025122"</f>
        <v>1000025122</v>
      </c>
      <c r="D3857" s="1" t="str">
        <f>"10000025122"</f>
        <v>10000025122</v>
      </c>
      <c r="E3857" s="1" t="s">
        <v>17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</row>
    <row r="3858" spans="1:11" x14ac:dyDescent="0.2">
      <c r="A3858" s="1" t="s">
        <v>3486</v>
      </c>
      <c r="B3858" s="1" t="s">
        <v>3535</v>
      </c>
      <c r="C3858" s="1" t="str">
        <f>"66298922978981"</f>
        <v>66298922978981</v>
      </c>
      <c r="D3858" s="1" t="str">
        <f>"3LD-17460-00VA"</f>
        <v>3LD-17460-00VA</v>
      </c>
      <c r="E3858" s="1" t="s">
        <v>17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</row>
    <row r="3859" spans="1:11" x14ac:dyDescent="0.2">
      <c r="A3859" s="1" t="s">
        <v>3486</v>
      </c>
      <c r="B3859" s="1" t="s">
        <v>3536</v>
      </c>
      <c r="C3859" s="1" t="str">
        <f>"66298923020298"</f>
        <v>66298923020298</v>
      </c>
      <c r="D3859" s="1" t="str">
        <f>"29080"</f>
        <v>29080</v>
      </c>
      <c r="E3859" s="1" t="s">
        <v>17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</row>
    <row r="3860" spans="1:11" x14ac:dyDescent="0.2">
      <c r="A3860" s="1" t="s">
        <v>3486</v>
      </c>
      <c r="B3860" s="1" t="s">
        <v>3537</v>
      </c>
      <c r="C3860" s="1" t="str">
        <f>"66298923061784"</f>
        <v>66298923061784</v>
      </c>
      <c r="D3860" s="1" t="str">
        <f>"2C0-17460-00"</f>
        <v>2C0-17460-00</v>
      </c>
      <c r="E3860" s="1" t="s">
        <v>17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</row>
    <row r="3861" spans="1:11" x14ac:dyDescent="0.2">
      <c r="A3861" s="1" t="s">
        <v>3486</v>
      </c>
      <c r="B3861" s="1" t="s">
        <v>3538</v>
      </c>
      <c r="C3861" s="1" t="str">
        <f>"10000025005"</f>
        <v>10000025005</v>
      </c>
      <c r="D3861" s="1" t="str">
        <f>"10000025005"</f>
        <v>10000025005</v>
      </c>
      <c r="E3861" s="1" t="s">
        <v>17</v>
      </c>
      <c r="F3861" s="1">
        <v>4</v>
      </c>
      <c r="G3861" s="1">
        <v>1714.29</v>
      </c>
      <c r="H3861" s="1">
        <v>6857</v>
      </c>
      <c r="I3861" s="1">
        <v>0</v>
      </c>
      <c r="J3861" s="1">
        <v>4</v>
      </c>
      <c r="K3861" s="1">
        <v>0</v>
      </c>
    </row>
    <row r="3862" spans="1:11" ht="30" x14ac:dyDescent="0.2">
      <c r="A3862" s="1" t="s">
        <v>3486</v>
      </c>
      <c r="B3862" s="1" t="s">
        <v>3539</v>
      </c>
      <c r="C3862" s="1" t="str">
        <f>"66298923100931"</f>
        <v>66298923100931</v>
      </c>
      <c r="D3862" s="1" t="str">
        <f>"23801-KRH-000"</f>
        <v>23801-KRH-000</v>
      </c>
      <c r="E3862" s="1" t="s">
        <v>17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</row>
    <row r="3863" spans="1:11" x14ac:dyDescent="0.2">
      <c r="A3863" s="1" t="s">
        <v>3486</v>
      </c>
      <c r="B3863" s="1" t="s">
        <v>3540</v>
      </c>
      <c r="C3863" s="1" t="str">
        <f>"66298923144054"</f>
        <v>66298923144054</v>
      </c>
      <c r="D3863" s="1" t="str">
        <f>"81010"</f>
        <v>81010</v>
      </c>
      <c r="E3863" s="1" t="s">
        <v>17</v>
      </c>
      <c r="F3863" s="1">
        <v>2</v>
      </c>
      <c r="G3863" s="1">
        <v>711</v>
      </c>
      <c r="H3863" s="1">
        <v>1422</v>
      </c>
      <c r="I3863" s="1">
        <v>0</v>
      </c>
      <c r="J3863" s="1">
        <v>2</v>
      </c>
      <c r="K3863" s="1">
        <v>0</v>
      </c>
    </row>
    <row r="3864" spans="1:11" x14ac:dyDescent="0.2">
      <c r="A3864" s="1" t="s">
        <v>3486</v>
      </c>
      <c r="B3864" s="1" t="s">
        <v>3541</v>
      </c>
      <c r="C3864" s="1" t="str">
        <f>"66298923184773"</f>
        <v>66298923184773</v>
      </c>
      <c r="D3864" s="1" t="str">
        <f>"01838"</f>
        <v>01838</v>
      </c>
      <c r="E3864" s="1" t="s">
        <v>17</v>
      </c>
      <c r="F3864" s="1">
        <v>1</v>
      </c>
      <c r="G3864" s="1">
        <v>3871</v>
      </c>
      <c r="H3864" s="1">
        <v>3871</v>
      </c>
      <c r="I3864" s="1">
        <v>0</v>
      </c>
      <c r="J3864" s="1">
        <v>1</v>
      </c>
      <c r="K3864" s="1">
        <v>0</v>
      </c>
    </row>
    <row r="3865" spans="1:11" x14ac:dyDescent="0.2">
      <c r="A3865" s="1" t="s">
        <v>3486</v>
      </c>
      <c r="B3865" s="1" t="s">
        <v>3542</v>
      </c>
      <c r="C3865" s="1" t="str">
        <f>"66298923227603"</f>
        <v>66298923227603</v>
      </c>
      <c r="D3865" s="1" t="str">
        <f>"81014"</f>
        <v>81014</v>
      </c>
      <c r="E3865" s="1" t="s">
        <v>17</v>
      </c>
      <c r="F3865" s="1">
        <v>4</v>
      </c>
      <c r="G3865" s="1">
        <v>559</v>
      </c>
      <c r="H3865" s="1">
        <v>2236</v>
      </c>
      <c r="I3865" s="1">
        <v>0</v>
      </c>
      <c r="J3865" s="1">
        <v>4</v>
      </c>
      <c r="K3865" s="1">
        <v>0</v>
      </c>
    </row>
    <row r="3866" spans="1:11" x14ac:dyDescent="0.2">
      <c r="A3866" s="1" t="s">
        <v>3486</v>
      </c>
      <c r="B3866" s="1" t="s">
        <v>3543</v>
      </c>
      <c r="C3866" s="1" t="str">
        <f>"66298923266127"</f>
        <v>66298923266127</v>
      </c>
      <c r="D3866" s="1" t="str">
        <f>"CH002"</f>
        <v>CH002</v>
      </c>
      <c r="E3866" s="1" t="s">
        <v>17</v>
      </c>
      <c r="F3866" s="1">
        <v>4</v>
      </c>
      <c r="G3866" s="1">
        <v>1460</v>
      </c>
      <c r="H3866" s="1">
        <v>5840</v>
      </c>
      <c r="I3866" s="1">
        <v>0</v>
      </c>
      <c r="J3866" s="1">
        <v>4</v>
      </c>
      <c r="K3866" s="1">
        <v>0</v>
      </c>
    </row>
    <row r="3867" spans="1:11" x14ac:dyDescent="0.2">
      <c r="A3867" s="1" t="s">
        <v>3486</v>
      </c>
      <c r="B3867" s="1" t="s">
        <v>3544</v>
      </c>
      <c r="C3867" s="1" t="str">
        <f>"66298923306528"</f>
        <v>66298923306528</v>
      </c>
      <c r="D3867" s="1" t="str">
        <f>"5YY-E2176-00JP"</f>
        <v>5YY-E2176-00JP</v>
      </c>
      <c r="E3867" s="1" t="s">
        <v>17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</row>
    <row r="3868" spans="1:11" x14ac:dyDescent="0.2">
      <c r="A3868" s="1" t="s">
        <v>3486</v>
      </c>
      <c r="B3868" s="1" t="s">
        <v>3545</v>
      </c>
      <c r="C3868" s="1" t="str">
        <f>"66298923347310"</f>
        <v>66298923347310</v>
      </c>
      <c r="D3868" s="1" t="str">
        <f>"400696"</f>
        <v>400696</v>
      </c>
      <c r="E3868" s="1" t="s">
        <v>17</v>
      </c>
      <c r="F3868" s="1">
        <v>33</v>
      </c>
      <c r="G3868" s="1">
        <v>2579</v>
      </c>
      <c r="H3868" s="1">
        <v>85107</v>
      </c>
      <c r="I3868" s="1">
        <v>0</v>
      </c>
      <c r="J3868" s="1">
        <v>33</v>
      </c>
      <c r="K3868" s="1">
        <v>0</v>
      </c>
    </row>
    <row r="3869" spans="1:11" x14ac:dyDescent="0.2">
      <c r="A3869" s="1" t="s">
        <v>3486</v>
      </c>
      <c r="B3869" s="1" t="s">
        <v>3546</v>
      </c>
      <c r="C3869" s="1" t="str">
        <f>"66298923396161"</f>
        <v>66298923396161</v>
      </c>
      <c r="D3869" s="1" t="str">
        <f>"CQ003"</f>
        <v>CQ003</v>
      </c>
      <c r="E3869" s="1" t="s">
        <v>17</v>
      </c>
      <c r="F3869" s="1">
        <v>7</v>
      </c>
      <c r="G3869" s="1">
        <v>1990</v>
      </c>
      <c r="H3869" s="1">
        <v>13930</v>
      </c>
      <c r="I3869" s="1">
        <v>0</v>
      </c>
      <c r="J3869" s="1">
        <v>7</v>
      </c>
      <c r="K3869" s="1">
        <v>0</v>
      </c>
    </row>
    <row r="3870" spans="1:11" x14ac:dyDescent="0.2">
      <c r="A3870" s="1" t="s">
        <v>3486</v>
      </c>
      <c r="B3870" s="1" t="s">
        <v>3547</v>
      </c>
      <c r="C3870" s="1" t="str">
        <f>"66298923437621"</f>
        <v>66298923437621</v>
      </c>
      <c r="D3870" s="1" t="str">
        <f>"JL1257-E10-12"</f>
        <v>JL1257-E10-12</v>
      </c>
      <c r="E3870" s="1" t="s">
        <v>17</v>
      </c>
      <c r="F3870" s="1">
        <v>5</v>
      </c>
      <c r="G3870" s="1">
        <v>3500</v>
      </c>
      <c r="H3870" s="1">
        <v>17500</v>
      </c>
      <c r="I3870" s="1">
        <v>0</v>
      </c>
      <c r="J3870" s="1">
        <v>5</v>
      </c>
      <c r="K3870" s="1">
        <v>0</v>
      </c>
    </row>
    <row r="3871" spans="1:11" x14ac:dyDescent="0.2">
      <c r="A3871" s="1" t="s">
        <v>3486</v>
      </c>
      <c r="B3871" s="1" t="s">
        <v>3548</v>
      </c>
      <c r="C3871" s="1" t="str">
        <f>"66298923478951"</f>
        <v>66298923478951</v>
      </c>
      <c r="D3871" s="1" t="str">
        <f>"11502"</f>
        <v>11502</v>
      </c>
      <c r="E3871" s="1" t="s">
        <v>17</v>
      </c>
      <c r="F3871" s="1">
        <v>4</v>
      </c>
      <c r="G3871" s="1">
        <v>4647</v>
      </c>
      <c r="H3871" s="1">
        <v>18588</v>
      </c>
      <c r="I3871" s="1">
        <v>0</v>
      </c>
      <c r="J3871" s="1">
        <v>4</v>
      </c>
      <c r="K3871" s="1">
        <v>0</v>
      </c>
    </row>
    <row r="3872" spans="1:11" x14ac:dyDescent="0.2">
      <c r="A3872" s="1" t="s">
        <v>3486</v>
      </c>
      <c r="B3872" s="1" t="s">
        <v>3549</v>
      </c>
      <c r="C3872" s="1" t="str">
        <f>"66298923516288"</f>
        <v>66298923516288</v>
      </c>
      <c r="D3872" s="1" t="str">
        <f>"11503"</f>
        <v>11503</v>
      </c>
      <c r="E3872" s="1" t="s">
        <v>17</v>
      </c>
      <c r="F3872" s="1">
        <v>4</v>
      </c>
      <c r="G3872" s="1">
        <v>4647</v>
      </c>
      <c r="H3872" s="1">
        <v>18588</v>
      </c>
      <c r="I3872" s="1">
        <v>0</v>
      </c>
      <c r="J3872" s="1">
        <v>4</v>
      </c>
      <c r="K3872" s="1">
        <v>0</v>
      </c>
    </row>
    <row r="3873" spans="1:11" x14ac:dyDescent="0.2">
      <c r="A3873" s="1" t="s">
        <v>3486</v>
      </c>
      <c r="B3873" s="1" t="s">
        <v>3550</v>
      </c>
      <c r="C3873" s="1" t="str">
        <f>"66298923552672"</f>
        <v>66298923552672</v>
      </c>
      <c r="D3873" s="1" t="str">
        <f>"E13020002"</f>
        <v>E13020002</v>
      </c>
      <c r="E3873" s="1" t="s">
        <v>17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</row>
    <row r="3874" spans="1:11" x14ac:dyDescent="0.2">
      <c r="A3874" s="1" t="s">
        <v>3486</v>
      </c>
      <c r="B3874" s="1" t="s">
        <v>3551</v>
      </c>
      <c r="C3874" s="1" t="str">
        <f>"66298923590659"</f>
        <v>66298923590659</v>
      </c>
      <c r="D3874" s="1" t="str">
        <f>"81016"</f>
        <v>81016</v>
      </c>
      <c r="E3874" s="1" t="s">
        <v>17</v>
      </c>
      <c r="F3874" s="1">
        <v>3</v>
      </c>
      <c r="G3874" s="1">
        <v>550</v>
      </c>
      <c r="H3874" s="1">
        <v>1650</v>
      </c>
      <c r="I3874" s="1">
        <v>0</v>
      </c>
      <c r="J3874" s="1">
        <v>3</v>
      </c>
      <c r="K3874" s="1">
        <v>0</v>
      </c>
    </row>
    <row r="3875" spans="1:11" x14ac:dyDescent="0.2">
      <c r="A3875" s="1" t="s">
        <v>3486</v>
      </c>
      <c r="B3875" s="1" t="s">
        <v>3552</v>
      </c>
      <c r="C3875" s="1" t="str">
        <f>"66298923628543"</f>
        <v>66298923628543</v>
      </c>
      <c r="D3875" s="1" t="str">
        <f>"81011"</f>
        <v>81011</v>
      </c>
      <c r="E3875" s="1" t="s">
        <v>17</v>
      </c>
      <c r="F3875" s="1">
        <v>3</v>
      </c>
      <c r="G3875" s="1">
        <v>748</v>
      </c>
      <c r="H3875" s="1">
        <v>2244</v>
      </c>
      <c r="I3875" s="1">
        <v>0</v>
      </c>
      <c r="J3875" s="1">
        <v>3</v>
      </c>
      <c r="K3875" s="1">
        <v>0</v>
      </c>
    </row>
    <row r="3876" spans="1:11" ht="30" x14ac:dyDescent="0.2">
      <c r="A3876" s="1" t="s">
        <v>3486</v>
      </c>
      <c r="B3876" s="1" t="s">
        <v>3553</v>
      </c>
      <c r="C3876" s="1" t="str">
        <f>"66298923667756"</f>
        <v>66298923667756</v>
      </c>
      <c r="D3876" s="1" t="str">
        <f>"84088"</f>
        <v>84088</v>
      </c>
      <c r="E3876" s="1" t="s">
        <v>17</v>
      </c>
      <c r="F3876" s="1">
        <v>3</v>
      </c>
      <c r="G3876" s="1">
        <v>583</v>
      </c>
      <c r="H3876" s="1">
        <v>1749</v>
      </c>
      <c r="I3876" s="1">
        <v>0</v>
      </c>
      <c r="J3876" s="1">
        <v>3</v>
      </c>
      <c r="K3876" s="1">
        <v>0</v>
      </c>
    </row>
    <row r="3877" spans="1:11" x14ac:dyDescent="0.2">
      <c r="A3877" s="1" t="s">
        <v>3486</v>
      </c>
      <c r="B3877" s="1" t="s">
        <v>3554</v>
      </c>
      <c r="C3877" s="1" t="str">
        <f>"66298923708019"</f>
        <v>66298923708019</v>
      </c>
      <c r="D3877" s="1" t="str">
        <f>"81015"</f>
        <v>81015</v>
      </c>
      <c r="E3877" s="1" t="s">
        <v>17</v>
      </c>
      <c r="F3877" s="1">
        <v>3</v>
      </c>
      <c r="G3877" s="1">
        <v>577</v>
      </c>
      <c r="H3877" s="1">
        <v>1731</v>
      </c>
      <c r="I3877" s="1">
        <v>0</v>
      </c>
      <c r="J3877" s="1">
        <v>3</v>
      </c>
      <c r="K3877" s="1">
        <v>0</v>
      </c>
    </row>
    <row r="3878" spans="1:11" x14ac:dyDescent="0.2">
      <c r="A3878" s="1" t="s">
        <v>3486</v>
      </c>
      <c r="B3878" s="1" t="s">
        <v>3555</v>
      </c>
      <c r="C3878" s="1" t="str">
        <f>"66298923751440"</f>
        <v>66298923751440</v>
      </c>
      <c r="D3878" s="1" t="str">
        <f>"81008"</f>
        <v>81008</v>
      </c>
      <c r="E3878" s="1" t="s">
        <v>17</v>
      </c>
      <c r="F3878" s="1">
        <v>3</v>
      </c>
      <c r="G3878" s="1">
        <v>484</v>
      </c>
      <c r="H3878" s="1">
        <v>1452</v>
      </c>
      <c r="I3878" s="1">
        <v>0</v>
      </c>
      <c r="J3878" s="1">
        <v>3</v>
      </c>
      <c r="K3878" s="1">
        <v>0</v>
      </c>
    </row>
    <row r="3879" spans="1:11" x14ac:dyDescent="0.2">
      <c r="A3879" s="1" t="s">
        <v>3486</v>
      </c>
      <c r="B3879" s="1" t="s">
        <v>3556</v>
      </c>
      <c r="C3879" s="1" t="str">
        <f>"66298923792298"</f>
        <v>66298923792298</v>
      </c>
      <c r="D3879" s="1" t="str">
        <f>"81012"</f>
        <v>81012</v>
      </c>
      <c r="E3879" s="1" t="s">
        <v>17</v>
      </c>
      <c r="F3879" s="1">
        <v>2</v>
      </c>
      <c r="G3879" s="1">
        <v>748</v>
      </c>
      <c r="H3879" s="1">
        <v>1496</v>
      </c>
      <c r="I3879" s="1">
        <v>0</v>
      </c>
      <c r="J3879" s="1">
        <v>2</v>
      </c>
      <c r="K3879" s="1">
        <v>0</v>
      </c>
    </row>
    <row r="3880" spans="1:11" x14ac:dyDescent="0.2">
      <c r="A3880" s="1" t="s">
        <v>3486</v>
      </c>
      <c r="B3880" s="1" t="s">
        <v>3557</v>
      </c>
      <c r="C3880" s="1" t="str">
        <f>"66298923831546"</f>
        <v>66298923831546</v>
      </c>
      <c r="D3880" s="1" t="str">
        <f>"BA002"</f>
        <v>BA002</v>
      </c>
      <c r="E3880" s="1" t="s">
        <v>17</v>
      </c>
      <c r="F3880" s="1">
        <v>9</v>
      </c>
      <c r="G3880" s="1">
        <v>2539</v>
      </c>
      <c r="H3880" s="1">
        <v>22851</v>
      </c>
      <c r="I3880" s="1">
        <v>0</v>
      </c>
      <c r="J3880" s="1">
        <v>9</v>
      </c>
      <c r="K3880" s="1">
        <v>0</v>
      </c>
    </row>
    <row r="3881" spans="1:11" x14ac:dyDescent="0.2">
      <c r="A3881" s="1" t="s">
        <v>3486</v>
      </c>
      <c r="B3881" s="1" t="s">
        <v>3558</v>
      </c>
      <c r="C3881" s="1" t="str">
        <f>"66298923869004"</f>
        <v>66298923869004</v>
      </c>
      <c r="D3881" s="1" t="str">
        <f>"BA010"</f>
        <v>BA010</v>
      </c>
      <c r="E3881" s="1" t="s">
        <v>17</v>
      </c>
      <c r="F3881" s="1">
        <v>1</v>
      </c>
      <c r="G3881" s="1">
        <v>3423</v>
      </c>
      <c r="H3881" s="1">
        <v>3423</v>
      </c>
      <c r="I3881" s="1">
        <v>0</v>
      </c>
      <c r="J3881" s="1">
        <v>1</v>
      </c>
      <c r="K3881" s="1">
        <v>0</v>
      </c>
    </row>
    <row r="3882" spans="1:11" x14ac:dyDescent="0.2">
      <c r="A3882" s="1" t="s">
        <v>3486</v>
      </c>
      <c r="B3882" s="1" t="s">
        <v>3559</v>
      </c>
      <c r="C3882" s="1" t="str">
        <f>"66298923910140"</f>
        <v>66298923910140</v>
      </c>
      <c r="D3882" s="1" t="str">
        <f>"BA004"</f>
        <v>BA004</v>
      </c>
      <c r="E3882" s="1" t="s">
        <v>17</v>
      </c>
      <c r="F3882" s="1">
        <v>2</v>
      </c>
      <c r="G3882" s="1">
        <v>2539</v>
      </c>
      <c r="H3882" s="1">
        <v>5078</v>
      </c>
      <c r="I3882" s="1">
        <v>0</v>
      </c>
      <c r="J3882" s="1">
        <v>2</v>
      </c>
      <c r="K3882" s="1">
        <v>0</v>
      </c>
    </row>
    <row r="3883" spans="1:11" x14ac:dyDescent="0.2">
      <c r="A3883" s="1" t="s">
        <v>3486</v>
      </c>
      <c r="B3883" s="1" t="s">
        <v>3560</v>
      </c>
      <c r="C3883" s="1" t="str">
        <f>"66298923949339"</f>
        <v>66298923949339</v>
      </c>
      <c r="D3883" s="1" t="str">
        <f>"BA001"</f>
        <v>BA001</v>
      </c>
      <c r="E3883" s="1" t="s">
        <v>17</v>
      </c>
      <c r="F3883" s="1">
        <v>3</v>
      </c>
      <c r="G3883" s="1">
        <v>2158</v>
      </c>
      <c r="H3883" s="1">
        <v>6474</v>
      </c>
      <c r="I3883" s="1">
        <v>0</v>
      </c>
      <c r="J3883" s="1">
        <v>3</v>
      </c>
      <c r="K3883" s="1">
        <v>0</v>
      </c>
    </row>
    <row r="3884" spans="1:11" x14ac:dyDescent="0.2">
      <c r="A3884" s="1" t="s">
        <v>3486</v>
      </c>
      <c r="B3884" s="1" t="s">
        <v>3561</v>
      </c>
      <c r="C3884" s="1" t="str">
        <f>"66298923989658"</f>
        <v>66298923989658</v>
      </c>
      <c r="D3884" s="1" t="str">
        <f>"JL200GY2-F7-SET"</f>
        <v>JL200GY2-F7-SET</v>
      </c>
      <c r="E3884" s="1" t="s">
        <v>17</v>
      </c>
      <c r="F3884" s="1">
        <v>1</v>
      </c>
      <c r="G3884" s="1">
        <v>3610</v>
      </c>
      <c r="H3884" s="1">
        <v>3610</v>
      </c>
      <c r="I3884" s="1">
        <v>0</v>
      </c>
      <c r="J3884" s="1">
        <v>1</v>
      </c>
      <c r="K3884" s="1">
        <v>0</v>
      </c>
    </row>
    <row r="3885" spans="1:11" x14ac:dyDescent="0.2">
      <c r="A3885" s="1" t="s">
        <v>3486</v>
      </c>
      <c r="B3885" s="1" t="s">
        <v>3562</v>
      </c>
      <c r="C3885" s="1" t="str">
        <f>"66298924036428"</f>
        <v>66298924036428</v>
      </c>
      <c r="D3885" s="1" t="str">
        <f>"49CC52"</f>
        <v>49CC52</v>
      </c>
      <c r="E3885" s="1" t="s">
        <v>17</v>
      </c>
      <c r="F3885" s="1">
        <v>4</v>
      </c>
      <c r="G3885" s="1">
        <v>1516</v>
      </c>
      <c r="H3885" s="1">
        <v>6064</v>
      </c>
      <c r="I3885" s="1">
        <v>0</v>
      </c>
      <c r="J3885" s="1">
        <v>4</v>
      </c>
      <c r="K3885" s="1">
        <v>0</v>
      </c>
    </row>
    <row r="3886" spans="1:11" x14ac:dyDescent="0.2">
      <c r="A3886" s="1" t="s">
        <v>3486</v>
      </c>
      <c r="B3886" s="1" t="s">
        <v>3563</v>
      </c>
      <c r="C3886" s="1" t="str">
        <f>"11876"</f>
        <v>11876</v>
      </c>
      <c r="D3886" s="1" t="str">
        <f>"11876"</f>
        <v>11876</v>
      </c>
      <c r="E3886" s="1" t="s">
        <v>17</v>
      </c>
      <c r="F3886" s="1">
        <v>5</v>
      </c>
      <c r="G3886" s="1">
        <v>8818.49</v>
      </c>
      <c r="H3886" s="1">
        <v>44092</v>
      </c>
      <c r="I3886" s="1">
        <v>0</v>
      </c>
      <c r="J3886" s="1">
        <v>5</v>
      </c>
      <c r="K3886" s="1">
        <v>0</v>
      </c>
    </row>
    <row r="3887" spans="1:11" x14ac:dyDescent="0.2">
      <c r="A3887" s="1" t="s">
        <v>3486</v>
      </c>
      <c r="B3887" s="1" t="s">
        <v>3564</v>
      </c>
      <c r="C3887" s="1" t="str">
        <f>"66298924083859"</f>
        <v>66298924083859</v>
      </c>
      <c r="D3887" s="1" t="str">
        <f>"BA003"</f>
        <v>BA003</v>
      </c>
      <c r="E3887" s="1" t="s">
        <v>17</v>
      </c>
      <c r="F3887" s="1">
        <v>2</v>
      </c>
      <c r="G3887" s="1">
        <v>2539</v>
      </c>
      <c r="H3887" s="1">
        <v>5078</v>
      </c>
      <c r="I3887" s="1">
        <v>0</v>
      </c>
      <c r="J3887" s="1">
        <v>2</v>
      </c>
      <c r="K3887" s="1">
        <v>0</v>
      </c>
    </row>
    <row r="3888" spans="1:11" x14ac:dyDescent="0.2">
      <c r="A3888" s="1" t="s">
        <v>3486</v>
      </c>
      <c r="B3888" s="1" t="s">
        <v>3564</v>
      </c>
      <c r="C3888" s="1" t="str">
        <f>"66298924123803"</f>
        <v>66298924123803</v>
      </c>
      <c r="D3888" s="1" t="str">
        <f>"BA009"</f>
        <v>BA009</v>
      </c>
      <c r="E3888" s="1" t="s">
        <v>17</v>
      </c>
      <c r="F3888" s="1">
        <v>3</v>
      </c>
      <c r="G3888" s="1">
        <v>2539</v>
      </c>
      <c r="H3888" s="1">
        <v>7617</v>
      </c>
      <c r="I3888" s="1">
        <v>0</v>
      </c>
      <c r="J3888" s="1">
        <v>3</v>
      </c>
      <c r="K3888" s="1">
        <v>0</v>
      </c>
    </row>
    <row r="3889" spans="1:11" x14ac:dyDescent="0.2">
      <c r="A3889" s="1" t="s">
        <v>3486</v>
      </c>
      <c r="B3889" s="1" t="s">
        <v>3565</v>
      </c>
      <c r="C3889" s="1" t="str">
        <f>"66298924167524"</f>
        <v>66298924167524</v>
      </c>
      <c r="D3889" s="1" t="str">
        <f>"85068"</f>
        <v>85068</v>
      </c>
      <c r="E3889" s="1" t="s">
        <v>17</v>
      </c>
      <c r="F3889" s="1">
        <v>4</v>
      </c>
      <c r="G3889" s="1">
        <v>982</v>
      </c>
      <c r="H3889" s="1">
        <v>3928</v>
      </c>
      <c r="I3889" s="1">
        <v>0</v>
      </c>
      <c r="J3889" s="1">
        <v>4</v>
      </c>
      <c r="K3889" s="1">
        <v>0</v>
      </c>
    </row>
    <row r="3890" spans="1:11" x14ac:dyDescent="0.2">
      <c r="A3890" s="1" t="s">
        <v>3486</v>
      </c>
      <c r="B3890" s="1" t="s">
        <v>3566</v>
      </c>
      <c r="C3890" s="1" t="str">
        <f>"66298924205575"</f>
        <v>66298924205575</v>
      </c>
      <c r="D3890" s="1" t="str">
        <f>"BA006"</f>
        <v>BA006</v>
      </c>
      <c r="E3890" s="1" t="s">
        <v>17</v>
      </c>
      <c r="F3890" s="1">
        <v>5</v>
      </c>
      <c r="G3890" s="1">
        <v>2539</v>
      </c>
      <c r="H3890" s="1">
        <v>12695</v>
      </c>
      <c r="I3890" s="1">
        <v>0</v>
      </c>
      <c r="J3890" s="1">
        <v>5</v>
      </c>
      <c r="K3890" s="1">
        <v>0</v>
      </c>
    </row>
    <row r="3891" spans="1:11" x14ac:dyDescent="0.2">
      <c r="A3891" s="1" t="s">
        <v>3486</v>
      </c>
      <c r="B3891" s="1" t="s">
        <v>3567</v>
      </c>
      <c r="C3891" s="1" t="str">
        <f>"66298924247598"</f>
        <v>66298924247598</v>
      </c>
      <c r="D3891" s="1" t="str">
        <f>"BA008"</f>
        <v>BA008</v>
      </c>
      <c r="E3891" s="1" t="s">
        <v>17</v>
      </c>
      <c r="F3891" s="1">
        <v>2</v>
      </c>
      <c r="G3891" s="1">
        <v>2771</v>
      </c>
      <c r="H3891" s="1">
        <v>5542</v>
      </c>
      <c r="I3891" s="1">
        <v>0</v>
      </c>
      <c r="J3891" s="1">
        <v>2</v>
      </c>
      <c r="K3891" s="1">
        <v>0</v>
      </c>
    </row>
    <row r="3892" spans="1:11" x14ac:dyDescent="0.2">
      <c r="A3892" s="1" t="s">
        <v>3486</v>
      </c>
      <c r="B3892" s="1" t="s">
        <v>3568</v>
      </c>
      <c r="C3892" s="1" t="str">
        <f>"66298924286334"</f>
        <v>66298924286334</v>
      </c>
      <c r="D3892" s="1" t="str">
        <f>"PP-30120-001JP"</f>
        <v>PP-30120-001JP</v>
      </c>
      <c r="E3892" s="1" t="s">
        <v>17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</row>
    <row r="3893" spans="1:11" x14ac:dyDescent="0.2">
      <c r="A3893" s="1" t="s">
        <v>3486</v>
      </c>
      <c r="B3893" s="1" t="s">
        <v>3569</v>
      </c>
      <c r="C3893" s="1" t="str">
        <f>"66298924331946"</f>
        <v>66298924331946</v>
      </c>
      <c r="D3893" s="1" t="str">
        <f>"337"</f>
        <v>337</v>
      </c>
      <c r="E3893" s="1" t="s">
        <v>17</v>
      </c>
      <c r="F3893" s="1">
        <v>1</v>
      </c>
      <c r="G3893" s="1">
        <v>7588</v>
      </c>
      <c r="H3893" s="1">
        <v>7588</v>
      </c>
      <c r="I3893" s="1">
        <v>0</v>
      </c>
      <c r="J3893" s="1">
        <v>1</v>
      </c>
      <c r="K3893" s="1">
        <v>0</v>
      </c>
    </row>
    <row r="3894" spans="1:11" x14ac:dyDescent="0.2">
      <c r="A3894" s="1" t="s">
        <v>3486</v>
      </c>
      <c r="B3894" s="1" t="s">
        <v>3569</v>
      </c>
      <c r="C3894" s="1" t="str">
        <f>"66298924338407"</f>
        <v>66298924338407</v>
      </c>
      <c r="D3894" s="1" t="str">
        <f>"DE005"</f>
        <v>DE005</v>
      </c>
      <c r="E3894" s="1" t="s">
        <v>17</v>
      </c>
      <c r="F3894" s="1">
        <v>2</v>
      </c>
      <c r="G3894" s="1">
        <v>5747</v>
      </c>
      <c r="H3894" s="1">
        <v>11494</v>
      </c>
      <c r="I3894" s="1">
        <v>0</v>
      </c>
      <c r="J3894" s="1">
        <v>2</v>
      </c>
      <c r="K3894" s="1">
        <v>0</v>
      </c>
    </row>
    <row r="3895" spans="1:11" x14ac:dyDescent="0.2">
      <c r="A3895" s="1" t="s">
        <v>3486</v>
      </c>
      <c r="B3895" s="1" t="s">
        <v>3569</v>
      </c>
      <c r="C3895" s="1" t="str">
        <f>"66298924391545"</f>
        <v>66298924391545</v>
      </c>
      <c r="D3895" s="1" t="str">
        <f>"B079"</f>
        <v>B079</v>
      </c>
      <c r="E3895" s="1" t="s">
        <v>17</v>
      </c>
      <c r="F3895" s="1">
        <v>3</v>
      </c>
      <c r="G3895" s="1">
        <v>7030</v>
      </c>
      <c r="H3895" s="1">
        <v>21090</v>
      </c>
      <c r="I3895" s="1">
        <v>0</v>
      </c>
      <c r="J3895" s="1">
        <v>3</v>
      </c>
      <c r="K3895" s="1">
        <v>0</v>
      </c>
    </row>
    <row r="3896" spans="1:11" ht="30" x14ac:dyDescent="0.2">
      <c r="A3896" s="1" t="s">
        <v>3486</v>
      </c>
      <c r="B3896" s="1" t="s">
        <v>3570</v>
      </c>
      <c r="C3896" s="1" t="str">
        <f>"66298924432504"</f>
        <v>66298924432504</v>
      </c>
      <c r="D3896" s="1" t="str">
        <f>"401007"</f>
        <v>401007</v>
      </c>
      <c r="E3896" s="1" t="s">
        <v>17</v>
      </c>
      <c r="F3896" s="1">
        <v>22</v>
      </c>
      <c r="G3896" s="1">
        <v>4081</v>
      </c>
      <c r="H3896" s="1">
        <v>89782</v>
      </c>
      <c r="I3896" s="1">
        <v>0</v>
      </c>
      <c r="J3896" s="1">
        <v>22</v>
      </c>
      <c r="K3896" s="1">
        <v>0</v>
      </c>
    </row>
    <row r="3897" spans="1:11" x14ac:dyDescent="0.2">
      <c r="A3897" s="1" t="s">
        <v>3486</v>
      </c>
      <c r="B3897" s="1" t="s">
        <v>3571</v>
      </c>
      <c r="C3897" s="1" t="str">
        <f>"66298924474273"</f>
        <v>66298924474273</v>
      </c>
      <c r="D3897" s="1" t="str">
        <f>"14100-KGA-900JP"</f>
        <v>14100-KGA-900JP</v>
      </c>
      <c r="E3897" s="1" t="s">
        <v>17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</row>
    <row r="3898" spans="1:11" x14ac:dyDescent="0.2">
      <c r="A3898" s="1" t="s">
        <v>3486</v>
      </c>
      <c r="B3898" s="1" t="s">
        <v>3572</v>
      </c>
      <c r="C3898" s="1" t="str">
        <f>"66298924535319"</f>
        <v>66298924535319</v>
      </c>
      <c r="D3898" s="1" t="str">
        <f>"CQ001"</f>
        <v>CQ001</v>
      </c>
      <c r="E3898" s="1" t="s">
        <v>17</v>
      </c>
      <c r="F3898" s="1">
        <v>1</v>
      </c>
      <c r="G3898" s="1">
        <v>3059</v>
      </c>
      <c r="H3898" s="1">
        <v>3059</v>
      </c>
      <c r="I3898" s="1">
        <v>0</v>
      </c>
      <c r="J3898" s="1">
        <v>1</v>
      </c>
      <c r="K3898" s="1">
        <v>0</v>
      </c>
    </row>
    <row r="3899" spans="1:11" x14ac:dyDescent="0.2">
      <c r="A3899" s="1" t="s">
        <v>3486</v>
      </c>
      <c r="B3899" s="1" t="s">
        <v>3573</v>
      </c>
      <c r="C3899" s="1" t="str">
        <f>"66298924593135"</f>
        <v>66298924593135</v>
      </c>
      <c r="D3899" s="1" t="str">
        <f>"B101"</f>
        <v>B101</v>
      </c>
      <c r="E3899" s="1" t="s">
        <v>17</v>
      </c>
      <c r="F3899" s="1">
        <v>2</v>
      </c>
      <c r="G3899" s="1">
        <v>3210</v>
      </c>
      <c r="H3899" s="1">
        <v>6420</v>
      </c>
      <c r="I3899" s="1">
        <v>0</v>
      </c>
      <c r="J3899" s="1">
        <v>2</v>
      </c>
      <c r="K3899" s="1">
        <v>0</v>
      </c>
    </row>
    <row r="3900" spans="1:11" x14ac:dyDescent="0.2">
      <c r="A3900" s="1" t="s">
        <v>98</v>
      </c>
      <c r="B3900" s="1" t="s">
        <v>3574</v>
      </c>
      <c r="C3900" s="1" t="str">
        <f>"66298921632359"</f>
        <v>66298921632359</v>
      </c>
      <c r="D3900" s="1" t="str">
        <f>"H095"</f>
        <v>H095</v>
      </c>
      <c r="E3900" s="1" t="s">
        <v>17</v>
      </c>
      <c r="F3900" s="1">
        <v>4</v>
      </c>
      <c r="G3900" s="1">
        <v>363</v>
      </c>
      <c r="H3900" s="1">
        <v>1452</v>
      </c>
      <c r="I3900" s="1">
        <v>0</v>
      </c>
      <c r="J3900" s="1">
        <v>4</v>
      </c>
      <c r="K3900" s="1">
        <v>0</v>
      </c>
    </row>
    <row r="3901" spans="1:11" x14ac:dyDescent="0.2">
      <c r="A3901" s="1" t="s">
        <v>98</v>
      </c>
      <c r="B3901" s="1" t="s">
        <v>3575</v>
      </c>
      <c r="C3901" s="1" t="str">
        <f>"66298921672677"</f>
        <v>66298921672677</v>
      </c>
      <c r="D3901" s="1" t="str">
        <f>"H094"</f>
        <v>H094</v>
      </c>
      <c r="E3901" s="1" t="s">
        <v>17</v>
      </c>
      <c r="F3901" s="1">
        <v>9</v>
      </c>
      <c r="G3901" s="1">
        <v>549</v>
      </c>
      <c r="H3901" s="1">
        <v>4941</v>
      </c>
      <c r="I3901" s="1">
        <v>0</v>
      </c>
      <c r="J3901" s="1">
        <v>9</v>
      </c>
      <c r="K3901" s="1">
        <v>0</v>
      </c>
    </row>
    <row r="3902" spans="1:11" x14ac:dyDescent="0.2">
      <c r="A3902" s="1" t="s">
        <v>3576</v>
      </c>
      <c r="B3902" s="1" t="s">
        <v>3577</v>
      </c>
      <c r="C3902" s="1" t="str">
        <f>"66298924633993"</f>
        <v>66298924633993</v>
      </c>
      <c r="D3902" s="1" t="str">
        <f>"81989"</f>
        <v>81989</v>
      </c>
      <c r="E3902" s="1" t="s">
        <v>17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</row>
    <row r="3903" spans="1:11" x14ac:dyDescent="0.2">
      <c r="A3903" s="1" t="s">
        <v>3576</v>
      </c>
      <c r="B3903" s="1" t="s">
        <v>3578</v>
      </c>
      <c r="C3903" s="1" t="str">
        <f>"66298924671714"</f>
        <v>66298924671714</v>
      </c>
      <c r="D3903" s="1" t="str">
        <f>"DK101328"</f>
        <v>DK101328</v>
      </c>
      <c r="E3903" s="1" t="s">
        <v>17</v>
      </c>
      <c r="F3903" s="1">
        <v>1</v>
      </c>
      <c r="G3903" s="1">
        <v>14118</v>
      </c>
      <c r="H3903" s="1">
        <v>14118</v>
      </c>
      <c r="I3903" s="1">
        <v>0</v>
      </c>
      <c r="J3903" s="1">
        <v>1</v>
      </c>
      <c r="K3903" s="1">
        <v>0</v>
      </c>
    </row>
    <row r="3904" spans="1:11" x14ac:dyDescent="0.2">
      <c r="A3904" s="1" t="s">
        <v>3576</v>
      </c>
      <c r="B3904" s="1" t="s">
        <v>3579</v>
      </c>
      <c r="C3904" s="1" t="str">
        <f>"66298924711717"</f>
        <v>66298924711717</v>
      </c>
      <c r="D3904" s="1" t="str">
        <f>"DB011"</f>
        <v>DB011</v>
      </c>
      <c r="E3904" s="1" t="s">
        <v>17</v>
      </c>
      <c r="F3904" s="1">
        <v>2</v>
      </c>
      <c r="G3904" s="1">
        <v>2725</v>
      </c>
      <c r="H3904" s="1">
        <v>5450</v>
      </c>
      <c r="I3904" s="1">
        <v>0</v>
      </c>
      <c r="J3904" s="1">
        <v>2</v>
      </c>
      <c r="K3904" s="1">
        <v>0</v>
      </c>
    </row>
    <row r="3905" spans="1:11" x14ac:dyDescent="0.2">
      <c r="A3905" s="1" t="s">
        <v>3576</v>
      </c>
      <c r="B3905" s="1" t="s">
        <v>3580</v>
      </c>
      <c r="C3905" s="1" t="str">
        <f>"66298924750314"</f>
        <v>66298924750314</v>
      </c>
      <c r="D3905" s="1" t="str">
        <f>"DB012"</f>
        <v>DB012</v>
      </c>
      <c r="E3905" s="1" t="s">
        <v>17</v>
      </c>
      <c r="F3905" s="1">
        <v>2</v>
      </c>
      <c r="G3905" s="1">
        <v>3116</v>
      </c>
      <c r="H3905" s="1">
        <v>6232</v>
      </c>
      <c r="I3905" s="1">
        <v>0</v>
      </c>
      <c r="J3905" s="1">
        <v>2</v>
      </c>
      <c r="K3905" s="1">
        <v>0</v>
      </c>
    </row>
    <row r="3906" spans="1:11" x14ac:dyDescent="0.2">
      <c r="A3906" s="1" t="s">
        <v>3576</v>
      </c>
      <c r="B3906" s="1" t="s">
        <v>3581</v>
      </c>
      <c r="C3906" s="1" t="str">
        <f>"66298924788091"</f>
        <v>66298924788091</v>
      </c>
      <c r="D3906" s="1" t="str">
        <f>"KXN-30206-SJP"</f>
        <v>KXN-30206-SJP</v>
      </c>
      <c r="E3906" s="1" t="s">
        <v>17</v>
      </c>
      <c r="F3906" s="1">
        <v>2</v>
      </c>
      <c r="G3906" s="1">
        <v>6009</v>
      </c>
      <c r="H3906" s="1">
        <v>12018</v>
      </c>
      <c r="I3906" s="1">
        <v>0</v>
      </c>
      <c r="J3906" s="1">
        <v>2</v>
      </c>
      <c r="K3906" s="1">
        <v>0</v>
      </c>
    </row>
    <row r="3907" spans="1:11" x14ac:dyDescent="0.2">
      <c r="A3907" s="1" t="s">
        <v>3576</v>
      </c>
      <c r="B3907" s="1" t="s">
        <v>3582</v>
      </c>
      <c r="C3907" s="1" t="str">
        <f>"66298924829742"</f>
        <v>66298924829742</v>
      </c>
      <c r="D3907" s="1" t="str">
        <f>"DB024"</f>
        <v>DB024</v>
      </c>
      <c r="E3907" s="1" t="s">
        <v>17</v>
      </c>
      <c r="F3907" s="1">
        <v>3</v>
      </c>
      <c r="G3907" s="1">
        <v>5320</v>
      </c>
      <c r="H3907" s="1">
        <v>15960</v>
      </c>
      <c r="I3907" s="1">
        <v>0</v>
      </c>
      <c r="J3907" s="1">
        <v>3</v>
      </c>
      <c r="K3907" s="1">
        <v>0</v>
      </c>
    </row>
    <row r="3908" spans="1:11" x14ac:dyDescent="0.2">
      <c r="A3908" s="1" t="s">
        <v>3576</v>
      </c>
      <c r="B3908" s="1" t="s">
        <v>3583</v>
      </c>
      <c r="C3908" s="1" t="str">
        <f>"66298924872215"</f>
        <v>66298924872215</v>
      </c>
      <c r="D3908" s="1" t="str">
        <f>"DB037"</f>
        <v>DB037</v>
      </c>
      <c r="E3908" s="1" t="s">
        <v>17</v>
      </c>
      <c r="F3908" s="1">
        <v>2</v>
      </c>
      <c r="G3908" s="1">
        <v>4073</v>
      </c>
      <c r="H3908" s="1">
        <v>8146</v>
      </c>
      <c r="I3908" s="1">
        <v>0</v>
      </c>
      <c r="J3908" s="1">
        <v>2</v>
      </c>
      <c r="K3908" s="1">
        <v>0</v>
      </c>
    </row>
    <row r="3909" spans="1:11" x14ac:dyDescent="0.2">
      <c r="A3909" s="1" t="s">
        <v>3576</v>
      </c>
      <c r="B3909" s="1" t="s">
        <v>3584</v>
      </c>
      <c r="C3909" s="1" t="str">
        <f>"66298924913185"</f>
        <v>66298924913185</v>
      </c>
      <c r="D3909" s="1" t="str">
        <f>"06133-KTE-000BR"</f>
        <v>06133-KTE-000BR</v>
      </c>
      <c r="E3909" s="1" t="s">
        <v>17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</row>
    <row r="3910" spans="1:11" x14ac:dyDescent="0.2">
      <c r="A3910" s="1" t="s">
        <v>3576</v>
      </c>
      <c r="B3910" s="1" t="s">
        <v>3585</v>
      </c>
      <c r="C3910" s="1" t="str">
        <f>"66298924954071"</f>
        <v>66298924954071</v>
      </c>
      <c r="D3910" s="1" t="str">
        <f>"06135-KTE-000BR"</f>
        <v>06135-KTE-000BR</v>
      </c>
      <c r="E3910" s="1" t="s">
        <v>17</v>
      </c>
      <c r="F3910" s="1">
        <v>1</v>
      </c>
      <c r="G3910" s="1">
        <v>11900</v>
      </c>
      <c r="H3910" s="1">
        <v>11900</v>
      </c>
      <c r="I3910" s="1">
        <v>0</v>
      </c>
      <c r="J3910" s="1">
        <v>1</v>
      </c>
      <c r="K3910" s="1">
        <v>0</v>
      </c>
    </row>
    <row r="3911" spans="1:11" x14ac:dyDescent="0.2">
      <c r="A3911" s="1" t="s">
        <v>3576</v>
      </c>
      <c r="B3911" s="1" t="s">
        <v>3586</v>
      </c>
      <c r="C3911" s="1" t="str">
        <f>"66298924992003"</f>
        <v>66298924992003</v>
      </c>
      <c r="D3911" s="1" t="str">
        <f>"DB026"</f>
        <v>DB026</v>
      </c>
      <c r="E3911" s="1" t="s">
        <v>17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</row>
    <row r="3912" spans="1:11" x14ac:dyDescent="0.2">
      <c r="A3912" s="1" t="s">
        <v>3576</v>
      </c>
      <c r="B3912" s="1" t="s">
        <v>3587</v>
      </c>
      <c r="C3912" s="1" t="str">
        <f>"66298925033733"</f>
        <v>66298925033733</v>
      </c>
      <c r="D3912" s="1" t="str">
        <f>"06133-GF6-000JP"</f>
        <v>06133-GF6-000JP</v>
      </c>
      <c r="E3912" s="1" t="s">
        <v>17</v>
      </c>
      <c r="F3912" s="1">
        <v>1</v>
      </c>
      <c r="G3912" s="1">
        <v>5048</v>
      </c>
      <c r="H3912" s="1">
        <v>5048</v>
      </c>
      <c r="I3912" s="1">
        <v>0</v>
      </c>
      <c r="J3912" s="1">
        <v>1</v>
      </c>
      <c r="K3912" s="1">
        <v>0</v>
      </c>
    </row>
    <row r="3913" spans="1:11" x14ac:dyDescent="0.2">
      <c r="A3913" s="1" t="s">
        <v>3576</v>
      </c>
      <c r="B3913" s="1" t="s">
        <v>3588</v>
      </c>
      <c r="C3913" s="1" t="str">
        <f>"66298925074043"</f>
        <v>66298925074043</v>
      </c>
      <c r="D3913" s="1" t="str">
        <f>"DB009"</f>
        <v>DB009</v>
      </c>
      <c r="E3913" s="1" t="s">
        <v>17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</row>
    <row r="3914" spans="1:11" x14ac:dyDescent="0.2">
      <c r="A3914" s="1" t="s">
        <v>3576</v>
      </c>
      <c r="B3914" s="1" t="s">
        <v>3589</v>
      </c>
      <c r="C3914" s="1" t="str">
        <f>"66298925114004"</f>
        <v>66298925114004</v>
      </c>
      <c r="D3914" s="1" t="str">
        <f>"DB010"</f>
        <v>DB010</v>
      </c>
      <c r="E3914" s="1" t="s">
        <v>17</v>
      </c>
      <c r="F3914" s="1">
        <v>1</v>
      </c>
      <c r="G3914" s="1">
        <v>2384</v>
      </c>
      <c r="H3914" s="1">
        <v>2384</v>
      </c>
      <c r="I3914" s="1">
        <v>0</v>
      </c>
      <c r="J3914" s="1">
        <v>1</v>
      </c>
      <c r="K3914" s="1">
        <v>0</v>
      </c>
    </row>
    <row r="3915" spans="1:11" x14ac:dyDescent="0.2">
      <c r="A3915" s="1" t="s">
        <v>3576</v>
      </c>
      <c r="B3915" s="1" t="s">
        <v>3590</v>
      </c>
      <c r="C3915" s="1" t="str">
        <f>"66298925161140"</f>
        <v>66298925161140</v>
      </c>
      <c r="D3915" s="1" t="str">
        <f>"81992"</f>
        <v>81992</v>
      </c>
      <c r="E3915" s="1" t="s">
        <v>17</v>
      </c>
      <c r="F3915" s="1">
        <v>3</v>
      </c>
      <c r="G3915" s="1">
        <v>2398</v>
      </c>
      <c r="H3915" s="1">
        <v>7194</v>
      </c>
      <c r="I3915" s="1">
        <v>0</v>
      </c>
      <c r="J3915" s="1">
        <v>3</v>
      </c>
      <c r="K3915" s="1">
        <v>0</v>
      </c>
    </row>
    <row r="3916" spans="1:11" x14ac:dyDescent="0.2">
      <c r="A3916" s="1" t="s">
        <v>3576</v>
      </c>
      <c r="B3916" s="1" t="s">
        <v>3591</v>
      </c>
      <c r="C3916" s="1" t="str">
        <f>"66298925200962"</f>
        <v>66298925200962</v>
      </c>
      <c r="D3916" s="1" t="str">
        <f>"KSM-30206-050JP"</f>
        <v>KSM-30206-050JP</v>
      </c>
      <c r="E3916" s="1" t="s">
        <v>17</v>
      </c>
      <c r="F3916" s="1">
        <v>1</v>
      </c>
      <c r="G3916" s="1">
        <v>9740</v>
      </c>
      <c r="H3916" s="1">
        <v>9740</v>
      </c>
      <c r="I3916" s="1">
        <v>0</v>
      </c>
      <c r="J3916" s="1">
        <v>1</v>
      </c>
      <c r="K3916" s="1">
        <v>0</v>
      </c>
    </row>
    <row r="3917" spans="1:11" x14ac:dyDescent="0.2">
      <c r="A3917" s="1" t="s">
        <v>3576</v>
      </c>
      <c r="B3917" s="1" t="s">
        <v>3592</v>
      </c>
      <c r="C3917" s="1" t="str">
        <f>"66298925242494"</f>
        <v>66298925242494</v>
      </c>
      <c r="D3917" s="1" t="str">
        <f>"KSM-30206-100JP"</f>
        <v>KSM-30206-100JP</v>
      </c>
      <c r="E3917" s="1" t="s">
        <v>17</v>
      </c>
      <c r="F3917" s="1">
        <v>1</v>
      </c>
      <c r="G3917" s="1">
        <v>5984</v>
      </c>
      <c r="H3917" s="1">
        <v>5984</v>
      </c>
      <c r="I3917" s="1">
        <v>0</v>
      </c>
      <c r="J3917" s="1">
        <v>1</v>
      </c>
      <c r="K3917" s="1">
        <v>0</v>
      </c>
    </row>
    <row r="3918" spans="1:11" x14ac:dyDescent="0.2">
      <c r="A3918" s="1" t="s">
        <v>3576</v>
      </c>
      <c r="B3918" s="1" t="s">
        <v>3593</v>
      </c>
      <c r="C3918" s="1" t="str">
        <f>"66298925283829"</f>
        <v>66298925283829</v>
      </c>
      <c r="D3918" s="1" t="str">
        <f>"2A7-11630-20JP"</f>
        <v>2A7-11630-20JP</v>
      </c>
      <c r="E3918" s="1" t="s">
        <v>17</v>
      </c>
      <c r="F3918" s="1">
        <v>2</v>
      </c>
      <c r="G3918" s="1">
        <v>20785</v>
      </c>
      <c r="H3918" s="1">
        <v>41570</v>
      </c>
      <c r="I3918" s="1">
        <v>0</v>
      </c>
      <c r="J3918" s="1">
        <v>2</v>
      </c>
      <c r="K3918" s="1">
        <v>0</v>
      </c>
    </row>
    <row r="3919" spans="1:11" x14ac:dyDescent="0.2">
      <c r="A3919" s="1" t="s">
        <v>3576</v>
      </c>
      <c r="B3919" s="1" t="s">
        <v>3594</v>
      </c>
      <c r="C3919" s="1" t="str">
        <f>"66298925325830"</f>
        <v>66298925325830</v>
      </c>
      <c r="D3919" s="1" t="str">
        <f>"2A7-11630-40JP"</f>
        <v>2A7-11630-40JP</v>
      </c>
      <c r="E3919" s="1" t="s">
        <v>17</v>
      </c>
      <c r="F3919" s="1">
        <v>1</v>
      </c>
      <c r="G3919" s="1">
        <v>20785</v>
      </c>
      <c r="H3919" s="1">
        <v>20785</v>
      </c>
      <c r="I3919" s="1">
        <v>0</v>
      </c>
      <c r="J3919" s="1">
        <v>1</v>
      </c>
      <c r="K3919" s="1">
        <v>0</v>
      </c>
    </row>
    <row r="3920" spans="1:11" x14ac:dyDescent="0.2">
      <c r="A3920" s="1" t="s">
        <v>3576</v>
      </c>
      <c r="B3920" s="1" t="s">
        <v>3595</v>
      </c>
      <c r="C3920" s="1" t="str">
        <f>"10630"</f>
        <v>10630</v>
      </c>
      <c r="D3920" s="1" t="str">
        <f>"10630"</f>
        <v>10630</v>
      </c>
      <c r="E3920" s="1" t="s">
        <v>17</v>
      </c>
      <c r="F3920" s="1">
        <v>1</v>
      </c>
      <c r="G3920" s="1">
        <v>22129.41</v>
      </c>
      <c r="H3920" s="1">
        <v>22129</v>
      </c>
      <c r="I3920" s="1">
        <v>0</v>
      </c>
      <c r="J3920" s="1">
        <v>1</v>
      </c>
      <c r="K3920" s="1">
        <v>0</v>
      </c>
    </row>
    <row r="3921" spans="1:11" x14ac:dyDescent="0.2">
      <c r="A3921" s="1" t="s">
        <v>3576</v>
      </c>
      <c r="B3921" s="1" t="s">
        <v>3596</v>
      </c>
      <c r="C3921" s="1" t="str">
        <f>"66298925364574"</f>
        <v>66298925364574</v>
      </c>
      <c r="D3921" s="1" t="str">
        <f>"DB006"</f>
        <v>DB006</v>
      </c>
      <c r="E3921" s="1" t="s">
        <v>17</v>
      </c>
      <c r="F3921" s="1">
        <v>1</v>
      </c>
      <c r="G3921" s="1">
        <v>5106</v>
      </c>
      <c r="H3921" s="1">
        <v>5106</v>
      </c>
      <c r="I3921" s="1">
        <v>0</v>
      </c>
      <c r="J3921" s="1">
        <v>1</v>
      </c>
      <c r="K3921" s="1">
        <v>0</v>
      </c>
    </row>
    <row r="3922" spans="1:11" x14ac:dyDescent="0.2">
      <c r="A3922" s="1" t="s">
        <v>3576</v>
      </c>
      <c r="B3922" s="1" t="s">
        <v>3597</v>
      </c>
      <c r="C3922" s="1" t="str">
        <f>"66298925401811"</f>
        <v>66298925401811</v>
      </c>
      <c r="D3922" s="1" t="str">
        <f>"DB007"</f>
        <v>DB007</v>
      </c>
      <c r="E3922" s="1" t="s">
        <v>17</v>
      </c>
      <c r="F3922" s="1">
        <v>3</v>
      </c>
      <c r="G3922" s="1">
        <v>5106</v>
      </c>
      <c r="H3922" s="1">
        <v>15318</v>
      </c>
      <c r="I3922" s="1">
        <v>0</v>
      </c>
      <c r="J3922" s="1">
        <v>3</v>
      </c>
      <c r="K3922" s="1">
        <v>0</v>
      </c>
    </row>
    <row r="3923" spans="1:11" x14ac:dyDescent="0.2">
      <c r="A3923" s="1" t="s">
        <v>3576</v>
      </c>
      <c r="B3923" s="1" t="s">
        <v>3598</v>
      </c>
      <c r="C3923" s="1" t="str">
        <f>"66298925443180"</f>
        <v>66298925443180</v>
      </c>
      <c r="D3923" s="1" t="str">
        <f>"DB001"</f>
        <v>DB001</v>
      </c>
      <c r="E3923" s="1" t="s">
        <v>17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</row>
    <row r="3924" spans="1:11" x14ac:dyDescent="0.2">
      <c r="A3924" s="1" t="s">
        <v>3576</v>
      </c>
      <c r="B3924" s="1" t="s">
        <v>3599</v>
      </c>
      <c r="C3924" s="1" t="str">
        <f>"66298925485162"</f>
        <v>66298925485162</v>
      </c>
      <c r="D3924" s="1" t="str">
        <f>"DB002"</f>
        <v>DB002</v>
      </c>
      <c r="E3924" s="1" t="s">
        <v>17</v>
      </c>
      <c r="F3924" s="1">
        <v>2</v>
      </c>
      <c r="G3924" s="1">
        <v>6322</v>
      </c>
      <c r="H3924" s="1">
        <v>12644</v>
      </c>
      <c r="I3924" s="1">
        <v>0</v>
      </c>
      <c r="J3924" s="1">
        <v>2</v>
      </c>
      <c r="K3924" s="1">
        <v>0</v>
      </c>
    </row>
    <row r="3925" spans="1:11" ht="30" x14ac:dyDescent="0.2">
      <c r="A3925" s="1" t="s">
        <v>3576</v>
      </c>
      <c r="B3925" s="1" t="s">
        <v>3600</v>
      </c>
      <c r="C3925" s="1" t="str">
        <f>"12111-42A10-100JP"</f>
        <v>12111-42A10-100JP</v>
      </c>
      <c r="D3925" s="1" t="str">
        <f>"12111-42A10-100JP"</f>
        <v>12111-42A10-100JP</v>
      </c>
      <c r="E3925" s="1" t="s">
        <v>17</v>
      </c>
      <c r="F3925" s="1">
        <v>2</v>
      </c>
      <c r="G3925" s="1">
        <v>14352</v>
      </c>
      <c r="H3925" s="1">
        <v>28704</v>
      </c>
      <c r="I3925" s="1">
        <v>0</v>
      </c>
      <c r="J3925" s="1">
        <v>2</v>
      </c>
      <c r="K3925" s="1">
        <v>0</v>
      </c>
    </row>
    <row r="3926" spans="1:11" x14ac:dyDescent="0.2">
      <c r="A3926" s="1" t="s">
        <v>3576</v>
      </c>
      <c r="B3926" s="1" t="s">
        <v>3601</v>
      </c>
      <c r="C3926" s="1" t="str">
        <f>"66298925523570"</f>
        <v>66298925523570</v>
      </c>
      <c r="D3926" s="1" t="str">
        <f>"80281"</f>
        <v>80281</v>
      </c>
      <c r="E3926" s="1" t="s">
        <v>17</v>
      </c>
      <c r="F3926" s="1">
        <v>1</v>
      </c>
      <c r="G3926" s="1">
        <v>6434</v>
      </c>
      <c r="H3926" s="1">
        <v>6434</v>
      </c>
      <c r="I3926" s="1">
        <v>0</v>
      </c>
      <c r="J3926" s="1">
        <v>1</v>
      </c>
      <c r="K3926" s="1">
        <v>0</v>
      </c>
    </row>
    <row r="3927" spans="1:11" x14ac:dyDescent="0.2">
      <c r="A3927" s="1" t="s">
        <v>3576</v>
      </c>
      <c r="B3927" s="1" t="s">
        <v>3602</v>
      </c>
      <c r="C3927" s="1" t="str">
        <f>"66298925567647"</f>
        <v>66298925567647</v>
      </c>
      <c r="D3927" s="1" t="str">
        <f>"80282"</f>
        <v>80282</v>
      </c>
      <c r="E3927" s="1" t="s">
        <v>17</v>
      </c>
      <c r="F3927" s="1">
        <v>1</v>
      </c>
      <c r="G3927" s="1">
        <v>6434</v>
      </c>
      <c r="H3927" s="1">
        <v>6434</v>
      </c>
      <c r="I3927" s="1">
        <v>0</v>
      </c>
      <c r="J3927" s="1">
        <v>1</v>
      </c>
      <c r="K3927" s="1">
        <v>0</v>
      </c>
    </row>
    <row r="3928" spans="1:11" x14ac:dyDescent="0.2">
      <c r="A3928" s="1" t="s">
        <v>3576</v>
      </c>
      <c r="B3928" s="1" t="s">
        <v>3603</v>
      </c>
      <c r="C3928" s="1" t="str">
        <f>"66298925610233"</f>
        <v>66298925610233</v>
      </c>
      <c r="D3928" s="1" t="str">
        <f>"31-1010-13-050"</f>
        <v>31-1010-13-050</v>
      </c>
      <c r="E3928" s="1" t="s">
        <v>17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</row>
    <row r="3929" spans="1:11" x14ac:dyDescent="0.2">
      <c r="A3929" s="1" t="s">
        <v>3576</v>
      </c>
      <c r="B3929" s="1" t="s">
        <v>3604</v>
      </c>
      <c r="C3929" s="1" t="str">
        <f>"66298925647658"</f>
        <v>66298925647658</v>
      </c>
      <c r="D3929" s="1" t="str">
        <f>"31-1010-13-100"</f>
        <v>31-1010-13-100</v>
      </c>
      <c r="E3929" s="1" t="s">
        <v>17</v>
      </c>
      <c r="F3929" s="1">
        <v>1</v>
      </c>
      <c r="G3929" s="1">
        <v>6735</v>
      </c>
      <c r="H3929" s="1">
        <v>6735</v>
      </c>
      <c r="I3929" s="1">
        <v>0</v>
      </c>
      <c r="J3929" s="1">
        <v>1</v>
      </c>
      <c r="K3929" s="1">
        <v>0</v>
      </c>
    </row>
    <row r="3930" spans="1:11" x14ac:dyDescent="0.2">
      <c r="A3930" s="1" t="s">
        <v>3576</v>
      </c>
      <c r="B3930" s="1" t="s">
        <v>3605</v>
      </c>
      <c r="C3930" s="1" t="str">
        <f>"66298925688493"</f>
        <v>66298925688493</v>
      </c>
      <c r="D3930" s="1" t="str">
        <f>"31-1010-13-STD"</f>
        <v>31-1010-13-STD</v>
      </c>
      <c r="E3930" s="1" t="s">
        <v>17</v>
      </c>
      <c r="F3930" s="1">
        <v>2</v>
      </c>
      <c r="G3930" s="1">
        <v>7805</v>
      </c>
      <c r="H3930" s="1">
        <v>15610</v>
      </c>
      <c r="I3930" s="1">
        <v>0</v>
      </c>
      <c r="J3930" s="1">
        <v>2</v>
      </c>
      <c r="K3930" s="1">
        <v>0</v>
      </c>
    </row>
    <row r="3931" spans="1:11" x14ac:dyDescent="0.2">
      <c r="A3931" s="1" t="s">
        <v>3576</v>
      </c>
      <c r="B3931" s="1" t="s">
        <v>3606</v>
      </c>
      <c r="C3931" s="1" t="str">
        <f>"66298925728977"</f>
        <v>66298925728977</v>
      </c>
      <c r="D3931" s="1" t="str">
        <f>"JC-1010-12-050JP"</f>
        <v>JC-1010-12-050JP</v>
      </c>
      <c r="E3931" s="1" t="s">
        <v>17</v>
      </c>
      <c r="F3931" s="1">
        <v>1</v>
      </c>
      <c r="G3931" s="1">
        <v>8211</v>
      </c>
      <c r="H3931" s="1">
        <v>8211</v>
      </c>
      <c r="I3931" s="1">
        <v>0</v>
      </c>
      <c r="J3931" s="1">
        <v>1</v>
      </c>
      <c r="K3931" s="1">
        <v>0</v>
      </c>
    </row>
    <row r="3932" spans="1:11" x14ac:dyDescent="0.2">
      <c r="A3932" s="1" t="s">
        <v>3576</v>
      </c>
      <c r="B3932" s="1" t="s">
        <v>3607</v>
      </c>
      <c r="C3932" s="1" t="str">
        <f>"66298925770760"</f>
        <v>66298925770760</v>
      </c>
      <c r="D3932" s="1" t="str">
        <f>"JC-1010-12-100JP"</f>
        <v>JC-1010-12-100JP</v>
      </c>
      <c r="E3932" s="1" t="s">
        <v>17</v>
      </c>
      <c r="F3932" s="1">
        <v>1</v>
      </c>
      <c r="G3932" s="1">
        <v>8230</v>
      </c>
      <c r="H3932" s="1">
        <v>8230</v>
      </c>
      <c r="I3932" s="1">
        <v>0</v>
      </c>
      <c r="J3932" s="1">
        <v>1</v>
      </c>
      <c r="K3932" s="1">
        <v>0</v>
      </c>
    </row>
    <row r="3933" spans="1:11" x14ac:dyDescent="0.2">
      <c r="A3933" s="1" t="s">
        <v>3576</v>
      </c>
      <c r="B3933" s="1" t="s">
        <v>3608</v>
      </c>
      <c r="C3933" s="1" t="str">
        <f>"66298925810509"</f>
        <v>66298925810509</v>
      </c>
      <c r="D3933" s="1" t="str">
        <f>"DK-1010-92-050JP"</f>
        <v>DK-1010-92-050JP</v>
      </c>
      <c r="E3933" s="1" t="s">
        <v>17</v>
      </c>
      <c r="F3933" s="1">
        <v>2</v>
      </c>
      <c r="G3933" s="1">
        <v>7210</v>
      </c>
      <c r="H3933" s="1">
        <v>14420</v>
      </c>
      <c r="I3933" s="1">
        <v>0</v>
      </c>
      <c r="J3933" s="1">
        <v>2</v>
      </c>
      <c r="K3933" s="1">
        <v>0</v>
      </c>
    </row>
    <row r="3934" spans="1:11" x14ac:dyDescent="0.2">
      <c r="A3934" s="1" t="s">
        <v>3576</v>
      </c>
      <c r="B3934" s="1" t="s">
        <v>3609</v>
      </c>
      <c r="C3934" s="1" t="str">
        <f>"66298925848337"</f>
        <v>66298925848337</v>
      </c>
      <c r="D3934" s="1" t="str">
        <f>"82320"</f>
        <v>82320</v>
      </c>
      <c r="E3934" s="1" t="s">
        <v>17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</row>
    <row r="3935" spans="1:11" x14ac:dyDescent="0.2">
      <c r="A3935" s="1" t="s">
        <v>3576</v>
      </c>
      <c r="B3935" s="1" t="s">
        <v>3610</v>
      </c>
      <c r="C3935" s="1" t="str">
        <f>"66298925889689"</f>
        <v>66298925889689</v>
      </c>
      <c r="D3935" s="1" t="str">
        <f>"82321"</f>
        <v>82321</v>
      </c>
      <c r="E3935" s="1" t="s">
        <v>17</v>
      </c>
      <c r="F3935" s="1">
        <v>1</v>
      </c>
      <c r="G3935" s="1">
        <v>3471</v>
      </c>
      <c r="H3935" s="1">
        <v>3471</v>
      </c>
      <c r="I3935" s="1">
        <v>0</v>
      </c>
      <c r="J3935" s="1">
        <v>1</v>
      </c>
      <c r="K3935" s="1">
        <v>0</v>
      </c>
    </row>
    <row r="3936" spans="1:11" x14ac:dyDescent="0.2">
      <c r="A3936" s="1" t="s">
        <v>3576</v>
      </c>
      <c r="B3936" s="1" t="s">
        <v>3610</v>
      </c>
      <c r="C3936" s="1" t="str">
        <f>"66298925897683"</f>
        <v>66298925897683</v>
      </c>
      <c r="D3936" s="1" t="str">
        <f>"DB034"</f>
        <v>DB034</v>
      </c>
      <c r="E3936" s="1" t="s">
        <v>17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</row>
    <row r="3937" spans="1:11" x14ac:dyDescent="0.2">
      <c r="A3937" s="1" t="s">
        <v>3576</v>
      </c>
      <c r="B3937" s="1" t="s">
        <v>3611</v>
      </c>
      <c r="C3937" s="1" t="str">
        <f>"66298925948899"</f>
        <v>66298925948899</v>
      </c>
      <c r="D3937" s="1" t="str">
        <f>"13101-KFB7-050JP"</f>
        <v>13101-KFB7-050JP</v>
      </c>
      <c r="E3937" s="1" t="s">
        <v>17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</row>
    <row r="3938" spans="1:11" x14ac:dyDescent="0.2">
      <c r="A3938" s="1" t="s">
        <v>3576</v>
      </c>
      <c r="B3938" s="1" t="s">
        <v>3612</v>
      </c>
      <c r="C3938" s="1" t="str">
        <f>"66298925986897"</f>
        <v>66298925986897</v>
      </c>
      <c r="D3938" s="1" t="str">
        <f>"13101-KFB7-100JP"</f>
        <v>13101-KFB7-100JP</v>
      </c>
      <c r="E3938" s="1" t="s">
        <v>17</v>
      </c>
      <c r="F3938" s="1">
        <v>1</v>
      </c>
      <c r="G3938" s="1">
        <v>8725</v>
      </c>
      <c r="H3938" s="1">
        <v>8725</v>
      </c>
      <c r="I3938" s="1">
        <v>0</v>
      </c>
      <c r="J3938" s="1">
        <v>1</v>
      </c>
      <c r="K3938" s="1">
        <v>0</v>
      </c>
    </row>
    <row r="3939" spans="1:11" x14ac:dyDescent="0.2">
      <c r="A3939" s="1" t="s">
        <v>3576</v>
      </c>
      <c r="B3939" s="1" t="s">
        <v>3613</v>
      </c>
      <c r="C3939" s="1" t="str">
        <f>"66298926027176"</f>
        <v>66298926027176</v>
      </c>
      <c r="D3939" s="1" t="str">
        <f>"619-100"</f>
        <v>619-100</v>
      </c>
      <c r="E3939" s="1" t="s">
        <v>17</v>
      </c>
      <c r="F3939" s="1">
        <v>1</v>
      </c>
      <c r="G3939" s="1">
        <v>7090</v>
      </c>
      <c r="H3939" s="1">
        <v>7090</v>
      </c>
      <c r="I3939" s="1">
        <v>0</v>
      </c>
      <c r="J3939" s="1">
        <v>1</v>
      </c>
      <c r="K3939" s="1">
        <v>0</v>
      </c>
    </row>
    <row r="3940" spans="1:11" x14ac:dyDescent="0.2">
      <c r="A3940" s="1" t="s">
        <v>3576</v>
      </c>
      <c r="B3940" s="1" t="s">
        <v>3614</v>
      </c>
      <c r="C3940" s="1" t="str">
        <f>"66298926067800"</f>
        <v>66298926067800</v>
      </c>
      <c r="D3940" s="1" t="str">
        <f>"619-STD"</f>
        <v>619-STD</v>
      </c>
      <c r="E3940" s="1" t="s">
        <v>17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</row>
    <row r="3941" spans="1:11" x14ac:dyDescent="0.2">
      <c r="A3941" s="1" t="s">
        <v>3576</v>
      </c>
      <c r="B3941" s="1" t="s">
        <v>3615</v>
      </c>
      <c r="C3941" s="1" t="str">
        <f>"66298926107226"</f>
        <v>66298926107226</v>
      </c>
      <c r="D3941" s="1" t="str">
        <f>"06133-KVC-900JP"</f>
        <v>06133-KVC-900JP</v>
      </c>
      <c r="E3941" s="1" t="s">
        <v>17</v>
      </c>
      <c r="F3941" s="1">
        <v>1</v>
      </c>
      <c r="G3941" s="1">
        <v>5897</v>
      </c>
      <c r="H3941" s="1">
        <v>5897</v>
      </c>
      <c r="I3941" s="1">
        <v>0</v>
      </c>
      <c r="J3941" s="1">
        <v>1</v>
      </c>
      <c r="K3941" s="1">
        <v>0</v>
      </c>
    </row>
    <row r="3942" spans="1:11" x14ac:dyDescent="0.2">
      <c r="A3942" s="1" t="s">
        <v>3576</v>
      </c>
      <c r="B3942" s="1" t="s">
        <v>3616</v>
      </c>
      <c r="C3942" s="1" t="str">
        <f>"66298926145573"</f>
        <v>66298926145573</v>
      </c>
      <c r="D3942" s="1" t="str">
        <f>"DB036"</f>
        <v>DB036</v>
      </c>
      <c r="E3942" s="1" t="s">
        <v>17</v>
      </c>
      <c r="F3942" s="1">
        <v>1</v>
      </c>
      <c r="G3942" s="1">
        <v>4104</v>
      </c>
      <c r="H3942" s="1">
        <v>4104</v>
      </c>
      <c r="I3942" s="1">
        <v>0</v>
      </c>
      <c r="J3942" s="1">
        <v>1</v>
      </c>
      <c r="K3942" s="1">
        <v>0</v>
      </c>
    </row>
    <row r="3943" spans="1:11" x14ac:dyDescent="0.2">
      <c r="A3943" s="1" t="s">
        <v>3576</v>
      </c>
      <c r="B3943" s="1" t="s">
        <v>3617</v>
      </c>
      <c r="C3943" s="1" t="str">
        <f>"66298926187929"</f>
        <v>66298926187929</v>
      </c>
      <c r="D3943" s="1" t="str">
        <f>"DB035"</f>
        <v>DB035</v>
      </c>
      <c r="E3943" s="1" t="s">
        <v>17</v>
      </c>
      <c r="F3943" s="1">
        <v>1</v>
      </c>
      <c r="G3943" s="1">
        <v>4347</v>
      </c>
      <c r="H3943" s="1">
        <v>4347</v>
      </c>
      <c r="I3943" s="1">
        <v>0</v>
      </c>
      <c r="J3943" s="1">
        <v>1</v>
      </c>
      <c r="K3943" s="1">
        <v>0</v>
      </c>
    </row>
    <row r="3944" spans="1:11" x14ac:dyDescent="0.2">
      <c r="A3944" s="1" t="s">
        <v>3576</v>
      </c>
      <c r="B3944" s="1" t="s">
        <v>3618</v>
      </c>
      <c r="C3944" s="1" t="str">
        <f>"66298926234767"</f>
        <v>66298926234767</v>
      </c>
      <c r="D3944" s="1" t="str">
        <f>"06135-KGA-B00JP"</f>
        <v>06135-KGA-B00JP</v>
      </c>
      <c r="E3944" s="1" t="s">
        <v>17</v>
      </c>
      <c r="F3944" s="1">
        <v>1</v>
      </c>
      <c r="G3944" s="1">
        <v>6597</v>
      </c>
      <c r="H3944" s="1">
        <v>6597</v>
      </c>
      <c r="I3944" s="1">
        <v>0</v>
      </c>
      <c r="J3944" s="1">
        <v>1</v>
      </c>
      <c r="K3944" s="1">
        <v>0</v>
      </c>
    </row>
    <row r="3945" spans="1:11" x14ac:dyDescent="0.2">
      <c r="A3945" s="1" t="s">
        <v>3576</v>
      </c>
      <c r="B3945" s="1" t="s">
        <v>3619</v>
      </c>
      <c r="C3945" s="1" t="str">
        <f>"66298926270952"</f>
        <v>66298926270952</v>
      </c>
      <c r="D3945" s="1" t="str">
        <f>"80279"</f>
        <v>80279</v>
      </c>
      <c r="E3945" s="1" t="s">
        <v>17</v>
      </c>
      <c r="F3945" s="1">
        <v>1</v>
      </c>
      <c r="G3945" s="1">
        <v>4946</v>
      </c>
      <c r="H3945" s="1">
        <v>4946</v>
      </c>
      <c r="I3945" s="1">
        <v>0</v>
      </c>
      <c r="J3945" s="1">
        <v>1</v>
      </c>
      <c r="K3945" s="1">
        <v>0</v>
      </c>
    </row>
    <row r="3946" spans="1:11" x14ac:dyDescent="0.2">
      <c r="A3946" s="1" t="s">
        <v>3576</v>
      </c>
      <c r="B3946" s="1" t="s">
        <v>3620</v>
      </c>
      <c r="C3946" s="1" t="str">
        <f>"66298926311005"</f>
        <v>66298926311005</v>
      </c>
      <c r="D3946" s="1" t="str">
        <f>"06133-KT1-315JP"</f>
        <v>06133-KT1-315JP</v>
      </c>
      <c r="E3946" s="1" t="s">
        <v>17</v>
      </c>
      <c r="F3946" s="1">
        <v>1</v>
      </c>
      <c r="G3946" s="1">
        <v>34502</v>
      </c>
      <c r="H3946" s="1">
        <v>34502</v>
      </c>
      <c r="I3946" s="1">
        <v>0</v>
      </c>
      <c r="J3946" s="1">
        <v>1</v>
      </c>
      <c r="K3946" s="1">
        <v>0</v>
      </c>
    </row>
    <row r="3947" spans="1:11" x14ac:dyDescent="0.2">
      <c r="A3947" s="1" t="s">
        <v>3576</v>
      </c>
      <c r="B3947" s="1" t="s">
        <v>3621</v>
      </c>
      <c r="C3947" s="1" t="str">
        <f>"66298926353882"</f>
        <v>66298926353882</v>
      </c>
      <c r="D3947" s="1" t="str">
        <f>"06135-KT1-315JP"</f>
        <v>06135-KT1-315JP</v>
      </c>
      <c r="E3947" s="1" t="s">
        <v>17</v>
      </c>
      <c r="F3947" s="1">
        <v>2</v>
      </c>
      <c r="G3947" s="1">
        <v>34502</v>
      </c>
      <c r="H3947" s="1">
        <v>69004</v>
      </c>
      <c r="I3947" s="1">
        <v>0</v>
      </c>
      <c r="J3947" s="1">
        <v>2</v>
      </c>
      <c r="K3947" s="1">
        <v>0</v>
      </c>
    </row>
    <row r="3948" spans="1:11" x14ac:dyDescent="0.2">
      <c r="A3948" s="1" t="s">
        <v>3576</v>
      </c>
      <c r="B3948" s="1" t="s">
        <v>3622</v>
      </c>
      <c r="C3948" s="1" t="str">
        <f>"66298926400164"</f>
        <v>66298926400164</v>
      </c>
      <c r="D3948" s="1" t="str">
        <f>"06131-KT1-013JP"</f>
        <v>06131-KT1-013JP</v>
      </c>
      <c r="E3948" s="1" t="s">
        <v>17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</row>
    <row r="3949" spans="1:11" x14ac:dyDescent="0.2">
      <c r="A3949" s="1" t="s">
        <v>3576</v>
      </c>
      <c r="B3949" s="1" t="s">
        <v>3623</v>
      </c>
      <c r="C3949" s="1" t="str">
        <f>"66298926439435"</f>
        <v>66298926439435</v>
      </c>
      <c r="D3949" s="1" t="str">
        <f>"DB022"</f>
        <v>DB022</v>
      </c>
      <c r="E3949" s="1" t="s">
        <v>17</v>
      </c>
      <c r="F3949" s="1">
        <v>2</v>
      </c>
      <c r="G3949" s="1">
        <v>3953</v>
      </c>
      <c r="H3949" s="1">
        <v>7906</v>
      </c>
      <c r="I3949" s="1">
        <v>0</v>
      </c>
      <c r="J3949" s="1">
        <v>2</v>
      </c>
      <c r="K3949" s="1">
        <v>0</v>
      </c>
    </row>
    <row r="3950" spans="1:11" x14ac:dyDescent="0.2">
      <c r="A3950" s="1" t="s">
        <v>3576</v>
      </c>
      <c r="B3950" s="1" t="s">
        <v>3624</v>
      </c>
      <c r="C3950" s="1" t="str">
        <f>"66298926476220"</f>
        <v>66298926476220</v>
      </c>
      <c r="D3950" s="1" t="str">
        <f>"5ML-11630-40JP"</f>
        <v>5ML-11630-40JP</v>
      </c>
      <c r="E3950" s="1" t="s">
        <v>17</v>
      </c>
      <c r="F3950" s="1">
        <v>1</v>
      </c>
      <c r="G3950" s="1">
        <v>6167</v>
      </c>
      <c r="H3950" s="1">
        <v>6167</v>
      </c>
      <c r="I3950" s="1">
        <v>0</v>
      </c>
      <c r="J3950" s="1">
        <v>1</v>
      </c>
      <c r="K3950" s="1">
        <v>0</v>
      </c>
    </row>
    <row r="3951" spans="1:11" x14ac:dyDescent="0.2">
      <c r="A3951" s="1" t="s">
        <v>3576</v>
      </c>
      <c r="B3951" s="1" t="s">
        <v>3625</v>
      </c>
      <c r="C3951" s="1" t="str">
        <f>"66298926514945"</f>
        <v>66298926514945</v>
      </c>
      <c r="D3951" s="1" t="str">
        <f>"2724"</f>
        <v>2724</v>
      </c>
      <c r="E3951" s="1" t="s">
        <v>17</v>
      </c>
      <c r="F3951" s="1">
        <v>1</v>
      </c>
      <c r="G3951" s="1">
        <v>14900</v>
      </c>
      <c r="H3951" s="1">
        <v>14900</v>
      </c>
      <c r="I3951" s="1">
        <v>0</v>
      </c>
      <c r="J3951" s="1">
        <v>1</v>
      </c>
      <c r="K3951" s="1">
        <v>0</v>
      </c>
    </row>
    <row r="3952" spans="1:11" x14ac:dyDescent="0.2">
      <c r="A3952" s="1" t="s">
        <v>98</v>
      </c>
      <c r="B3952" s="1" t="s">
        <v>3626</v>
      </c>
      <c r="C3952" s="1" t="str">
        <f>"66298926555662"</f>
        <v>66298926555662</v>
      </c>
      <c r="D3952" s="1" t="str">
        <f>"21C-F2174-00GY"</f>
        <v>21C-F2174-00GY</v>
      </c>
      <c r="E3952" s="1" t="s">
        <v>17</v>
      </c>
      <c r="F3952" s="1">
        <v>1</v>
      </c>
      <c r="G3952" s="1">
        <v>2010</v>
      </c>
      <c r="H3952" s="1">
        <v>2010</v>
      </c>
      <c r="I3952" s="1">
        <v>0</v>
      </c>
      <c r="J3952" s="1">
        <v>1</v>
      </c>
      <c r="K3952" s="1">
        <v>0</v>
      </c>
    </row>
    <row r="3953" spans="1:11" x14ac:dyDescent="0.2">
      <c r="A3953" s="1" t="s">
        <v>388</v>
      </c>
      <c r="B3953" s="1" t="s">
        <v>3627</v>
      </c>
      <c r="C3953" s="1" t="str">
        <f>"66298926609191"</f>
        <v>66298926609191</v>
      </c>
      <c r="D3953" s="1" t="str">
        <f>"400701"</f>
        <v>400701</v>
      </c>
      <c r="E3953" s="1" t="s">
        <v>17</v>
      </c>
      <c r="F3953" s="1">
        <v>12</v>
      </c>
      <c r="G3953" s="1">
        <v>4745</v>
      </c>
      <c r="H3953" s="1">
        <v>56940</v>
      </c>
      <c r="I3953" s="1">
        <v>0</v>
      </c>
      <c r="J3953" s="1">
        <v>12</v>
      </c>
      <c r="K3953" s="1">
        <v>0</v>
      </c>
    </row>
    <row r="3954" spans="1:11" x14ac:dyDescent="0.2">
      <c r="A3954" s="1" t="s">
        <v>388</v>
      </c>
      <c r="B3954" s="1" t="s">
        <v>3628</v>
      </c>
      <c r="C3954" s="1" t="str">
        <f>"66298926652078"</f>
        <v>66298926652078</v>
      </c>
      <c r="D3954" s="1" t="str">
        <f>"32101-23410HB"</f>
        <v>32101-23410HB</v>
      </c>
      <c r="E3954" s="1" t="s">
        <v>17</v>
      </c>
      <c r="F3954" s="1">
        <v>4</v>
      </c>
      <c r="G3954" s="1">
        <v>14914</v>
      </c>
      <c r="H3954" s="1">
        <v>59656</v>
      </c>
      <c r="I3954" s="1">
        <v>0</v>
      </c>
      <c r="J3954" s="1">
        <v>4</v>
      </c>
      <c r="K3954" s="1">
        <v>0</v>
      </c>
    </row>
    <row r="3955" spans="1:11" x14ac:dyDescent="0.2">
      <c r="A3955" s="1" t="s">
        <v>388</v>
      </c>
      <c r="B3955" s="1" t="s">
        <v>3628</v>
      </c>
      <c r="C3955" s="1" t="str">
        <f>"FB033"</f>
        <v>FB033</v>
      </c>
      <c r="D3955" s="1" t="str">
        <f>"FB033"</f>
        <v>FB033</v>
      </c>
      <c r="E3955" s="1" t="s">
        <v>17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</row>
    <row r="3956" spans="1:11" x14ac:dyDescent="0.2">
      <c r="A3956" s="1" t="s">
        <v>388</v>
      </c>
      <c r="B3956" s="1" t="s">
        <v>3629</v>
      </c>
      <c r="C3956" s="1" t="str">
        <f>"66298926695070"</f>
        <v>66298926695070</v>
      </c>
      <c r="D3956" s="1" t="str">
        <f>"FB021"</f>
        <v>FB021</v>
      </c>
      <c r="E3956" s="1" t="s">
        <v>17</v>
      </c>
      <c r="F3956" s="1">
        <v>3</v>
      </c>
      <c r="G3956" s="1">
        <v>6250</v>
      </c>
      <c r="H3956" s="1">
        <v>18750</v>
      </c>
      <c r="I3956" s="1">
        <v>0</v>
      </c>
      <c r="J3956" s="1">
        <v>3</v>
      </c>
      <c r="K3956" s="1">
        <v>0</v>
      </c>
    </row>
    <row r="3957" spans="1:11" x14ac:dyDescent="0.2">
      <c r="A3957" s="1" t="s">
        <v>141</v>
      </c>
      <c r="B3957" s="1" t="s">
        <v>3630</v>
      </c>
      <c r="C3957" s="1" t="str">
        <f>"66298926738030"</f>
        <v>66298926738030</v>
      </c>
      <c r="D3957" s="1" t="str">
        <f>"0080S"</f>
        <v>0080S</v>
      </c>
      <c r="E3957" s="1" t="s">
        <v>17</v>
      </c>
      <c r="F3957" s="1">
        <v>4</v>
      </c>
      <c r="G3957" s="1">
        <v>252</v>
      </c>
      <c r="H3957" s="1">
        <v>1008</v>
      </c>
      <c r="I3957" s="1">
        <v>0</v>
      </c>
      <c r="J3957" s="1">
        <v>4</v>
      </c>
      <c r="K3957" s="1">
        <v>0</v>
      </c>
    </row>
    <row r="3958" spans="1:11" x14ac:dyDescent="0.2">
      <c r="A3958" s="1" t="s">
        <v>141</v>
      </c>
      <c r="B3958" s="1" t="s">
        <v>3631</v>
      </c>
      <c r="C3958" s="1" t="str">
        <f>"66298926779460"</f>
        <v>66298926779460</v>
      </c>
      <c r="D3958" s="1" t="str">
        <f>"400627"</f>
        <v>400627</v>
      </c>
      <c r="E3958" s="1" t="s">
        <v>17</v>
      </c>
      <c r="F3958" s="1">
        <v>18</v>
      </c>
      <c r="G3958" s="1">
        <v>526</v>
      </c>
      <c r="H3958" s="1">
        <v>9468</v>
      </c>
      <c r="I3958" s="1">
        <v>0</v>
      </c>
      <c r="J3958" s="1">
        <v>18</v>
      </c>
      <c r="K3958" s="1">
        <v>0</v>
      </c>
    </row>
    <row r="3959" spans="1:11" x14ac:dyDescent="0.2">
      <c r="A3959" s="1" t="s">
        <v>141</v>
      </c>
      <c r="B3959" s="1" t="s">
        <v>3632</v>
      </c>
      <c r="C3959" s="1" t="str">
        <f>"66298926823705"</f>
        <v>66298926823705</v>
      </c>
      <c r="D3959" s="1" t="str">
        <f>"115114"</f>
        <v>115114</v>
      </c>
      <c r="E3959" s="1" t="s">
        <v>17</v>
      </c>
      <c r="F3959" s="1">
        <v>2</v>
      </c>
      <c r="G3959" s="1">
        <v>479</v>
      </c>
      <c r="H3959" s="1">
        <v>958</v>
      </c>
      <c r="I3959" s="1">
        <v>0</v>
      </c>
      <c r="J3959" s="1">
        <v>2</v>
      </c>
      <c r="K3959" s="1">
        <v>0</v>
      </c>
    </row>
    <row r="3960" spans="1:11" x14ac:dyDescent="0.2">
      <c r="A3960" s="1" t="s">
        <v>141</v>
      </c>
      <c r="B3960" s="1" t="s">
        <v>3633</v>
      </c>
      <c r="C3960" s="1" t="str">
        <f>"66298926867971"</f>
        <v>66298926867971</v>
      </c>
      <c r="D3960" s="1" t="str">
        <f>"PA002"</f>
        <v>PA002</v>
      </c>
      <c r="E3960" s="1" t="s">
        <v>17</v>
      </c>
      <c r="F3960" s="1">
        <v>10</v>
      </c>
      <c r="G3960" s="1">
        <v>865</v>
      </c>
      <c r="H3960" s="1">
        <v>8650</v>
      </c>
      <c r="I3960" s="1">
        <v>0</v>
      </c>
      <c r="J3960" s="1">
        <v>10</v>
      </c>
      <c r="K3960" s="1">
        <v>0</v>
      </c>
    </row>
    <row r="3961" spans="1:11" x14ac:dyDescent="0.2">
      <c r="A3961" s="1" t="s">
        <v>141</v>
      </c>
      <c r="B3961" s="1" t="s">
        <v>3634</v>
      </c>
      <c r="C3961" s="1" t="str">
        <f>"66298926907678"</f>
        <v>66298926907678</v>
      </c>
      <c r="D3961" s="1" t="str">
        <f>"PA003"</f>
        <v>PA003</v>
      </c>
      <c r="E3961" s="1" t="s">
        <v>17</v>
      </c>
      <c r="F3961" s="1">
        <v>15</v>
      </c>
      <c r="G3961" s="1">
        <v>279</v>
      </c>
      <c r="H3961" s="1">
        <v>4185</v>
      </c>
      <c r="I3961" s="1">
        <v>0</v>
      </c>
      <c r="J3961" s="1">
        <v>15</v>
      </c>
      <c r="K3961" s="1">
        <v>0</v>
      </c>
    </row>
    <row r="3962" spans="1:11" x14ac:dyDescent="0.2">
      <c r="A3962" s="1" t="s">
        <v>141</v>
      </c>
      <c r="B3962" s="1" t="s">
        <v>3635</v>
      </c>
      <c r="C3962" s="1" t="str">
        <f>"66298926948961"</f>
        <v>66298926948961</v>
      </c>
      <c r="D3962" s="1" t="str">
        <f>"PA001"</f>
        <v>PA001</v>
      </c>
      <c r="E3962" s="1" t="s">
        <v>17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</row>
    <row r="3963" spans="1:11" x14ac:dyDescent="0.2">
      <c r="A3963" s="1" t="s">
        <v>141</v>
      </c>
      <c r="B3963" s="1" t="s">
        <v>3636</v>
      </c>
      <c r="C3963" s="1" t="str">
        <f>"66298926990356"</f>
        <v>66298926990356</v>
      </c>
      <c r="D3963" s="1" t="str">
        <f>"PA008"</f>
        <v>PA008</v>
      </c>
      <c r="E3963" s="1" t="s">
        <v>17</v>
      </c>
      <c r="F3963" s="1">
        <v>9</v>
      </c>
      <c r="G3963" s="1">
        <v>405</v>
      </c>
      <c r="H3963" s="1">
        <v>3645</v>
      </c>
      <c r="I3963" s="1">
        <v>0</v>
      </c>
      <c r="J3963" s="1">
        <v>9</v>
      </c>
      <c r="K3963" s="1">
        <v>0</v>
      </c>
    </row>
    <row r="3964" spans="1:11" x14ac:dyDescent="0.2">
      <c r="A3964" s="1" t="s">
        <v>141</v>
      </c>
      <c r="B3964" s="1" t="s">
        <v>3637</v>
      </c>
      <c r="C3964" s="1" t="str">
        <f>"66298927036172"</f>
        <v>66298927036172</v>
      </c>
      <c r="D3964" s="1" t="str">
        <f>"PA004"</f>
        <v>PA004</v>
      </c>
      <c r="E3964" s="1" t="s">
        <v>17</v>
      </c>
      <c r="F3964" s="1">
        <v>7</v>
      </c>
      <c r="G3964" s="1">
        <v>190</v>
      </c>
      <c r="H3964" s="1">
        <v>1330</v>
      </c>
      <c r="I3964" s="1">
        <v>0</v>
      </c>
      <c r="J3964" s="1">
        <v>7</v>
      </c>
      <c r="K3964" s="1">
        <v>0</v>
      </c>
    </row>
    <row r="3965" spans="1:11" x14ac:dyDescent="0.2">
      <c r="A3965" s="1" t="s">
        <v>141</v>
      </c>
      <c r="B3965" s="1" t="s">
        <v>3637</v>
      </c>
      <c r="C3965" s="1" t="str">
        <f>"66298927042572"</f>
        <v>66298927042572</v>
      </c>
      <c r="D3965" s="1" t="str">
        <f>"PA005"</f>
        <v>PA005</v>
      </c>
      <c r="E3965" s="1" t="s">
        <v>17</v>
      </c>
      <c r="F3965" s="1">
        <v>9</v>
      </c>
      <c r="G3965" s="1">
        <v>186</v>
      </c>
      <c r="H3965" s="1">
        <v>1674</v>
      </c>
      <c r="I3965" s="1">
        <v>0</v>
      </c>
      <c r="J3965" s="1">
        <v>9</v>
      </c>
      <c r="K3965" s="1">
        <v>0</v>
      </c>
    </row>
    <row r="3966" spans="1:11" x14ac:dyDescent="0.2">
      <c r="A3966" s="1" t="s">
        <v>1156</v>
      </c>
      <c r="B3966" s="1" t="s">
        <v>3638</v>
      </c>
      <c r="C3966" s="1" t="str">
        <f>"NF003"</f>
        <v>NF003</v>
      </c>
      <c r="D3966" s="1" t="str">
        <f>"NF003"</f>
        <v>NF003</v>
      </c>
      <c r="E3966" s="1" t="s">
        <v>17</v>
      </c>
      <c r="F3966" s="1">
        <v>1</v>
      </c>
      <c r="G3966" s="1">
        <v>8586.0499999999993</v>
      </c>
      <c r="H3966" s="1">
        <v>8586</v>
      </c>
      <c r="I3966" s="1">
        <v>0</v>
      </c>
      <c r="J3966" s="1">
        <v>1</v>
      </c>
      <c r="K3966" s="1">
        <v>0</v>
      </c>
    </row>
    <row r="3967" spans="1:11" x14ac:dyDescent="0.2">
      <c r="A3967" s="1" t="s">
        <v>3639</v>
      </c>
      <c r="B3967" s="1" t="s">
        <v>3640</v>
      </c>
      <c r="C3967" s="1" t="str">
        <f>"N009"</f>
        <v>N009</v>
      </c>
      <c r="D3967" s="1" t="str">
        <f>"N009"</f>
        <v>N009</v>
      </c>
      <c r="E3967" s="1" t="s">
        <v>17</v>
      </c>
      <c r="F3967" s="1">
        <v>4</v>
      </c>
      <c r="G3967" s="1">
        <v>9846</v>
      </c>
      <c r="H3967" s="1">
        <v>39384</v>
      </c>
      <c r="I3967" s="1">
        <v>0</v>
      </c>
      <c r="J3967" s="1">
        <v>4</v>
      </c>
      <c r="K3967" s="1">
        <v>0</v>
      </c>
    </row>
    <row r="3968" spans="1:11" x14ac:dyDescent="0.2">
      <c r="A3968" s="1" t="s">
        <v>1156</v>
      </c>
      <c r="B3968" s="1" t="s">
        <v>3641</v>
      </c>
      <c r="C3968" s="1" t="str">
        <f>"NF002"</f>
        <v>NF002</v>
      </c>
      <c r="D3968" s="1" t="str">
        <f>"NF002"</f>
        <v>NF002</v>
      </c>
      <c r="E3968" s="1" t="s">
        <v>17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</row>
    <row r="3969" spans="1:11" x14ac:dyDescent="0.2">
      <c r="A3969" s="1" t="s">
        <v>1156</v>
      </c>
      <c r="B3969" s="1" t="s">
        <v>3642</v>
      </c>
      <c r="C3969" s="1" t="str">
        <f>"NF005"</f>
        <v>NF005</v>
      </c>
      <c r="D3969" s="1" t="str">
        <f>"NF005"</f>
        <v>NF005</v>
      </c>
      <c r="E3969" s="1" t="s">
        <v>17</v>
      </c>
      <c r="F3969" s="1">
        <v>12</v>
      </c>
      <c r="G3969" s="1">
        <v>4239</v>
      </c>
      <c r="H3969" s="1">
        <v>50868</v>
      </c>
      <c r="I3969" s="1">
        <v>0</v>
      </c>
      <c r="J3969" s="1">
        <v>12</v>
      </c>
      <c r="K3969" s="1">
        <v>0</v>
      </c>
    </row>
    <row r="3970" spans="1:11" x14ac:dyDescent="0.2">
      <c r="A3970" s="1" t="s">
        <v>1156</v>
      </c>
      <c r="B3970" s="1" t="s">
        <v>3643</v>
      </c>
      <c r="C3970" s="1" t="str">
        <f>"NF004"</f>
        <v>NF004</v>
      </c>
      <c r="D3970" s="1" t="str">
        <f>"NF004"</f>
        <v>NF004</v>
      </c>
      <c r="E3970" s="1" t="s">
        <v>17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</row>
    <row r="3971" spans="1:11" x14ac:dyDescent="0.2">
      <c r="A3971" s="1" t="s">
        <v>3639</v>
      </c>
      <c r="B3971" s="1" t="s">
        <v>3644</v>
      </c>
      <c r="C3971" s="1" t="str">
        <f>"CR1S-F11-18"</f>
        <v>CR1S-F11-18</v>
      </c>
      <c r="D3971" s="1" t="str">
        <f>"CR1S-F11-18"</f>
        <v>CR1S-F11-18</v>
      </c>
      <c r="E3971" s="1" t="s">
        <v>17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</row>
    <row r="3972" spans="1:11" x14ac:dyDescent="0.2">
      <c r="A3972" s="1" t="s">
        <v>1156</v>
      </c>
      <c r="B3972" s="1" t="s">
        <v>3645</v>
      </c>
      <c r="C3972" s="1" t="str">
        <f>"66298927096929"</f>
        <v>66298927096929</v>
      </c>
      <c r="D3972" s="1" t="str">
        <f>"JL-1312-25"</f>
        <v>JL-1312-25</v>
      </c>
      <c r="E3972" s="1" t="s">
        <v>17</v>
      </c>
      <c r="F3972" s="1">
        <v>2</v>
      </c>
      <c r="G3972" s="1">
        <v>6352</v>
      </c>
      <c r="H3972" s="1">
        <v>12704</v>
      </c>
      <c r="I3972" s="1">
        <v>0</v>
      </c>
      <c r="J3972" s="1">
        <v>2</v>
      </c>
      <c r="K3972" s="1">
        <v>0</v>
      </c>
    </row>
    <row r="3973" spans="1:11" x14ac:dyDescent="0.2">
      <c r="A3973" s="1" t="s">
        <v>18</v>
      </c>
      <c r="B3973" s="1" t="s">
        <v>3646</v>
      </c>
      <c r="C3973" s="1" t="str">
        <f>"66298927136609"</f>
        <v>66298927136609</v>
      </c>
      <c r="D3973" s="1" t="str">
        <f>"390-1"</f>
        <v>390-1</v>
      </c>
      <c r="E3973" s="1" t="s">
        <v>17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</row>
    <row r="3974" spans="1:11" x14ac:dyDescent="0.2">
      <c r="A3974" s="1" t="s">
        <v>18</v>
      </c>
      <c r="B3974" s="1" t="s">
        <v>3647</v>
      </c>
      <c r="C3974" s="1" t="str">
        <f>"66298927178881"</f>
        <v>66298927178881</v>
      </c>
      <c r="D3974" s="1" t="str">
        <f>"QG036"</f>
        <v>QG036</v>
      </c>
      <c r="E3974" s="1" t="s">
        <v>17</v>
      </c>
      <c r="F3974" s="1">
        <v>4</v>
      </c>
      <c r="G3974" s="1">
        <v>2115</v>
      </c>
      <c r="H3974" s="1">
        <v>8460</v>
      </c>
      <c r="I3974" s="1">
        <v>0</v>
      </c>
      <c r="J3974" s="1">
        <v>4</v>
      </c>
      <c r="K3974" s="1">
        <v>0</v>
      </c>
    </row>
    <row r="3975" spans="1:11" x14ac:dyDescent="0.2">
      <c r="A3975" s="1" t="s">
        <v>18</v>
      </c>
      <c r="B3975" s="1" t="s">
        <v>3648</v>
      </c>
      <c r="C3975" s="1" t="str">
        <f>"QG059"</f>
        <v>QG059</v>
      </c>
      <c r="D3975" s="1" t="str">
        <f>"QG059"</f>
        <v>QG059</v>
      </c>
      <c r="E3975" s="1" t="s">
        <v>17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</row>
    <row r="3976" spans="1:11" x14ac:dyDescent="0.2">
      <c r="A3976" s="1" t="s">
        <v>18</v>
      </c>
      <c r="B3976" s="1" t="s">
        <v>3648</v>
      </c>
      <c r="C3976" s="1" t="str">
        <f>"2261"</f>
        <v>2261</v>
      </c>
      <c r="D3976" s="1" t="str">
        <f>"2261"</f>
        <v>2261</v>
      </c>
      <c r="E3976" s="1" t="s">
        <v>17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</row>
    <row r="3977" spans="1:11" x14ac:dyDescent="0.2">
      <c r="A3977" s="1" t="s">
        <v>18</v>
      </c>
      <c r="B3977" s="1" t="s">
        <v>3648</v>
      </c>
      <c r="C3977" s="1" t="str">
        <f>"PC-UNIV"</f>
        <v>PC-UNIV</v>
      </c>
      <c r="D3977" s="1" t="str">
        <f>"PC-UNIV"</f>
        <v>PC-UNIV</v>
      </c>
      <c r="E3977" s="1" t="s">
        <v>17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</row>
    <row r="3978" spans="1:11" x14ac:dyDescent="0.2">
      <c r="A3978" s="1" t="s">
        <v>18</v>
      </c>
      <c r="B3978" s="1" t="s">
        <v>3649</v>
      </c>
      <c r="C3978" s="1" t="str">
        <f>"66298927221695"</f>
        <v>66298927221695</v>
      </c>
      <c r="D3978" s="1" t="str">
        <f>"1216"</f>
        <v>1216</v>
      </c>
      <c r="E3978" s="1" t="s">
        <v>17</v>
      </c>
      <c r="F3978" s="1">
        <v>1</v>
      </c>
      <c r="G3978" s="1">
        <v>2857</v>
      </c>
      <c r="H3978" s="1">
        <v>2857</v>
      </c>
      <c r="I3978" s="1">
        <v>0</v>
      </c>
      <c r="J3978" s="1">
        <v>1</v>
      </c>
      <c r="K3978" s="1">
        <v>0</v>
      </c>
    </row>
    <row r="3979" spans="1:11" ht="30" x14ac:dyDescent="0.2">
      <c r="A3979" s="1" t="s">
        <v>18</v>
      </c>
      <c r="B3979" s="1" t="s">
        <v>3650</v>
      </c>
      <c r="C3979" s="1" t="str">
        <f>"2155"</f>
        <v>2155</v>
      </c>
      <c r="D3979" s="1" t="str">
        <f>"2155"</f>
        <v>2155</v>
      </c>
      <c r="E3979" s="1" t="s">
        <v>17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</row>
    <row r="3980" spans="1:11" ht="30" x14ac:dyDescent="0.2">
      <c r="A3980" s="1" t="s">
        <v>18</v>
      </c>
      <c r="B3980" s="1" t="s">
        <v>3650</v>
      </c>
      <c r="C3980" s="1" t="str">
        <f>"113541"</f>
        <v>113541</v>
      </c>
      <c r="D3980" s="1" t="str">
        <f>"113541"</f>
        <v>113541</v>
      </c>
      <c r="E3980" s="1" t="s">
        <v>17</v>
      </c>
      <c r="F3980" s="1">
        <v>3</v>
      </c>
      <c r="G3980" s="1">
        <v>6303</v>
      </c>
      <c r="H3980" s="1">
        <v>18909</v>
      </c>
      <c r="I3980" s="1">
        <v>0</v>
      </c>
      <c r="J3980" s="1">
        <v>3</v>
      </c>
      <c r="K3980" s="1">
        <v>0</v>
      </c>
    </row>
    <row r="3981" spans="1:11" x14ac:dyDescent="0.2">
      <c r="A3981" s="1" t="s">
        <v>18</v>
      </c>
      <c r="B3981" s="1" t="s">
        <v>3651</v>
      </c>
      <c r="C3981" s="1" t="str">
        <f>"2223"</f>
        <v>2223</v>
      </c>
      <c r="D3981" s="1" t="str">
        <f>"2223"</f>
        <v>2223</v>
      </c>
      <c r="E3981" s="1" t="s">
        <v>17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</row>
    <row r="3982" spans="1:11" x14ac:dyDescent="0.2">
      <c r="A3982" s="1" t="s">
        <v>18</v>
      </c>
      <c r="B3982" s="1" t="s">
        <v>3652</v>
      </c>
      <c r="C3982" s="1" t="str">
        <f>"115895"</f>
        <v>115895</v>
      </c>
      <c r="D3982" s="1" t="str">
        <f>"115895"</f>
        <v>115895</v>
      </c>
      <c r="E3982" s="1" t="s">
        <v>17</v>
      </c>
      <c r="F3982" s="1">
        <v>5</v>
      </c>
      <c r="G3982" s="1">
        <v>2815</v>
      </c>
      <c r="H3982" s="1">
        <v>14075</v>
      </c>
      <c r="I3982" s="1">
        <v>0</v>
      </c>
      <c r="J3982" s="1">
        <v>5</v>
      </c>
      <c r="K3982" s="1">
        <v>0</v>
      </c>
    </row>
    <row r="3983" spans="1:11" ht="30" x14ac:dyDescent="0.2">
      <c r="A3983" s="1" t="s">
        <v>1213</v>
      </c>
      <c r="B3983" s="1" t="s">
        <v>3653</v>
      </c>
      <c r="C3983" s="1" t="str">
        <f>"66298927260585"</f>
        <v>66298927260585</v>
      </c>
      <c r="D3983" s="1" t="str">
        <f>"400719"</f>
        <v>400719</v>
      </c>
      <c r="E3983" s="1" t="s">
        <v>17</v>
      </c>
      <c r="F3983" s="1">
        <v>26</v>
      </c>
      <c r="G3983" s="1">
        <v>2091</v>
      </c>
      <c r="H3983" s="1">
        <v>54366</v>
      </c>
      <c r="I3983" s="1">
        <v>0</v>
      </c>
      <c r="J3983" s="1">
        <v>26</v>
      </c>
      <c r="K3983" s="1">
        <v>0</v>
      </c>
    </row>
    <row r="3984" spans="1:11" x14ac:dyDescent="0.2">
      <c r="A3984" s="1" t="s">
        <v>1213</v>
      </c>
      <c r="B3984" s="1" t="s">
        <v>3654</v>
      </c>
      <c r="C3984" s="1" t="str">
        <f>"66298927305154"</f>
        <v>66298927305154</v>
      </c>
      <c r="D3984" s="1" t="str">
        <f>"400721"</f>
        <v>400721</v>
      </c>
      <c r="E3984" s="1" t="s">
        <v>17</v>
      </c>
      <c r="F3984" s="1">
        <v>26</v>
      </c>
      <c r="G3984" s="1">
        <v>3012</v>
      </c>
      <c r="H3984" s="1">
        <v>78312</v>
      </c>
      <c r="I3984" s="1">
        <v>0</v>
      </c>
      <c r="J3984" s="1">
        <v>26</v>
      </c>
      <c r="K3984" s="1">
        <v>0</v>
      </c>
    </row>
    <row r="3985" spans="1:11" ht="30" x14ac:dyDescent="0.2">
      <c r="A3985" s="1" t="s">
        <v>1213</v>
      </c>
      <c r="B3985" s="1" t="s">
        <v>3655</v>
      </c>
      <c r="C3985" s="1" t="str">
        <f>"66298927397245"</f>
        <v>66298927397245</v>
      </c>
      <c r="D3985" s="1" t="str">
        <f>"400722"</f>
        <v>400722</v>
      </c>
      <c r="E3985" s="1" t="s">
        <v>17</v>
      </c>
      <c r="F3985" s="1">
        <v>22</v>
      </c>
      <c r="G3985" s="1">
        <v>3675</v>
      </c>
      <c r="H3985" s="1">
        <v>80850</v>
      </c>
      <c r="I3985" s="1">
        <v>0</v>
      </c>
      <c r="J3985" s="1">
        <v>22</v>
      </c>
      <c r="K3985" s="1">
        <v>0</v>
      </c>
    </row>
    <row r="3986" spans="1:11" x14ac:dyDescent="0.2">
      <c r="A3986" s="1" t="s">
        <v>1213</v>
      </c>
      <c r="B3986" s="1" t="s">
        <v>3656</v>
      </c>
      <c r="C3986" s="1" t="str">
        <f>"66298927347843"</f>
        <v>66298927347843</v>
      </c>
      <c r="D3986" s="1" t="str">
        <f>"JG-5514-49/43"</f>
        <v>JG-5514-49/43</v>
      </c>
      <c r="E3986" s="1" t="s">
        <v>17</v>
      </c>
      <c r="F3986" s="1">
        <v>1</v>
      </c>
      <c r="G3986" s="1">
        <v>6356</v>
      </c>
      <c r="H3986" s="1">
        <v>6356</v>
      </c>
      <c r="I3986" s="1">
        <v>0</v>
      </c>
      <c r="J3986" s="1">
        <v>1</v>
      </c>
      <c r="K3986" s="1">
        <v>0</v>
      </c>
    </row>
    <row r="3987" spans="1:11" x14ac:dyDescent="0.2">
      <c r="A3987" s="1" t="s">
        <v>1213</v>
      </c>
      <c r="B3987" s="1" t="s">
        <v>3657</v>
      </c>
      <c r="C3987" s="1" t="str">
        <f>"66298927436446"</f>
        <v>66298927436446</v>
      </c>
      <c r="D3987" s="1" t="str">
        <f>"3C1-E6371-E6351"</f>
        <v>3C1-E6371-E6351</v>
      </c>
      <c r="E3987" s="1" t="s">
        <v>17</v>
      </c>
      <c r="F3987" s="1">
        <v>1</v>
      </c>
      <c r="G3987" s="1">
        <v>7652</v>
      </c>
      <c r="H3987" s="1">
        <v>7652</v>
      </c>
      <c r="I3987" s="1">
        <v>0</v>
      </c>
      <c r="J3987" s="1">
        <v>1</v>
      </c>
      <c r="K3987" s="1">
        <v>0</v>
      </c>
    </row>
    <row r="3988" spans="1:11" x14ac:dyDescent="0.2">
      <c r="A3988" s="1" t="s">
        <v>1872</v>
      </c>
      <c r="B3988" s="1" t="s">
        <v>3658</v>
      </c>
      <c r="C3988" s="1" t="str">
        <f>"66298927522931"</f>
        <v>66298927522931</v>
      </c>
      <c r="D3988" s="1" t="str">
        <f>"KB008"</f>
        <v>KB008</v>
      </c>
      <c r="E3988" s="1" t="s">
        <v>17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</row>
    <row r="3989" spans="1:11" x14ac:dyDescent="0.2">
      <c r="A3989" s="1" t="s">
        <v>1872</v>
      </c>
      <c r="B3989" s="1" t="s">
        <v>3659</v>
      </c>
      <c r="C3989" s="1" t="str">
        <f>"66298927481506"</f>
        <v>66298927481506</v>
      </c>
      <c r="D3989" s="1" t="str">
        <f>"KB007"</f>
        <v>KB007</v>
      </c>
      <c r="E3989" s="1" t="s">
        <v>17</v>
      </c>
      <c r="F3989" s="1">
        <v>24</v>
      </c>
      <c r="G3989" s="1">
        <v>1367</v>
      </c>
      <c r="H3989" s="1">
        <v>32808</v>
      </c>
      <c r="I3989" s="1">
        <v>0</v>
      </c>
      <c r="J3989" s="1">
        <v>24</v>
      </c>
      <c r="K3989" s="1">
        <v>0</v>
      </c>
    </row>
    <row r="3990" spans="1:11" x14ac:dyDescent="0.2">
      <c r="A3990" s="1" t="s">
        <v>2004</v>
      </c>
      <c r="B3990" s="1" t="s">
        <v>3660</v>
      </c>
      <c r="C3990" s="1" t="str">
        <f>"A150"</f>
        <v>A150</v>
      </c>
      <c r="D3990" s="1" t="str">
        <f>"A150"</f>
        <v>A150</v>
      </c>
      <c r="E3990" s="1" t="s">
        <v>17</v>
      </c>
      <c r="F3990" s="1">
        <v>1</v>
      </c>
      <c r="G3990" s="1">
        <v>9350</v>
      </c>
      <c r="H3990" s="1">
        <v>9350</v>
      </c>
      <c r="I3990" s="1">
        <v>0</v>
      </c>
      <c r="J3990" s="1">
        <v>1</v>
      </c>
      <c r="K3990" s="1">
        <v>0</v>
      </c>
    </row>
    <row r="3991" spans="1:11" x14ac:dyDescent="0.2">
      <c r="A3991" s="1" t="s">
        <v>1359</v>
      </c>
      <c r="B3991" s="1" t="s">
        <v>3661</v>
      </c>
      <c r="C3991" s="1" t="str">
        <f>"66298927562421"</f>
        <v>66298927562421</v>
      </c>
      <c r="D3991" s="1" t="str">
        <f>"BH001"</f>
        <v>BH001</v>
      </c>
      <c r="E3991" s="1" t="s">
        <v>17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</row>
    <row r="3992" spans="1:11" x14ac:dyDescent="0.2">
      <c r="A3992" s="1" t="s">
        <v>18</v>
      </c>
      <c r="B3992" s="1" t="s">
        <v>3662</v>
      </c>
      <c r="C3992" s="1" t="str">
        <f>"JC054-ROJO"</f>
        <v>JC054-ROJO</v>
      </c>
      <c r="D3992" s="1" t="str">
        <f>"JC054-ROJO"</f>
        <v>JC054-ROJO</v>
      </c>
      <c r="E3992" s="1" t="s">
        <v>17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</row>
    <row r="3993" spans="1:11" x14ac:dyDescent="0.2">
      <c r="A3993" s="1" t="s">
        <v>18</v>
      </c>
      <c r="B3993" s="1" t="s">
        <v>3663</v>
      </c>
      <c r="C3993" s="1" t="str">
        <f>"JC053-AZUL"</f>
        <v>JC053-AZUL</v>
      </c>
      <c r="D3993" s="1" t="str">
        <f>"JC053-AZUL"</f>
        <v>JC053-AZUL</v>
      </c>
      <c r="E3993" s="1" t="s">
        <v>17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</row>
    <row r="3994" spans="1:11" x14ac:dyDescent="0.2">
      <c r="A3994" s="1" t="s">
        <v>18</v>
      </c>
      <c r="B3994" s="1" t="s">
        <v>3664</v>
      </c>
      <c r="C3994" s="1" t="str">
        <f>"JC053-ROJO"</f>
        <v>JC053-ROJO</v>
      </c>
      <c r="D3994" s="1" t="str">
        <f>"JC053-ROJO"</f>
        <v>JC053-ROJO</v>
      </c>
      <c r="E3994" s="1" t="s">
        <v>17</v>
      </c>
      <c r="F3994" s="1">
        <v>1</v>
      </c>
      <c r="G3994" s="1">
        <v>1422</v>
      </c>
      <c r="H3994" s="1">
        <v>1422</v>
      </c>
      <c r="I3994" s="1">
        <v>0</v>
      </c>
      <c r="J3994" s="1">
        <v>1</v>
      </c>
      <c r="K3994" s="1">
        <v>0</v>
      </c>
    </row>
    <row r="3995" spans="1:11" x14ac:dyDescent="0.2">
      <c r="A3995" s="1" t="s">
        <v>18</v>
      </c>
      <c r="B3995" s="1" t="s">
        <v>3665</v>
      </c>
      <c r="C3995" s="1" t="str">
        <f>"JC112"</f>
        <v>JC112</v>
      </c>
      <c r="D3995" s="1" t="str">
        <f>"JC112"</f>
        <v>JC112</v>
      </c>
      <c r="E3995" s="1" t="s">
        <v>17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</row>
    <row r="3996" spans="1:11" x14ac:dyDescent="0.2">
      <c r="A3996" s="1" t="s">
        <v>3357</v>
      </c>
      <c r="B3996" s="1" t="s">
        <v>3666</v>
      </c>
      <c r="C3996" s="1" t="str">
        <f>"82049"</f>
        <v>82049</v>
      </c>
      <c r="D3996" s="1" t="str">
        <f>"82049"</f>
        <v>82049</v>
      </c>
      <c r="E3996" s="1" t="s">
        <v>17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</row>
    <row r="3997" spans="1:11" x14ac:dyDescent="0.2">
      <c r="A3997" s="1" t="s">
        <v>3357</v>
      </c>
      <c r="B3997" s="1" t="s">
        <v>3667</v>
      </c>
      <c r="C3997" s="1" t="str">
        <f>"66298927602911"</f>
        <v>66298927602911</v>
      </c>
      <c r="D3997" s="1" t="str">
        <f>"43100-KFC-790"</f>
        <v>43100-KFC-790</v>
      </c>
      <c r="E3997" s="1" t="s">
        <v>17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</row>
    <row r="3998" spans="1:11" x14ac:dyDescent="0.2">
      <c r="A3998" s="1" t="s">
        <v>3357</v>
      </c>
      <c r="B3998" s="1" t="s">
        <v>3668</v>
      </c>
      <c r="C3998" s="1" t="str">
        <f>"66298927647705"</f>
        <v>66298927647705</v>
      </c>
      <c r="D3998" s="1" t="str">
        <f>"80330"</f>
        <v>80330</v>
      </c>
      <c r="E3998" s="1" t="s">
        <v>17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</row>
    <row r="3999" spans="1:11" x14ac:dyDescent="0.2">
      <c r="A3999" s="1" t="s">
        <v>3357</v>
      </c>
      <c r="B3999" s="1" t="s">
        <v>3669</v>
      </c>
      <c r="C3999" s="1" t="str">
        <f>"66298927688979"</f>
        <v>66298927688979</v>
      </c>
      <c r="D3999" s="1" t="str">
        <f>"82826"</f>
        <v>82826</v>
      </c>
      <c r="E3999" s="1" t="s">
        <v>17</v>
      </c>
      <c r="F3999" s="1">
        <v>3</v>
      </c>
      <c r="G3999" s="1">
        <v>1215</v>
      </c>
      <c r="H3999" s="1">
        <v>3645</v>
      </c>
      <c r="I3999" s="1">
        <v>0</v>
      </c>
      <c r="J3999" s="1">
        <v>3</v>
      </c>
      <c r="K3999" s="1">
        <v>0</v>
      </c>
    </row>
    <row r="4000" spans="1:11" x14ac:dyDescent="0.2">
      <c r="A4000" s="1" t="s">
        <v>98</v>
      </c>
      <c r="B4000" s="1" t="s">
        <v>3670</v>
      </c>
      <c r="C4000" s="1" t="str">
        <f>"66298927726393"</f>
        <v>66298927726393</v>
      </c>
      <c r="D4000" s="1" t="str">
        <f>"TC001"</f>
        <v>TC001</v>
      </c>
      <c r="E4000" s="1" t="s">
        <v>17</v>
      </c>
      <c r="F4000" s="1">
        <v>9</v>
      </c>
      <c r="G4000" s="1">
        <v>326</v>
      </c>
      <c r="H4000" s="1">
        <v>2934</v>
      </c>
      <c r="I4000" s="1">
        <v>0</v>
      </c>
      <c r="J4000" s="1">
        <v>9</v>
      </c>
      <c r="K4000" s="1">
        <v>0</v>
      </c>
    </row>
    <row r="4001" spans="1:11" x14ac:dyDescent="0.2">
      <c r="A4001" s="1" t="s">
        <v>3671</v>
      </c>
      <c r="B4001" s="1" t="s">
        <v>3672</v>
      </c>
      <c r="C4001" s="1" t="str">
        <f>"PROMO"</f>
        <v>PROMO</v>
      </c>
      <c r="D4001" s="1" t="str">
        <f>"PROMO"</f>
        <v>PROMO</v>
      </c>
      <c r="E4001" s="1" t="s">
        <v>17</v>
      </c>
      <c r="F4001" s="1">
        <v>68</v>
      </c>
      <c r="G4001" s="1">
        <v>74.59</v>
      </c>
      <c r="H4001" s="1">
        <v>5072</v>
      </c>
      <c r="I4001" s="1">
        <v>0</v>
      </c>
      <c r="J4001" s="1">
        <v>68</v>
      </c>
      <c r="K4001" s="1">
        <v>0</v>
      </c>
    </row>
    <row r="4002" spans="1:11" x14ac:dyDescent="0.2">
      <c r="A4002" s="1" t="s">
        <v>18</v>
      </c>
      <c r="B4002" s="1" t="s">
        <v>3673</v>
      </c>
      <c r="C4002" s="1" t="str">
        <f>"1789"</f>
        <v>1789</v>
      </c>
      <c r="D4002" s="1" t="str">
        <f>"1789"</f>
        <v>1789</v>
      </c>
      <c r="E4002" s="1" t="s">
        <v>17</v>
      </c>
      <c r="F4002" s="1">
        <v>2</v>
      </c>
      <c r="G4002" s="1">
        <v>2731</v>
      </c>
      <c r="H4002" s="1">
        <v>5462</v>
      </c>
      <c r="I4002" s="1">
        <v>0</v>
      </c>
      <c r="J4002" s="1">
        <v>2</v>
      </c>
      <c r="K4002" s="1">
        <v>0</v>
      </c>
    </row>
    <row r="4003" spans="1:11" x14ac:dyDescent="0.2">
      <c r="A4003" s="1" t="s">
        <v>18</v>
      </c>
      <c r="B4003" s="1" t="s">
        <v>3673</v>
      </c>
      <c r="C4003" s="1" t="str">
        <f>"WA027-NEG/ROJO"</f>
        <v>WA027-NEG/ROJO</v>
      </c>
      <c r="D4003" s="1" t="str">
        <f>"WA027-NEG/ROJO"</f>
        <v>WA027-NEG/ROJO</v>
      </c>
      <c r="E4003" s="1" t="s">
        <v>17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</row>
    <row r="4004" spans="1:11" x14ac:dyDescent="0.2">
      <c r="A4004" s="1" t="s">
        <v>18</v>
      </c>
      <c r="B4004" s="1" t="s">
        <v>3674</v>
      </c>
      <c r="C4004" s="1" t="str">
        <f>"66298927765537"</f>
        <v>66298927765537</v>
      </c>
      <c r="D4004" s="1" t="str">
        <f>"MM3"</f>
        <v>MM3</v>
      </c>
      <c r="E4004" s="1" t="s">
        <v>17</v>
      </c>
      <c r="F4004" s="1">
        <v>48</v>
      </c>
      <c r="G4004" s="1">
        <v>2200</v>
      </c>
      <c r="H4004" s="1">
        <v>105600</v>
      </c>
      <c r="I4004" s="1">
        <v>0</v>
      </c>
      <c r="J4004" s="1">
        <v>48</v>
      </c>
      <c r="K4004" s="1">
        <v>0</v>
      </c>
    </row>
    <row r="4005" spans="1:11" x14ac:dyDescent="0.2">
      <c r="A4005" s="1" t="s">
        <v>18</v>
      </c>
      <c r="B4005" s="1" t="s">
        <v>3675</v>
      </c>
      <c r="C4005" s="1" t="str">
        <f>"66298927808609"</f>
        <v>66298927808609</v>
      </c>
      <c r="D4005" s="1" t="str">
        <f>"MM4"</f>
        <v>MM4</v>
      </c>
      <c r="E4005" s="1" t="s">
        <v>17</v>
      </c>
      <c r="F4005" s="1">
        <v>16</v>
      </c>
      <c r="G4005" s="1">
        <v>3200</v>
      </c>
      <c r="H4005" s="1">
        <v>51200</v>
      </c>
      <c r="I4005" s="1">
        <v>0</v>
      </c>
      <c r="J4005" s="1">
        <v>16</v>
      </c>
      <c r="K4005" s="1">
        <v>0</v>
      </c>
    </row>
    <row r="4006" spans="1:11" x14ac:dyDescent="0.2">
      <c r="A4006" s="1" t="s">
        <v>18</v>
      </c>
      <c r="B4006" s="1" t="s">
        <v>3676</v>
      </c>
      <c r="C4006" s="1" t="str">
        <f>"66298927850032"</f>
        <v>66298927850032</v>
      </c>
      <c r="D4006" s="1" t="str">
        <f>"1187-FILTRO"</f>
        <v>1187-FILTRO</v>
      </c>
      <c r="E4006" s="1" t="s">
        <v>17</v>
      </c>
      <c r="F4006" s="1">
        <v>3</v>
      </c>
      <c r="G4006" s="1">
        <v>1470</v>
      </c>
      <c r="H4006" s="1">
        <v>4410</v>
      </c>
      <c r="I4006" s="1">
        <v>0</v>
      </c>
      <c r="J4006" s="1">
        <v>3</v>
      </c>
      <c r="K4006" s="1">
        <v>0</v>
      </c>
    </row>
    <row r="4007" spans="1:11" x14ac:dyDescent="0.2">
      <c r="A4007" s="1" t="s">
        <v>18</v>
      </c>
      <c r="B4007" s="1" t="s">
        <v>3677</v>
      </c>
      <c r="C4007" s="1" t="str">
        <f>"66298927890113"</f>
        <v>66298927890113</v>
      </c>
      <c r="D4007" s="1" t="str">
        <f>"YW2013-1"</f>
        <v>YW2013-1</v>
      </c>
      <c r="E4007" s="1" t="s">
        <v>17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</row>
    <row r="4008" spans="1:11" x14ac:dyDescent="0.2">
      <c r="A4008" s="1" t="s">
        <v>18</v>
      </c>
      <c r="B4008" s="1" t="s">
        <v>3678</v>
      </c>
      <c r="C4008" s="1" t="str">
        <f>"66298927932372"</f>
        <v>66298927932372</v>
      </c>
      <c r="D4008" s="1" t="str">
        <f>"MM2"</f>
        <v>MM2</v>
      </c>
      <c r="E4008" s="1" t="s">
        <v>17</v>
      </c>
      <c r="F4008" s="1">
        <v>58</v>
      </c>
      <c r="G4008" s="1">
        <v>1600</v>
      </c>
      <c r="H4008" s="1">
        <v>92800</v>
      </c>
      <c r="I4008" s="1">
        <v>0</v>
      </c>
      <c r="J4008" s="1">
        <v>58</v>
      </c>
      <c r="K4008" s="1">
        <v>0</v>
      </c>
    </row>
    <row r="4009" spans="1:11" x14ac:dyDescent="0.2">
      <c r="A4009" s="1" t="s">
        <v>18</v>
      </c>
      <c r="B4009" s="1" t="s">
        <v>3679</v>
      </c>
      <c r="C4009" s="1" t="str">
        <f>"66298927975446"</f>
        <v>66298927975446</v>
      </c>
      <c r="D4009" s="1" t="str">
        <f>"2320-NEGRO"</f>
        <v>2320-NEGRO</v>
      </c>
      <c r="E4009" s="1" t="s">
        <v>17</v>
      </c>
      <c r="F4009" s="1">
        <v>3</v>
      </c>
      <c r="G4009" s="1">
        <v>831</v>
      </c>
      <c r="H4009" s="1">
        <v>2493</v>
      </c>
      <c r="I4009" s="1">
        <v>0</v>
      </c>
      <c r="J4009" s="1">
        <v>3</v>
      </c>
      <c r="K4009" s="1">
        <v>0</v>
      </c>
    </row>
    <row r="4010" spans="1:11" x14ac:dyDescent="0.2">
      <c r="A4010" s="1" t="s">
        <v>18</v>
      </c>
      <c r="B4010" s="1" t="s">
        <v>3680</v>
      </c>
      <c r="C4010" s="1" t="str">
        <f>"66298928024219"</f>
        <v>66298928024219</v>
      </c>
      <c r="D4010" s="1" t="str">
        <f>"116214-NEGRO"</f>
        <v>116214-NEGRO</v>
      </c>
      <c r="E4010" s="1" t="s">
        <v>17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</row>
    <row r="4011" spans="1:11" x14ac:dyDescent="0.2">
      <c r="A4011" s="1" t="s">
        <v>18</v>
      </c>
      <c r="B4011" s="1" t="s">
        <v>3680</v>
      </c>
      <c r="C4011" s="1" t="str">
        <f>"66298928030236"</f>
        <v>66298928030236</v>
      </c>
      <c r="D4011" s="1" t="str">
        <f>"116214-GRIS"</f>
        <v>116214-GRIS</v>
      </c>
      <c r="E4011" s="1" t="s">
        <v>17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</row>
    <row r="4012" spans="1:11" x14ac:dyDescent="0.2">
      <c r="A4012" s="1" t="s">
        <v>1351</v>
      </c>
      <c r="B4012" s="1" t="s">
        <v>3681</v>
      </c>
      <c r="C4012" s="1" t="str">
        <f>"Y006"</f>
        <v>Y006</v>
      </c>
      <c r="D4012" s="1" t="str">
        <f>"Y006"</f>
        <v>Y006</v>
      </c>
      <c r="E4012" s="1" t="s">
        <v>17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</row>
    <row r="4013" spans="1:11" x14ac:dyDescent="0.2">
      <c r="A4013" s="1" t="s">
        <v>1351</v>
      </c>
      <c r="B4013" s="1" t="s">
        <v>3682</v>
      </c>
      <c r="C4013" s="1" t="str">
        <f>"66298928083612"</f>
        <v>66298928083612</v>
      </c>
      <c r="D4013" s="1" t="str">
        <f>"Y293"</f>
        <v>Y293</v>
      </c>
      <c r="E4013" s="1" t="s">
        <v>17</v>
      </c>
      <c r="F4013" s="1">
        <v>2</v>
      </c>
      <c r="G4013" s="1">
        <v>9468</v>
      </c>
      <c r="H4013" s="1">
        <v>18936</v>
      </c>
      <c r="I4013" s="1">
        <v>0</v>
      </c>
      <c r="J4013" s="1">
        <v>2</v>
      </c>
      <c r="K4013" s="1">
        <v>0</v>
      </c>
    </row>
    <row r="4014" spans="1:11" x14ac:dyDescent="0.2">
      <c r="A4014" s="1" t="s">
        <v>1351</v>
      </c>
      <c r="B4014" s="1" t="s">
        <v>3683</v>
      </c>
      <c r="C4014" s="1" t="str">
        <f>"14781H2C000H000"</f>
        <v>14781H2C000H000</v>
      </c>
      <c r="D4014" s="1" t="str">
        <f>"14781H2C000H000"</f>
        <v>14781H2C000H000</v>
      </c>
      <c r="E4014" s="1" t="s">
        <v>17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</row>
    <row r="4015" spans="1:11" x14ac:dyDescent="0.2">
      <c r="A4015" s="1" t="s">
        <v>98</v>
      </c>
      <c r="B4015" s="1" t="s">
        <v>3684</v>
      </c>
      <c r="C4015" s="1" t="str">
        <f>"66298928128196"</f>
        <v>66298928128196</v>
      </c>
      <c r="D4015" s="1" t="str">
        <f>"44352H2C000H000"</f>
        <v>44352H2C000H000</v>
      </c>
      <c r="E4015" s="1" t="s">
        <v>17</v>
      </c>
      <c r="F4015" s="1">
        <v>1</v>
      </c>
      <c r="G4015" s="1">
        <v>330</v>
      </c>
      <c r="H4015" s="1">
        <v>330</v>
      </c>
      <c r="I4015" s="1">
        <v>0</v>
      </c>
      <c r="J4015" s="1">
        <v>1</v>
      </c>
      <c r="K4015" s="1">
        <v>0</v>
      </c>
    </row>
    <row r="4016" spans="1:11" x14ac:dyDescent="0.2">
      <c r="A4016" s="1" t="s">
        <v>18</v>
      </c>
      <c r="B4016" s="1" t="s">
        <v>3685</v>
      </c>
      <c r="C4016" s="1" t="str">
        <f>"3176"</f>
        <v>3176</v>
      </c>
      <c r="D4016" s="1" t="str">
        <f>"3176"</f>
        <v>3176</v>
      </c>
      <c r="E4016" s="1" t="s">
        <v>17</v>
      </c>
      <c r="F4016" s="1">
        <v>2</v>
      </c>
      <c r="G4016" s="1">
        <v>1083.99</v>
      </c>
      <c r="H4016" s="1">
        <v>2168</v>
      </c>
      <c r="I4016" s="1">
        <v>0</v>
      </c>
      <c r="J4016" s="1">
        <v>2</v>
      </c>
      <c r="K4016" s="1">
        <v>0</v>
      </c>
    </row>
    <row r="4017" spans="1:11" x14ac:dyDescent="0.2">
      <c r="A4017" s="1" t="s">
        <v>98</v>
      </c>
      <c r="B4017" s="1" t="s">
        <v>3686</v>
      </c>
      <c r="C4017" s="1" t="str">
        <f>"66298928194374"</f>
        <v>66298928194374</v>
      </c>
      <c r="D4017" s="1" t="str">
        <f>"3473-AZUL"</f>
        <v>3473-AZUL</v>
      </c>
      <c r="E4017" s="1" t="s">
        <v>17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</row>
    <row r="4018" spans="1:11" x14ac:dyDescent="0.2">
      <c r="A4018" s="1" t="s">
        <v>1351</v>
      </c>
      <c r="B4018" s="1" t="s">
        <v>3687</v>
      </c>
      <c r="C4018" s="1" t="str">
        <f>"66298928251421"</f>
        <v>66298928251421</v>
      </c>
      <c r="D4018" s="1" t="str">
        <f>"TB006"</f>
        <v>TB006</v>
      </c>
      <c r="E4018" s="1" t="s">
        <v>17</v>
      </c>
      <c r="F4018" s="1">
        <v>9</v>
      </c>
      <c r="G4018" s="1">
        <v>2771</v>
      </c>
      <c r="H4018" s="1">
        <v>24939</v>
      </c>
      <c r="I4018" s="1">
        <v>0</v>
      </c>
      <c r="J4018" s="1">
        <v>9</v>
      </c>
      <c r="K4018" s="1">
        <v>0</v>
      </c>
    </row>
    <row r="4019" spans="1:11" x14ac:dyDescent="0.2">
      <c r="A4019" s="1" t="s">
        <v>18</v>
      </c>
      <c r="B4019" s="1" t="s">
        <v>3688</v>
      </c>
      <c r="C4019" s="1" t="str">
        <f>"66298928302759"</f>
        <v>66298928302759</v>
      </c>
      <c r="D4019" s="1" t="str">
        <f>"4319-NEGRO"</f>
        <v>4319-NEGRO</v>
      </c>
      <c r="E4019" s="1" t="s">
        <v>17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</row>
    <row r="4020" spans="1:11" x14ac:dyDescent="0.2">
      <c r="A4020" s="1" t="s">
        <v>18</v>
      </c>
      <c r="B4020" s="1" t="s">
        <v>3689</v>
      </c>
      <c r="C4020" s="1" t="str">
        <f>"66298928351533"</f>
        <v>66298928351533</v>
      </c>
      <c r="D4020" s="1" t="str">
        <f>"RB003-VERDE"</f>
        <v>RB003-VERDE</v>
      </c>
      <c r="E4020" s="1" t="s">
        <v>17</v>
      </c>
      <c r="F4020" s="1">
        <v>4</v>
      </c>
      <c r="G4020" s="1">
        <v>3488</v>
      </c>
      <c r="H4020" s="1">
        <v>13952</v>
      </c>
      <c r="I4020" s="1">
        <v>0</v>
      </c>
      <c r="J4020" s="1">
        <v>4</v>
      </c>
      <c r="K4020" s="1">
        <v>0</v>
      </c>
    </row>
    <row r="4021" spans="1:11" ht="30" x14ac:dyDescent="0.2">
      <c r="A4021" s="1" t="s">
        <v>18</v>
      </c>
      <c r="B4021" s="1" t="s">
        <v>3690</v>
      </c>
      <c r="C4021" s="1" t="str">
        <f>"133088-NEGRO"</f>
        <v>133088-NEGRO</v>
      </c>
      <c r="D4021" s="1" t="str">
        <f>"133088-NEGRO"</f>
        <v>133088-NEGRO</v>
      </c>
      <c r="E4021" s="1" t="s">
        <v>17</v>
      </c>
      <c r="F4021" s="1">
        <v>9</v>
      </c>
      <c r="G4021" s="1">
        <v>9160</v>
      </c>
      <c r="H4021" s="1">
        <v>82440</v>
      </c>
      <c r="I4021" s="1">
        <v>0</v>
      </c>
      <c r="J4021" s="1">
        <v>9</v>
      </c>
      <c r="K4021" s="1">
        <v>0</v>
      </c>
    </row>
    <row r="4022" spans="1:11" ht="30" x14ac:dyDescent="0.2">
      <c r="A4022" s="1" t="s">
        <v>18</v>
      </c>
      <c r="B4022" s="1" t="s">
        <v>3691</v>
      </c>
      <c r="C4022" s="1" t="str">
        <f>"133088-ROJO"</f>
        <v>133088-ROJO</v>
      </c>
      <c r="D4022" s="1" t="str">
        <f>"133088-ROJO"</f>
        <v>133088-ROJO</v>
      </c>
      <c r="E4022" s="1" t="s">
        <v>17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</row>
    <row r="4023" spans="1:11" x14ac:dyDescent="0.2">
      <c r="A4023" s="1" t="s">
        <v>18</v>
      </c>
      <c r="B4023" s="1" t="s">
        <v>3692</v>
      </c>
      <c r="C4023" s="1" t="str">
        <f>"66298928398398"</f>
        <v>66298928398398</v>
      </c>
      <c r="D4023" s="1" t="str">
        <f>"82301"</f>
        <v>82301</v>
      </c>
      <c r="E4023" s="1" t="s">
        <v>17</v>
      </c>
      <c r="F4023" s="1">
        <v>1</v>
      </c>
      <c r="G4023" s="1">
        <v>4938</v>
      </c>
      <c r="H4023" s="1">
        <v>4938</v>
      </c>
      <c r="I4023" s="1">
        <v>0</v>
      </c>
      <c r="J4023" s="1">
        <v>1</v>
      </c>
      <c r="K4023" s="1">
        <v>0</v>
      </c>
    </row>
    <row r="4024" spans="1:11" x14ac:dyDescent="0.2">
      <c r="A4024" s="1" t="s">
        <v>18</v>
      </c>
      <c r="B4024" s="1" t="s">
        <v>3693</v>
      </c>
      <c r="C4024" s="1" t="str">
        <f>"0604-AZUL"</f>
        <v>0604-AZUL</v>
      </c>
      <c r="D4024" s="1" t="str">
        <f>"0604-AZUL"</f>
        <v>0604-AZUL</v>
      </c>
      <c r="E4024" s="1" t="s">
        <v>17</v>
      </c>
      <c r="F4024" s="1">
        <v>1</v>
      </c>
      <c r="G4024" s="1">
        <v>2176.38</v>
      </c>
      <c r="H4024" s="1">
        <v>2176</v>
      </c>
      <c r="I4024" s="1">
        <v>0</v>
      </c>
      <c r="J4024" s="1">
        <v>1</v>
      </c>
      <c r="K4024" s="1">
        <v>0</v>
      </c>
    </row>
    <row r="4025" spans="1:11" x14ac:dyDescent="0.2">
      <c r="A4025" s="1" t="s">
        <v>18</v>
      </c>
      <c r="B4025" s="1" t="s">
        <v>3694</v>
      </c>
      <c r="C4025" s="1" t="str">
        <f>"0604-NEGRO"</f>
        <v>0604-NEGRO</v>
      </c>
      <c r="D4025" s="1" t="str">
        <f>"0604-NEGRO"</f>
        <v>0604-NEGRO</v>
      </c>
      <c r="E4025" s="1" t="s">
        <v>17</v>
      </c>
      <c r="F4025" s="1">
        <v>1</v>
      </c>
      <c r="G4025" s="1">
        <v>2176.38</v>
      </c>
      <c r="H4025" s="1">
        <v>2176</v>
      </c>
      <c r="I4025" s="1">
        <v>0</v>
      </c>
      <c r="J4025" s="1">
        <v>1</v>
      </c>
      <c r="K4025" s="1">
        <v>0</v>
      </c>
    </row>
    <row r="4026" spans="1:11" x14ac:dyDescent="0.2">
      <c r="A4026" s="1" t="s">
        <v>18</v>
      </c>
      <c r="B4026" s="1" t="s">
        <v>3695</v>
      </c>
      <c r="C4026" s="1" t="str">
        <f>"0604-ROJO"</f>
        <v>0604-ROJO</v>
      </c>
      <c r="D4026" s="1" t="str">
        <f>"0604-ROJO"</f>
        <v>0604-ROJO</v>
      </c>
      <c r="E4026" s="1" t="s">
        <v>17</v>
      </c>
      <c r="F4026" s="1">
        <v>1</v>
      </c>
      <c r="G4026" s="1">
        <v>2176.38</v>
      </c>
      <c r="H4026" s="1">
        <v>2176</v>
      </c>
      <c r="I4026" s="1">
        <v>0</v>
      </c>
      <c r="J4026" s="1">
        <v>1</v>
      </c>
      <c r="K4026" s="1">
        <v>0</v>
      </c>
    </row>
    <row r="4027" spans="1:11" x14ac:dyDescent="0.2">
      <c r="A4027" s="1" t="s">
        <v>18</v>
      </c>
      <c r="B4027" s="1" t="s">
        <v>3696</v>
      </c>
      <c r="C4027" s="1" t="str">
        <f>"66298928488138"</f>
        <v>66298928488138</v>
      </c>
      <c r="D4027" s="1" t="str">
        <f>"RB008-BLANCO"</f>
        <v>RB008-BLANCO</v>
      </c>
      <c r="E4027" s="1" t="s">
        <v>17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</row>
    <row r="4028" spans="1:11" x14ac:dyDescent="0.2">
      <c r="A4028" s="1" t="s">
        <v>18</v>
      </c>
      <c r="B4028" s="1" t="s">
        <v>3697</v>
      </c>
      <c r="C4028" s="1" t="str">
        <f>"133165-AZUL"</f>
        <v>133165-AZUL</v>
      </c>
      <c r="D4028" s="1" t="str">
        <f>"133165-AZUL"</f>
        <v>133165-AZUL</v>
      </c>
      <c r="E4028" s="1" t="s">
        <v>17</v>
      </c>
      <c r="F4028" s="1">
        <v>1</v>
      </c>
      <c r="G4028" s="1">
        <v>8277</v>
      </c>
      <c r="H4028" s="1">
        <v>8277</v>
      </c>
      <c r="I4028" s="1">
        <v>0</v>
      </c>
      <c r="J4028" s="1">
        <v>1</v>
      </c>
      <c r="K4028" s="1">
        <v>0</v>
      </c>
    </row>
    <row r="4029" spans="1:11" x14ac:dyDescent="0.2">
      <c r="A4029" s="1" t="s">
        <v>18</v>
      </c>
      <c r="B4029" s="1" t="s">
        <v>3698</v>
      </c>
      <c r="C4029" s="1" t="str">
        <f>"133165-ROJO"</f>
        <v>133165-ROJO</v>
      </c>
      <c r="D4029" s="1" t="str">
        <f>"133165-ROJO"</f>
        <v>133165-ROJO</v>
      </c>
      <c r="E4029" s="1" t="s">
        <v>17</v>
      </c>
      <c r="F4029" s="1">
        <v>1</v>
      </c>
      <c r="G4029" s="1">
        <v>8277</v>
      </c>
      <c r="H4029" s="1">
        <v>8277</v>
      </c>
      <c r="I4029" s="1">
        <v>0</v>
      </c>
      <c r="J4029" s="1">
        <v>1</v>
      </c>
      <c r="K4029" s="1">
        <v>0</v>
      </c>
    </row>
    <row r="4030" spans="1:11" ht="30" x14ac:dyDescent="0.2">
      <c r="A4030" s="1" t="s">
        <v>18</v>
      </c>
      <c r="B4030" s="1" t="s">
        <v>3699</v>
      </c>
      <c r="C4030" s="1" t="str">
        <f>"66298928526268"</f>
        <v>66298928526268</v>
      </c>
      <c r="D4030" s="1" t="str">
        <f>"RB009-CAFE"</f>
        <v>RB009-CAFE</v>
      </c>
      <c r="E4030" s="1" t="s">
        <v>17</v>
      </c>
      <c r="F4030" s="1">
        <v>7</v>
      </c>
      <c r="G4030" s="1">
        <v>5692</v>
      </c>
      <c r="H4030" s="1">
        <v>39844</v>
      </c>
      <c r="I4030" s="1">
        <v>0</v>
      </c>
      <c r="J4030" s="1">
        <v>7</v>
      </c>
      <c r="K4030" s="1">
        <v>0</v>
      </c>
    </row>
    <row r="4031" spans="1:11" ht="30" x14ac:dyDescent="0.2">
      <c r="A4031" s="1" t="s">
        <v>18</v>
      </c>
      <c r="B4031" s="1" t="s">
        <v>3700</v>
      </c>
      <c r="C4031" s="1" t="str">
        <f>"66298928569807"</f>
        <v>66298928569807</v>
      </c>
      <c r="D4031" s="1" t="str">
        <f>"RB009-NARANJO"</f>
        <v>RB009-NARANJO</v>
      </c>
      <c r="E4031" s="1" t="s">
        <v>17</v>
      </c>
      <c r="F4031" s="1">
        <v>1</v>
      </c>
      <c r="G4031" s="1">
        <v>5692</v>
      </c>
      <c r="H4031" s="1">
        <v>5692</v>
      </c>
      <c r="I4031" s="1">
        <v>0</v>
      </c>
      <c r="J4031" s="1">
        <v>1</v>
      </c>
      <c r="K4031" s="1">
        <v>0</v>
      </c>
    </row>
    <row r="4032" spans="1:11" ht="30" x14ac:dyDescent="0.2">
      <c r="A4032" s="1" t="s">
        <v>18</v>
      </c>
      <c r="B4032" s="1" t="s">
        <v>3701</v>
      </c>
      <c r="C4032" s="1" t="str">
        <f>"CUBRE-G-NEGRO"</f>
        <v>CUBRE-G-NEGRO</v>
      </c>
      <c r="D4032" s="1" t="str">
        <f>"CUBRE-G-NEGRO"</f>
        <v>CUBRE-G-NEGRO</v>
      </c>
      <c r="E4032" s="1" t="s">
        <v>17</v>
      </c>
      <c r="F4032" s="1">
        <v>3</v>
      </c>
      <c r="G4032" s="1">
        <v>3592.69</v>
      </c>
      <c r="H4032" s="1">
        <v>10778</v>
      </c>
      <c r="I4032" s="1">
        <v>0</v>
      </c>
      <c r="J4032" s="1">
        <v>3</v>
      </c>
      <c r="K4032" s="1">
        <v>0</v>
      </c>
    </row>
    <row r="4033" spans="1:11" x14ac:dyDescent="0.2">
      <c r="A4033" s="1" t="s">
        <v>18</v>
      </c>
      <c r="B4033" s="1" t="s">
        <v>3702</v>
      </c>
      <c r="C4033" s="1" t="str">
        <f>"CUBRE-G-ROJO"</f>
        <v>CUBRE-G-ROJO</v>
      </c>
      <c r="D4033" s="1" t="str">
        <f>"CUBRE-G-ROJO"</f>
        <v>CUBRE-G-ROJO</v>
      </c>
      <c r="E4033" s="1" t="s">
        <v>17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</row>
    <row r="4034" spans="1:11" ht="30" x14ac:dyDescent="0.2">
      <c r="A4034" s="1" t="s">
        <v>18</v>
      </c>
      <c r="B4034" s="1" t="s">
        <v>3703</v>
      </c>
      <c r="C4034" s="1" t="str">
        <f>"CUBRE-P-BLANCO"</f>
        <v>CUBRE-P-BLANCO</v>
      </c>
      <c r="D4034" s="1" t="str">
        <f>"CUBRE-P-BLANCO"</f>
        <v>CUBRE-P-BLANCO</v>
      </c>
      <c r="E4034" s="1" t="s">
        <v>17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</row>
    <row r="4035" spans="1:11" ht="30" x14ac:dyDescent="0.2">
      <c r="A4035" s="1" t="s">
        <v>18</v>
      </c>
      <c r="B4035" s="1" t="s">
        <v>3704</v>
      </c>
      <c r="C4035" s="1" t="str">
        <f>"CUBRE-P-NEGRO"</f>
        <v>CUBRE-P-NEGRO</v>
      </c>
      <c r="D4035" s="1" t="str">
        <f>"CUBRE-P-NEGRO"</f>
        <v>CUBRE-P-NEGRO</v>
      </c>
      <c r="E4035" s="1" t="s">
        <v>17</v>
      </c>
      <c r="F4035" s="1">
        <v>3</v>
      </c>
      <c r="G4035" s="1">
        <v>1995.83</v>
      </c>
      <c r="H4035" s="1">
        <v>5987</v>
      </c>
      <c r="I4035" s="1">
        <v>0</v>
      </c>
      <c r="J4035" s="1">
        <v>3</v>
      </c>
      <c r="K4035" s="1">
        <v>0</v>
      </c>
    </row>
    <row r="4036" spans="1:11" x14ac:dyDescent="0.2">
      <c r="A4036" s="1" t="s">
        <v>18</v>
      </c>
      <c r="B4036" s="1" t="s">
        <v>3705</v>
      </c>
      <c r="C4036" s="1" t="str">
        <f>"55882"</f>
        <v>55882</v>
      </c>
      <c r="D4036" s="1" t="str">
        <f>"55882"</f>
        <v>55882</v>
      </c>
      <c r="E4036" s="1" t="s">
        <v>17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</row>
    <row r="4037" spans="1:11" x14ac:dyDescent="0.2">
      <c r="A4037" s="1" t="s">
        <v>18</v>
      </c>
      <c r="B4037" s="1" t="s">
        <v>3705</v>
      </c>
      <c r="C4037" s="1" t="str">
        <f>"55883"</f>
        <v>55883</v>
      </c>
      <c r="D4037" s="1" t="str">
        <f>"55883"</f>
        <v>55883</v>
      </c>
      <c r="E4037" s="1" t="s">
        <v>17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</row>
    <row r="4038" spans="1:11" x14ac:dyDescent="0.2">
      <c r="A4038" s="1" t="s">
        <v>18</v>
      </c>
      <c r="B4038" s="1" t="s">
        <v>3705</v>
      </c>
      <c r="C4038" s="1" t="str">
        <f>"RB003"</f>
        <v>RB003</v>
      </c>
      <c r="D4038" s="1" t="str">
        <f>"RB003"</f>
        <v>RB003</v>
      </c>
      <c r="E4038" s="1" t="s">
        <v>17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</row>
    <row r="4039" spans="1:11" x14ac:dyDescent="0.2">
      <c r="A4039" s="1" t="s">
        <v>18</v>
      </c>
      <c r="B4039" s="1" t="s">
        <v>3706</v>
      </c>
      <c r="C4039" s="1" t="str">
        <f>"66298928612281"</f>
        <v>66298928612281</v>
      </c>
      <c r="D4039" s="1" t="str">
        <f>"RB012-AZUL"</f>
        <v>RB012-AZUL</v>
      </c>
      <c r="E4039" s="1" t="s">
        <v>17</v>
      </c>
      <c r="F4039" s="1">
        <v>3</v>
      </c>
      <c r="G4039" s="1">
        <v>11502</v>
      </c>
      <c r="H4039" s="1">
        <v>34506</v>
      </c>
      <c r="I4039" s="1">
        <v>0</v>
      </c>
      <c r="J4039" s="1">
        <v>3</v>
      </c>
      <c r="K4039" s="1">
        <v>0</v>
      </c>
    </row>
    <row r="4040" spans="1:11" ht="30" x14ac:dyDescent="0.2">
      <c r="A4040" s="1" t="s">
        <v>18</v>
      </c>
      <c r="B4040" s="1" t="s">
        <v>3707</v>
      </c>
      <c r="C4040" s="1" t="str">
        <f>"66298928657123"</f>
        <v>66298928657123</v>
      </c>
      <c r="D4040" s="1" t="str">
        <f>"RB012-NARANJA"</f>
        <v>RB012-NARANJA</v>
      </c>
      <c r="E4040" s="1" t="s">
        <v>17</v>
      </c>
      <c r="F4040" s="1">
        <v>12</v>
      </c>
      <c r="G4040" s="1">
        <v>11885</v>
      </c>
      <c r="H4040" s="1">
        <v>142620</v>
      </c>
      <c r="I4040" s="1">
        <v>0</v>
      </c>
      <c r="J4040" s="1">
        <v>12</v>
      </c>
      <c r="K4040" s="1">
        <v>0</v>
      </c>
    </row>
    <row r="4041" spans="1:11" x14ac:dyDescent="0.2">
      <c r="A4041" s="1" t="s">
        <v>18</v>
      </c>
      <c r="B4041" s="1" t="s">
        <v>3708</v>
      </c>
      <c r="C4041" s="1" t="str">
        <f>"66298928697047"</f>
        <v>66298928697047</v>
      </c>
      <c r="D4041" s="1" t="str">
        <f>"RB012-NEGRO"</f>
        <v>RB012-NEGRO</v>
      </c>
      <c r="E4041" s="1" t="s">
        <v>17</v>
      </c>
      <c r="F4041" s="1">
        <v>8</v>
      </c>
      <c r="G4041" s="1">
        <v>11502</v>
      </c>
      <c r="H4041" s="1">
        <v>92016</v>
      </c>
      <c r="I4041" s="1">
        <v>0</v>
      </c>
      <c r="J4041" s="1">
        <v>8</v>
      </c>
      <c r="K4041" s="1">
        <v>0</v>
      </c>
    </row>
    <row r="4042" spans="1:11" x14ac:dyDescent="0.2">
      <c r="A4042" s="1" t="s">
        <v>18</v>
      </c>
      <c r="B4042" s="1" t="s">
        <v>3709</v>
      </c>
      <c r="C4042" s="1" t="str">
        <f>"66298928738602"</f>
        <v>66298928738602</v>
      </c>
      <c r="D4042" s="1" t="str">
        <f>"RB012-VERDE"</f>
        <v>RB012-VERDE</v>
      </c>
      <c r="E4042" s="1" t="s">
        <v>17</v>
      </c>
      <c r="F4042" s="1">
        <v>18</v>
      </c>
      <c r="G4042" s="1">
        <v>11885</v>
      </c>
      <c r="H4042" s="1">
        <v>213930</v>
      </c>
      <c r="I4042" s="1">
        <v>0</v>
      </c>
      <c r="J4042" s="1">
        <v>18</v>
      </c>
      <c r="K4042" s="1">
        <v>0</v>
      </c>
    </row>
    <row r="4043" spans="1:11" x14ac:dyDescent="0.2">
      <c r="A4043" s="1" t="s">
        <v>18</v>
      </c>
      <c r="B4043" s="1" t="s">
        <v>3710</v>
      </c>
      <c r="C4043" s="1" t="str">
        <f>"66298928781827"</f>
        <v>66298928781827</v>
      </c>
      <c r="D4043" s="1" t="str">
        <f>"82304"</f>
        <v>82304</v>
      </c>
      <c r="E4043" s="1" t="s">
        <v>17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</row>
    <row r="4044" spans="1:11" x14ac:dyDescent="0.2">
      <c r="A4044" s="1" t="s">
        <v>98</v>
      </c>
      <c r="B4044" s="1" t="s">
        <v>3711</v>
      </c>
      <c r="C4044" s="1" t="str">
        <f>"66502509408827"</f>
        <v>66502509408827</v>
      </c>
      <c r="D4044" s="1" t="str">
        <f>"PRUASV"</f>
        <v>PRUASV</v>
      </c>
      <c r="E4044" s="1" t="s">
        <v>17</v>
      </c>
      <c r="F4044" s="1">
        <v>42</v>
      </c>
      <c r="G4044" s="1">
        <v>133.18</v>
      </c>
      <c r="H4044" s="1">
        <v>5593</v>
      </c>
      <c r="I4044" s="1">
        <v>0</v>
      </c>
      <c r="J4044" s="1">
        <v>42</v>
      </c>
      <c r="K4044" s="1">
        <v>0</v>
      </c>
    </row>
    <row r="4045" spans="1:11" x14ac:dyDescent="0.2">
      <c r="A4045" s="1" t="s">
        <v>98</v>
      </c>
      <c r="B4045" s="1" t="s">
        <v>3712</v>
      </c>
      <c r="C4045" s="1" t="str">
        <f>"66298928822232"</f>
        <v>66298928822232</v>
      </c>
      <c r="D4045" s="1" t="str">
        <f>"PRUEBA-1"</f>
        <v>PRUEBA-1</v>
      </c>
      <c r="E4045" s="1" t="s">
        <v>17</v>
      </c>
      <c r="F4045" s="1">
        <v>8</v>
      </c>
      <c r="G4045" s="1">
        <v>1</v>
      </c>
      <c r="H4045" s="1">
        <v>8</v>
      </c>
      <c r="I4045" s="1">
        <v>0</v>
      </c>
      <c r="J4045" s="1">
        <v>8</v>
      </c>
      <c r="K4045" s="1">
        <v>0</v>
      </c>
    </row>
    <row r="4046" spans="1:11" x14ac:dyDescent="0.2">
      <c r="A4046" s="1" t="s">
        <v>98</v>
      </c>
      <c r="B4046" s="1" t="s">
        <v>3713</v>
      </c>
      <c r="C4046" s="1" t="str">
        <f>"66298928863388"</f>
        <v>66298928863388</v>
      </c>
      <c r="D4046" s="1" t="str">
        <f>"PRUEBA-2"</f>
        <v>PRUEBA-2</v>
      </c>
      <c r="E4046" s="1" t="s">
        <v>17</v>
      </c>
      <c r="F4046" s="1">
        <v>3</v>
      </c>
      <c r="G4046" s="1">
        <v>1</v>
      </c>
      <c r="H4046" s="1">
        <v>3</v>
      </c>
      <c r="I4046" s="1">
        <v>0</v>
      </c>
      <c r="J4046" s="1">
        <v>3</v>
      </c>
      <c r="K4046" s="1">
        <v>0</v>
      </c>
    </row>
    <row r="4047" spans="1:11" x14ac:dyDescent="0.2">
      <c r="A4047" s="1" t="s">
        <v>98</v>
      </c>
      <c r="B4047" s="1" t="s">
        <v>3714</v>
      </c>
      <c r="C4047" s="1" t="str">
        <f>"66298928903605"</f>
        <v>66298928903605</v>
      </c>
      <c r="D4047" s="1" t="str">
        <f>"PRUEBA-3"</f>
        <v>PRUEBA-3</v>
      </c>
      <c r="E4047" s="1" t="s">
        <v>17</v>
      </c>
      <c r="F4047" s="1">
        <v>4</v>
      </c>
      <c r="G4047" s="1">
        <v>1</v>
      </c>
      <c r="H4047" s="1">
        <v>4</v>
      </c>
      <c r="I4047" s="1">
        <v>0</v>
      </c>
      <c r="J4047" s="1">
        <v>4</v>
      </c>
      <c r="K4047" s="1">
        <v>0</v>
      </c>
    </row>
    <row r="4048" spans="1:11" x14ac:dyDescent="0.2">
      <c r="A4048" s="1" t="s">
        <v>98</v>
      </c>
      <c r="B4048" s="1" t="s">
        <v>3715</v>
      </c>
      <c r="C4048" s="1" t="str">
        <f>"66298928995746"</f>
        <v>66298928995746</v>
      </c>
      <c r="D4048" s="1" t="str">
        <f>"PROVEEDOR-1"</f>
        <v>PROVEEDOR-1</v>
      </c>
      <c r="E4048" s="1" t="s">
        <v>17</v>
      </c>
      <c r="F4048" s="1">
        <v>20</v>
      </c>
      <c r="G4048" s="1">
        <v>1000</v>
      </c>
      <c r="H4048" s="1">
        <v>20000</v>
      </c>
      <c r="I4048" s="1">
        <v>0</v>
      </c>
      <c r="J4048" s="1">
        <v>20</v>
      </c>
      <c r="K4048" s="1">
        <v>0</v>
      </c>
    </row>
    <row r="4049" spans="1:11" x14ac:dyDescent="0.2">
      <c r="A4049" s="1" t="s">
        <v>18</v>
      </c>
      <c r="B4049" s="1" t="s">
        <v>3716</v>
      </c>
      <c r="C4049" s="1" t="str">
        <f>"7335"</f>
        <v>7335</v>
      </c>
      <c r="D4049" s="1" t="str">
        <f>"7335"</f>
        <v>7335</v>
      </c>
      <c r="E4049" s="1" t="s">
        <v>17</v>
      </c>
      <c r="F4049" s="1">
        <v>30</v>
      </c>
      <c r="G4049" s="1">
        <v>1093.83</v>
      </c>
      <c r="H4049" s="1">
        <v>32815</v>
      </c>
      <c r="I4049" s="1">
        <v>0</v>
      </c>
      <c r="J4049" s="1">
        <v>30</v>
      </c>
      <c r="K4049" s="1">
        <v>0</v>
      </c>
    </row>
    <row r="4050" spans="1:11" x14ac:dyDescent="0.2">
      <c r="A4050" s="1" t="s">
        <v>18</v>
      </c>
      <c r="B4050" s="1" t="s">
        <v>3717</v>
      </c>
      <c r="C4050" s="1" t="str">
        <f>"ZZE009-NEGRO"</f>
        <v>ZZE009-NEGRO</v>
      </c>
      <c r="D4050" s="1" t="str">
        <f>"ZZE009-NEGRO"</f>
        <v>ZZE009-NEGRO</v>
      </c>
      <c r="E4050" s="1" t="s">
        <v>17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</row>
    <row r="4051" spans="1:11" x14ac:dyDescent="0.2">
      <c r="A4051" s="1" t="s">
        <v>18</v>
      </c>
      <c r="B4051" s="1" t="s">
        <v>3718</v>
      </c>
      <c r="C4051" s="1" t="str">
        <f>"66298929038391"</f>
        <v>66298929038391</v>
      </c>
      <c r="D4051" s="1" t="str">
        <f>"WJ005"</f>
        <v>WJ005</v>
      </c>
      <c r="E4051" s="1" t="s">
        <v>17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</row>
    <row r="4052" spans="1:11" x14ac:dyDescent="0.2">
      <c r="A4052" s="1" t="s">
        <v>18</v>
      </c>
      <c r="B4052" s="1" t="s">
        <v>3719</v>
      </c>
      <c r="C4052" s="1" t="str">
        <f>"66298929305412"</f>
        <v>66298929305412</v>
      </c>
      <c r="D4052" s="1" t="str">
        <f>"J039-ROJO"</f>
        <v>J039-ROJO</v>
      </c>
      <c r="E4052" s="1" t="s">
        <v>17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</row>
    <row r="4053" spans="1:11" x14ac:dyDescent="0.2">
      <c r="A4053" s="1" t="s">
        <v>18</v>
      </c>
      <c r="B4053" s="1" t="s">
        <v>3720</v>
      </c>
      <c r="C4053" s="1" t="str">
        <f>"0296-AZUL"</f>
        <v>0296-AZUL</v>
      </c>
      <c r="D4053" s="1" t="str">
        <f>"0296-AZUL"</f>
        <v>0296-AZUL</v>
      </c>
      <c r="E4053" s="1" t="s">
        <v>17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</row>
    <row r="4054" spans="1:11" x14ac:dyDescent="0.2">
      <c r="A4054" s="1" t="s">
        <v>18</v>
      </c>
      <c r="B4054" s="1" t="s">
        <v>3721</v>
      </c>
      <c r="C4054" s="1" t="str">
        <f>"0296-DORADO"</f>
        <v>0296-DORADO</v>
      </c>
      <c r="D4054" s="1" t="str">
        <f>"0296-DORADO"</f>
        <v>0296-DORADO</v>
      </c>
      <c r="E4054" s="1" t="s">
        <v>17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</row>
    <row r="4055" spans="1:11" x14ac:dyDescent="0.2">
      <c r="A4055" s="1" t="s">
        <v>18</v>
      </c>
      <c r="B4055" s="1" t="s">
        <v>3722</v>
      </c>
      <c r="C4055" s="1" t="str">
        <f>"0296-NEGRO"</f>
        <v>0296-NEGRO</v>
      </c>
      <c r="D4055" s="1" t="str">
        <f>"0296-NEGRO"</f>
        <v>0296-NEGRO</v>
      </c>
      <c r="E4055" s="1" t="s">
        <v>17</v>
      </c>
      <c r="F4055" s="1">
        <v>7</v>
      </c>
      <c r="G4055" s="1">
        <v>3655</v>
      </c>
      <c r="H4055" s="1">
        <v>25585</v>
      </c>
      <c r="I4055" s="1">
        <v>0</v>
      </c>
      <c r="J4055" s="1">
        <v>7</v>
      </c>
      <c r="K4055" s="1">
        <v>0</v>
      </c>
    </row>
    <row r="4056" spans="1:11" ht="30" x14ac:dyDescent="0.2">
      <c r="A4056" s="1" t="s">
        <v>18</v>
      </c>
      <c r="B4056" s="1" t="s">
        <v>3723</v>
      </c>
      <c r="C4056" s="1" t="str">
        <f>"0296-PLATEADO"</f>
        <v>0296-PLATEADO</v>
      </c>
      <c r="D4056" s="1" t="str">
        <f>"0296-PLATEADO"</f>
        <v>0296-PLATEADO</v>
      </c>
      <c r="E4056" s="1" t="s">
        <v>17</v>
      </c>
      <c r="F4056" s="1">
        <v>1</v>
      </c>
      <c r="G4056" s="1">
        <v>3352.81</v>
      </c>
      <c r="H4056" s="1">
        <v>3353</v>
      </c>
      <c r="I4056" s="1">
        <v>0</v>
      </c>
      <c r="J4056" s="1">
        <v>1</v>
      </c>
      <c r="K4056" s="1">
        <v>0</v>
      </c>
    </row>
    <row r="4057" spans="1:11" x14ac:dyDescent="0.2">
      <c r="A4057" s="1" t="s">
        <v>18</v>
      </c>
      <c r="B4057" s="1" t="s">
        <v>3724</v>
      </c>
      <c r="C4057" s="1" t="str">
        <f>"0296-ROJO"</f>
        <v>0296-ROJO</v>
      </c>
      <c r="D4057" s="1" t="str">
        <f>"0296-ROJO"</f>
        <v>0296-ROJO</v>
      </c>
      <c r="E4057" s="1" t="s">
        <v>17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</row>
    <row r="4058" spans="1:11" ht="30" x14ac:dyDescent="0.2">
      <c r="A4058" s="1" t="s">
        <v>18</v>
      </c>
      <c r="B4058" s="1" t="s">
        <v>3725</v>
      </c>
      <c r="C4058" s="1" t="str">
        <f>"DSB-AMARILLO"</f>
        <v>DSB-AMARILLO</v>
      </c>
      <c r="D4058" s="1" t="str">
        <f>"DBS-AMARILLO"</f>
        <v>DBS-AMARILLO</v>
      </c>
      <c r="E4058" s="1" t="s">
        <v>17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</row>
    <row r="4059" spans="1:11" x14ac:dyDescent="0.2">
      <c r="A4059" s="1" t="s">
        <v>18</v>
      </c>
      <c r="B4059" s="1" t="s">
        <v>3726</v>
      </c>
      <c r="C4059" s="1" t="str">
        <f>"DBS-AZUL"</f>
        <v>DBS-AZUL</v>
      </c>
      <c r="D4059" s="1" t="str">
        <f>"DBS-AZUL"</f>
        <v>DBS-AZUL</v>
      </c>
      <c r="E4059" s="1" t="s">
        <v>17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</row>
    <row r="4060" spans="1:11" x14ac:dyDescent="0.2">
      <c r="A4060" s="1" t="s">
        <v>18</v>
      </c>
      <c r="B4060" s="1" t="s">
        <v>3727</v>
      </c>
      <c r="C4060" s="1" t="str">
        <f>"DBS-NARANJO"</f>
        <v>DBS-NARANJO</v>
      </c>
      <c r="D4060" s="1" t="str">
        <f>"DBS-NARANJO"</f>
        <v>DBS-NARANJO</v>
      </c>
      <c r="E4060" s="1" t="s">
        <v>17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</row>
    <row r="4061" spans="1:11" x14ac:dyDescent="0.2">
      <c r="A4061" s="1" t="s">
        <v>18</v>
      </c>
      <c r="B4061" s="1" t="s">
        <v>3728</v>
      </c>
      <c r="C4061" s="1" t="str">
        <f>"DBS-ROJO"</f>
        <v>DBS-ROJO</v>
      </c>
      <c r="D4061" s="1" t="str">
        <f>"DBS-ROJO"</f>
        <v>DBS-ROJO</v>
      </c>
      <c r="E4061" s="1" t="s">
        <v>17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</row>
    <row r="4062" spans="1:11" x14ac:dyDescent="0.2">
      <c r="A4062" s="1" t="s">
        <v>18</v>
      </c>
      <c r="B4062" s="1" t="s">
        <v>3729</v>
      </c>
      <c r="C4062" s="1" t="str">
        <f>"4739-AZUL"</f>
        <v>4739-AZUL</v>
      </c>
      <c r="D4062" s="1" t="str">
        <f>"4739-AZUL"</f>
        <v>4739-AZUL</v>
      </c>
      <c r="E4062" s="1" t="s">
        <v>17</v>
      </c>
      <c r="F4062" s="1">
        <v>1</v>
      </c>
      <c r="G4062" s="1">
        <v>1672.2</v>
      </c>
      <c r="H4062" s="1">
        <v>1672</v>
      </c>
      <c r="I4062" s="1">
        <v>0</v>
      </c>
      <c r="J4062" s="1">
        <v>1</v>
      </c>
      <c r="K4062" s="1">
        <v>0</v>
      </c>
    </row>
    <row r="4063" spans="1:11" x14ac:dyDescent="0.2">
      <c r="A4063" s="1" t="s">
        <v>18</v>
      </c>
      <c r="B4063" s="1" t="s">
        <v>3730</v>
      </c>
      <c r="C4063" s="1" t="str">
        <f>"4739-DORADO"</f>
        <v>4739-DORADO</v>
      </c>
      <c r="D4063" s="1" t="str">
        <f>"4739-DORADO"</f>
        <v>4739-DORADO</v>
      </c>
      <c r="E4063" s="1" t="s">
        <v>17</v>
      </c>
      <c r="F4063" s="1">
        <v>0</v>
      </c>
      <c r="G4063" s="1">
        <v>0</v>
      </c>
      <c r="H4063" s="1">
        <v>0</v>
      </c>
      <c r="I4063" s="1">
        <v>1</v>
      </c>
      <c r="J4063" s="1">
        <v>-1</v>
      </c>
      <c r="K4063" s="1">
        <v>0</v>
      </c>
    </row>
    <row r="4064" spans="1:11" x14ac:dyDescent="0.2">
      <c r="A4064" s="1" t="s">
        <v>18</v>
      </c>
      <c r="B4064" s="1" t="s">
        <v>3731</v>
      </c>
      <c r="C4064" s="1" t="str">
        <f>"4739-NEGRO"</f>
        <v>4739-NEGRO</v>
      </c>
      <c r="D4064" s="1" t="str">
        <f>"4739-NEGRO"</f>
        <v>4739-NEGRO</v>
      </c>
      <c r="E4064" s="1" t="s">
        <v>17</v>
      </c>
      <c r="F4064" s="1">
        <v>1</v>
      </c>
      <c r="G4064" s="1">
        <v>1672.2</v>
      </c>
      <c r="H4064" s="1">
        <v>1672</v>
      </c>
      <c r="I4064" s="1">
        <v>0</v>
      </c>
      <c r="J4064" s="1">
        <v>1</v>
      </c>
      <c r="K4064" s="1">
        <v>0</v>
      </c>
    </row>
    <row r="4065" spans="1:11" x14ac:dyDescent="0.2">
      <c r="A4065" s="1" t="s">
        <v>18</v>
      </c>
      <c r="B4065" s="1" t="s">
        <v>3732</v>
      </c>
      <c r="C4065" s="1" t="str">
        <f>"4739-PLATEADO"</f>
        <v>4739-PLATEADO</v>
      </c>
      <c r="D4065" s="1" t="str">
        <f>"4739-PLATEADO"</f>
        <v>4739-PLATEADO</v>
      </c>
      <c r="E4065" s="1" t="s">
        <v>17</v>
      </c>
      <c r="F4065" s="1">
        <v>1</v>
      </c>
      <c r="G4065" s="1">
        <v>1672.2</v>
      </c>
      <c r="H4065" s="1">
        <v>1672</v>
      </c>
      <c r="I4065" s="1">
        <v>0</v>
      </c>
      <c r="J4065" s="1">
        <v>1</v>
      </c>
      <c r="K4065" s="1">
        <v>0</v>
      </c>
    </row>
    <row r="4066" spans="1:11" x14ac:dyDescent="0.2">
      <c r="A4066" s="1" t="s">
        <v>18</v>
      </c>
      <c r="B4066" s="1" t="s">
        <v>3733</v>
      </c>
      <c r="C4066" s="1" t="str">
        <f>"4739-ROJO"</f>
        <v>4739-ROJO</v>
      </c>
      <c r="D4066" s="1" t="str">
        <f>"4739-ROJO"</f>
        <v>4739-ROJO</v>
      </c>
      <c r="E4066" s="1" t="s">
        <v>17</v>
      </c>
      <c r="F4066" s="1">
        <v>1</v>
      </c>
      <c r="G4066" s="1">
        <v>1672.2</v>
      </c>
      <c r="H4066" s="1">
        <v>1672</v>
      </c>
      <c r="I4066" s="1">
        <v>0</v>
      </c>
      <c r="J4066" s="1">
        <v>1</v>
      </c>
      <c r="K4066" s="1">
        <v>0</v>
      </c>
    </row>
    <row r="4067" spans="1:11" x14ac:dyDescent="0.2">
      <c r="A4067" s="1" t="s">
        <v>18</v>
      </c>
      <c r="B4067" s="1" t="s">
        <v>3734</v>
      </c>
      <c r="C4067" s="1" t="str">
        <f>"66298929242820"</f>
        <v>66298929242820</v>
      </c>
      <c r="D4067" s="1" t="str">
        <f>"J021"</f>
        <v>J021</v>
      </c>
      <c r="E4067" s="1" t="s">
        <v>17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</row>
    <row r="4068" spans="1:11" x14ac:dyDescent="0.2">
      <c r="A4068" s="1" t="s">
        <v>18</v>
      </c>
      <c r="B4068" s="1" t="s">
        <v>3734</v>
      </c>
      <c r="C4068" s="1" t="str">
        <f>"66298929250383"</f>
        <v>66298929250383</v>
      </c>
      <c r="D4068" s="1" t="str">
        <f>"J020"</f>
        <v>J020</v>
      </c>
      <c r="E4068" s="1" t="s">
        <v>17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</row>
    <row r="4069" spans="1:11" x14ac:dyDescent="0.2">
      <c r="A4069" s="1" t="s">
        <v>18</v>
      </c>
      <c r="B4069" s="1" t="s">
        <v>3734</v>
      </c>
      <c r="C4069" s="1" t="str">
        <f>"JA004"</f>
        <v>JA004</v>
      </c>
      <c r="D4069" s="1" t="str">
        <f>"JA004"</f>
        <v>JA004</v>
      </c>
      <c r="E4069" s="1" t="s">
        <v>17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</row>
    <row r="4070" spans="1:11" x14ac:dyDescent="0.2">
      <c r="A4070" s="1" t="s">
        <v>18</v>
      </c>
      <c r="B4070" s="1" t="s">
        <v>3734</v>
      </c>
      <c r="C4070" s="1" t="str">
        <f>"J065"</f>
        <v>J065</v>
      </c>
      <c r="D4070" s="1" t="str">
        <f>"J065"</f>
        <v>J065</v>
      </c>
      <c r="E4070" s="1" t="s">
        <v>17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</row>
    <row r="4071" spans="1:11" x14ac:dyDescent="0.2">
      <c r="A4071" s="1" t="s">
        <v>18</v>
      </c>
      <c r="B4071" s="1" t="s">
        <v>3734</v>
      </c>
      <c r="C4071" s="1" t="str">
        <f>"J064"</f>
        <v>J064</v>
      </c>
      <c r="D4071" s="1" t="str">
        <f>"J064"</f>
        <v>J064</v>
      </c>
      <c r="E4071" s="1" t="s">
        <v>17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</row>
    <row r="4072" spans="1:11" x14ac:dyDescent="0.2">
      <c r="A4072" s="1" t="s">
        <v>18</v>
      </c>
      <c r="B4072" s="1" t="s">
        <v>3734</v>
      </c>
      <c r="C4072" s="1" t="str">
        <f>"J062"</f>
        <v>J062</v>
      </c>
      <c r="D4072" s="1" t="str">
        <f>"J062"</f>
        <v>J062</v>
      </c>
      <c r="E4072" s="1" t="s">
        <v>17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</row>
    <row r="4073" spans="1:11" x14ac:dyDescent="0.2">
      <c r="A4073" s="1" t="s">
        <v>18</v>
      </c>
      <c r="B4073" s="1" t="s">
        <v>3734</v>
      </c>
      <c r="C4073" s="1" t="str">
        <f>"J054"</f>
        <v>J054</v>
      </c>
      <c r="D4073" s="1" t="str">
        <f>"J054"</f>
        <v>J054</v>
      </c>
      <c r="E4073" s="1" t="s">
        <v>17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</row>
    <row r="4074" spans="1:11" x14ac:dyDescent="0.2">
      <c r="A4074" s="1" t="s">
        <v>18</v>
      </c>
      <c r="B4074" s="1" t="s">
        <v>3734</v>
      </c>
      <c r="C4074" s="1" t="str">
        <f>"AC015A"</f>
        <v>AC015A</v>
      </c>
      <c r="D4074" s="1" t="str">
        <f>"AC015A"</f>
        <v>AC015A</v>
      </c>
      <c r="E4074" s="1" t="s">
        <v>17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</row>
    <row r="4075" spans="1:11" x14ac:dyDescent="0.2">
      <c r="A4075" s="1" t="s">
        <v>18</v>
      </c>
      <c r="B4075" s="1" t="s">
        <v>3734</v>
      </c>
      <c r="C4075" s="1" t="str">
        <f>"AC015R"</f>
        <v>AC015R</v>
      </c>
      <c r="D4075" s="1" t="str">
        <f>"AC015R"</f>
        <v>AC015R</v>
      </c>
      <c r="E4075" s="1" t="s">
        <v>17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</row>
    <row r="4076" spans="1:11" x14ac:dyDescent="0.2">
      <c r="A4076" s="1" t="s">
        <v>18</v>
      </c>
      <c r="B4076" s="1" t="s">
        <v>3735</v>
      </c>
      <c r="C4076" s="1" t="str">
        <f>"66298929350225"</f>
        <v>66298929350225</v>
      </c>
      <c r="D4076" s="1" t="str">
        <f>"400799"</f>
        <v>400799</v>
      </c>
      <c r="E4076" s="1" t="s">
        <v>17</v>
      </c>
      <c r="F4076" s="1">
        <v>18</v>
      </c>
      <c r="G4076" s="1">
        <v>1096</v>
      </c>
      <c r="H4076" s="1">
        <v>19728</v>
      </c>
      <c r="I4076" s="1">
        <v>0</v>
      </c>
      <c r="J4076" s="1">
        <v>18</v>
      </c>
      <c r="K4076" s="1">
        <v>0</v>
      </c>
    </row>
    <row r="4077" spans="1:11" x14ac:dyDescent="0.2">
      <c r="A4077" s="1" t="s">
        <v>18</v>
      </c>
      <c r="B4077" s="1" t="s">
        <v>3736</v>
      </c>
      <c r="C4077" s="1" t="str">
        <f>"66298929394285"</f>
        <v>66298929394285</v>
      </c>
      <c r="D4077" s="1" t="str">
        <f>"400798"</f>
        <v>400798</v>
      </c>
      <c r="E4077" s="1" t="s">
        <v>17</v>
      </c>
      <c r="F4077" s="1">
        <v>26</v>
      </c>
      <c r="G4077" s="1">
        <v>1237</v>
      </c>
      <c r="H4077" s="1">
        <v>32162</v>
      </c>
      <c r="I4077" s="1">
        <v>0</v>
      </c>
      <c r="J4077" s="1">
        <v>26</v>
      </c>
      <c r="K4077" s="1">
        <v>0</v>
      </c>
    </row>
    <row r="4078" spans="1:11" x14ac:dyDescent="0.2">
      <c r="A4078" s="1" t="s">
        <v>18</v>
      </c>
      <c r="B4078" s="1" t="s">
        <v>3737</v>
      </c>
      <c r="C4078" s="1" t="str">
        <f>"66298929432449"</f>
        <v>66298929432449</v>
      </c>
      <c r="D4078" s="1" t="str">
        <f>"400797"</f>
        <v>400797</v>
      </c>
      <c r="E4078" s="1" t="s">
        <v>17</v>
      </c>
      <c r="F4078" s="1">
        <v>3</v>
      </c>
      <c r="G4078" s="1">
        <v>582</v>
      </c>
      <c r="H4078" s="1">
        <v>1746</v>
      </c>
      <c r="I4078" s="1">
        <v>0</v>
      </c>
      <c r="J4078" s="1">
        <v>3</v>
      </c>
      <c r="K4078" s="1">
        <v>0</v>
      </c>
    </row>
    <row r="4079" spans="1:11" x14ac:dyDescent="0.2">
      <c r="A4079" s="1" t="s">
        <v>18</v>
      </c>
      <c r="B4079" s="1" t="s">
        <v>3738</v>
      </c>
      <c r="C4079" s="1" t="str">
        <f>"66298929469556"</f>
        <v>66298929469556</v>
      </c>
      <c r="D4079" s="1" t="str">
        <f>"82062"</f>
        <v>82062</v>
      </c>
      <c r="E4079" s="1" t="s">
        <v>17</v>
      </c>
      <c r="F4079" s="1">
        <v>2</v>
      </c>
      <c r="G4079" s="1">
        <v>1814</v>
      </c>
      <c r="H4079" s="1">
        <v>3628</v>
      </c>
      <c r="I4079" s="1">
        <v>0</v>
      </c>
      <c r="J4079" s="1">
        <v>2</v>
      </c>
      <c r="K4079" s="1">
        <v>0</v>
      </c>
    </row>
    <row r="4080" spans="1:11" x14ac:dyDescent="0.2">
      <c r="A4080" s="1" t="s">
        <v>18</v>
      </c>
      <c r="B4080" s="1" t="s">
        <v>3739</v>
      </c>
      <c r="C4080" s="1" t="str">
        <f>"JA003"</f>
        <v>JA003</v>
      </c>
      <c r="D4080" s="1" t="str">
        <f>"JA003"</f>
        <v>JA003</v>
      </c>
      <c r="E4080" s="1" t="s">
        <v>17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</row>
    <row r="4081" spans="1:11" x14ac:dyDescent="0.2">
      <c r="A4081" s="1" t="s">
        <v>18</v>
      </c>
      <c r="B4081" s="1" t="s">
        <v>3739</v>
      </c>
      <c r="C4081" s="1" t="str">
        <f>"JA005"</f>
        <v>JA005</v>
      </c>
      <c r="D4081" s="1" t="str">
        <f>"JA005"</f>
        <v>JA005</v>
      </c>
      <c r="E4081" s="1" t="s">
        <v>17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</row>
    <row r="4082" spans="1:11" x14ac:dyDescent="0.2">
      <c r="A4082" s="1" t="s">
        <v>18</v>
      </c>
      <c r="B4082" s="1" t="s">
        <v>3740</v>
      </c>
      <c r="C4082" s="1" t="str">
        <f>"66298929516470"</f>
        <v>66298929516470</v>
      </c>
      <c r="D4082" s="1" t="str">
        <f>"C071"</f>
        <v>C071</v>
      </c>
      <c r="E4082" s="1" t="s">
        <v>17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</row>
    <row r="4083" spans="1:11" x14ac:dyDescent="0.2">
      <c r="A4083" s="1" t="s">
        <v>18</v>
      </c>
      <c r="B4083" s="1" t="s">
        <v>3741</v>
      </c>
      <c r="C4083" s="1" t="str">
        <f>"0116-AMARILLO"</f>
        <v>0116-AMARILLO</v>
      </c>
      <c r="D4083" s="1" t="str">
        <f>"0116-AMARILLO"</f>
        <v>0116-AMARILLO</v>
      </c>
      <c r="E4083" s="1" t="s">
        <v>17</v>
      </c>
      <c r="F4083" s="1">
        <v>2</v>
      </c>
      <c r="G4083" s="1">
        <v>1588.17</v>
      </c>
      <c r="H4083" s="1">
        <v>3176</v>
      </c>
      <c r="I4083" s="1">
        <v>0</v>
      </c>
      <c r="J4083" s="1">
        <v>2</v>
      </c>
      <c r="K4083" s="1">
        <v>0</v>
      </c>
    </row>
    <row r="4084" spans="1:11" x14ac:dyDescent="0.2">
      <c r="A4084" s="1" t="s">
        <v>18</v>
      </c>
      <c r="B4084" s="1" t="s">
        <v>3742</v>
      </c>
      <c r="C4084" s="1" t="str">
        <f>"0116-ROJO"</f>
        <v>0116-ROJO</v>
      </c>
      <c r="D4084" s="1" t="str">
        <f>"0116-ROJO"</f>
        <v>0116-ROJO</v>
      </c>
      <c r="E4084" s="1" t="s">
        <v>17</v>
      </c>
      <c r="F4084" s="1">
        <v>2</v>
      </c>
      <c r="G4084" s="1">
        <v>1588.17</v>
      </c>
      <c r="H4084" s="1">
        <v>3176</v>
      </c>
      <c r="I4084" s="1">
        <v>0</v>
      </c>
      <c r="J4084" s="1">
        <v>2</v>
      </c>
      <c r="K4084" s="1">
        <v>0</v>
      </c>
    </row>
    <row r="4085" spans="1:11" x14ac:dyDescent="0.2">
      <c r="A4085" s="1" t="s">
        <v>18</v>
      </c>
      <c r="B4085" s="1" t="s">
        <v>3743</v>
      </c>
      <c r="C4085" s="1" t="str">
        <f>"66298929556263"</f>
        <v>66298929556263</v>
      </c>
      <c r="D4085" s="1" t="str">
        <f>"400800"</f>
        <v>400800</v>
      </c>
      <c r="E4085" s="1" t="s">
        <v>17</v>
      </c>
      <c r="F4085" s="1">
        <v>10</v>
      </c>
      <c r="G4085" s="1">
        <v>649</v>
      </c>
      <c r="H4085" s="1">
        <v>6490</v>
      </c>
      <c r="I4085" s="1">
        <v>0</v>
      </c>
      <c r="J4085" s="1">
        <v>10</v>
      </c>
      <c r="K4085" s="1">
        <v>0</v>
      </c>
    </row>
    <row r="4086" spans="1:11" x14ac:dyDescent="0.2">
      <c r="A4086" s="1" t="s">
        <v>18</v>
      </c>
      <c r="B4086" s="1" t="s">
        <v>3744</v>
      </c>
      <c r="C4086" s="1" t="str">
        <f>"RIZO-AZUL"</f>
        <v>RIZO-AZUL</v>
      </c>
      <c r="D4086" s="1" t="str">
        <f>"RIZO-AZUL"</f>
        <v>RIZO-AZUL</v>
      </c>
      <c r="E4086" s="1" t="s">
        <v>17</v>
      </c>
      <c r="F4086" s="1">
        <v>3</v>
      </c>
      <c r="G4086" s="1">
        <v>1756.67</v>
      </c>
      <c r="H4086" s="1">
        <v>5270</v>
      </c>
      <c r="I4086" s="1">
        <v>0</v>
      </c>
      <c r="J4086" s="1">
        <v>3</v>
      </c>
      <c r="K4086" s="1">
        <v>0</v>
      </c>
    </row>
    <row r="4087" spans="1:11" x14ac:dyDescent="0.2">
      <c r="A4087" s="1" t="s">
        <v>18</v>
      </c>
      <c r="B4087" s="1" t="s">
        <v>3745</v>
      </c>
      <c r="C4087" s="1" t="str">
        <f>"RIZO-DORADOV"</f>
        <v>RIZO-DORADOV</v>
      </c>
      <c r="D4087" s="1" t="str">
        <f>"RIZO-DORADO"</f>
        <v>RIZO-DORADO</v>
      </c>
      <c r="E4087" s="1" t="s">
        <v>17</v>
      </c>
      <c r="F4087" s="1">
        <v>4</v>
      </c>
      <c r="G4087" s="1">
        <v>1756.67</v>
      </c>
      <c r="H4087" s="1">
        <v>7027</v>
      </c>
      <c r="I4087" s="1">
        <v>0</v>
      </c>
      <c r="J4087" s="1">
        <v>4</v>
      </c>
      <c r="K4087" s="1">
        <v>0</v>
      </c>
    </row>
    <row r="4088" spans="1:11" x14ac:dyDescent="0.2">
      <c r="A4088" s="1" t="s">
        <v>18</v>
      </c>
      <c r="B4088" s="1" t="s">
        <v>3746</v>
      </c>
      <c r="C4088" s="1" t="str">
        <f>"RIZO-NEGRO"</f>
        <v>RIZO-NEGRO</v>
      </c>
      <c r="D4088" s="1" t="str">
        <f>"RIZO-NEGRO"</f>
        <v>RIZO-NEGRO</v>
      </c>
      <c r="E4088" s="1" t="s">
        <v>17</v>
      </c>
      <c r="F4088" s="1">
        <v>2</v>
      </c>
      <c r="G4088" s="1">
        <v>1756.67</v>
      </c>
      <c r="H4088" s="1">
        <v>3513</v>
      </c>
      <c r="I4088" s="1">
        <v>0</v>
      </c>
      <c r="J4088" s="1">
        <v>2</v>
      </c>
      <c r="K4088" s="1">
        <v>0</v>
      </c>
    </row>
    <row r="4089" spans="1:11" x14ac:dyDescent="0.2">
      <c r="A4089" s="1" t="s">
        <v>18</v>
      </c>
      <c r="B4089" s="1" t="s">
        <v>3747</v>
      </c>
      <c r="C4089" s="1" t="str">
        <f>"RIZO-PLATEADO"</f>
        <v>RIZO-PLATEADO</v>
      </c>
      <c r="D4089" s="1" t="str">
        <f>"RIZO-PLATEADO"</f>
        <v>RIZO-PLATEADO</v>
      </c>
      <c r="E4089" s="1" t="s">
        <v>17</v>
      </c>
      <c r="F4089" s="1">
        <v>3</v>
      </c>
      <c r="G4089" s="1">
        <v>1756.67</v>
      </c>
      <c r="H4089" s="1">
        <v>5270</v>
      </c>
      <c r="I4089" s="1">
        <v>0</v>
      </c>
      <c r="J4089" s="1">
        <v>3</v>
      </c>
      <c r="K4089" s="1">
        <v>0</v>
      </c>
    </row>
    <row r="4090" spans="1:11" x14ac:dyDescent="0.2">
      <c r="A4090" s="1" t="s">
        <v>18</v>
      </c>
      <c r="B4090" s="1" t="s">
        <v>3748</v>
      </c>
      <c r="C4090" s="1" t="str">
        <f>"RIZO-ROJO"</f>
        <v>RIZO-ROJO</v>
      </c>
      <c r="D4090" s="1" t="str">
        <f>"RIZO-ROJO"</f>
        <v>RIZO-ROJO</v>
      </c>
      <c r="E4090" s="1" t="s">
        <v>17</v>
      </c>
      <c r="F4090" s="1">
        <v>2</v>
      </c>
      <c r="G4090" s="1">
        <v>1756.67</v>
      </c>
      <c r="H4090" s="1">
        <v>3513</v>
      </c>
      <c r="I4090" s="1">
        <v>0</v>
      </c>
      <c r="J4090" s="1">
        <v>2</v>
      </c>
      <c r="K4090" s="1">
        <v>0</v>
      </c>
    </row>
    <row r="4091" spans="1:11" x14ac:dyDescent="0.2">
      <c r="A4091" s="1" t="s">
        <v>18</v>
      </c>
      <c r="B4091" s="1" t="s">
        <v>3749</v>
      </c>
      <c r="C4091" s="1" t="str">
        <f>"66298929595675"</f>
        <v>66298929595675</v>
      </c>
      <c r="D4091" s="1" t="str">
        <f>"0052P-NEGRO"</f>
        <v>0052P-NEGRO</v>
      </c>
      <c r="E4091" s="1" t="s">
        <v>17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</row>
    <row r="4092" spans="1:11" x14ac:dyDescent="0.2">
      <c r="A4092" s="1" t="s">
        <v>98</v>
      </c>
      <c r="B4092" s="1" t="s">
        <v>3750</v>
      </c>
      <c r="C4092" s="1" t="str">
        <f>"56270H2C010H000"</f>
        <v>56270H2C010H000</v>
      </c>
      <c r="D4092" s="1" t="str">
        <f>"56270H2C010H000"</f>
        <v>56270H2C010H000</v>
      </c>
      <c r="E4092" s="1" t="s">
        <v>17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</row>
    <row r="4093" spans="1:11" x14ac:dyDescent="0.2">
      <c r="A4093" s="1" t="s">
        <v>98</v>
      </c>
      <c r="B4093" s="1" t="s">
        <v>3751</v>
      </c>
      <c r="C4093" s="1" t="str">
        <f>"66298929127335"</f>
        <v>66298929127335</v>
      </c>
      <c r="D4093" s="1" t="str">
        <f>"JB030-B"</f>
        <v>JB030-B</v>
      </c>
      <c r="E4093" s="1" t="s">
        <v>17</v>
      </c>
      <c r="F4093" s="1">
        <v>3</v>
      </c>
      <c r="G4093" s="1">
        <v>2186</v>
      </c>
      <c r="H4093" s="1">
        <v>6558</v>
      </c>
      <c r="I4093" s="1">
        <v>0</v>
      </c>
      <c r="J4093" s="1">
        <v>3</v>
      </c>
      <c r="K4093" s="1">
        <v>0</v>
      </c>
    </row>
    <row r="4094" spans="1:11" x14ac:dyDescent="0.2">
      <c r="A4094" s="1" t="s">
        <v>98</v>
      </c>
      <c r="B4094" s="1" t="s">
        <v>3751</v>
      </c>
      <c r="C4094" s="1" t="str">
        <f>"66298929134709"</f>
        <v>66298929134709</v>
      </c>
      <c r="D4094" s="1" t="str">
        <f>"JB030-A"</f>
        <v>JB030-A</v>
      </c>
      <c r="E4094" s="1" t="s">
        <v>17</v>
      </c>
      <c r="F4094" s="1">
        <v>1</v>
      </c>
      <c r="G4094" s="1">
        <v>2558</v>
      </c>
      <c r="H4094" s="1">
        <v>2558</v>
      </c>
      <c r="I4094" s="1">
        <v>0</v>
      </c>
      <c r="J4094" s="1">
        <v>1</v>
      </c>
      <c r="K4094" s="1">
        <v>0</v>
      </c>
    </row>
    <row r="4095" spans="1:11" x14ac:dyDescent="0.2">
      <c r="A4095" s="1" t="s">
        <v>98</v>
      </c>
      <c r="B4095" s="1" t="s">
        <v>3752</v>
      </c>
      <c r="C4095" s="1" t="str">
        <f>"66298929079455"</f>
        <v>66298929079455</v>
      </c>
      <c r="D4095" s="1" t="str">
        <f>"9656"</f>
        <v>9656</v>
      </c>
      <c r="E4095" s="1" t="s">
        <v>17</v>
      </c>
      <c r="F4095" s="1">
        <v>2</v>
      </c>
      <c r="G4095" s="1">
        <v>2143</v>
      </c>
      <c r="H4095" s="1">
        <v>4286</v>
      </c>
      <c r="I4095" s="1">
        <v>0</v>
      </c>
      <c r="J4095" s="1">
        <v>2</v>
      </c>
      <c r="K4095" s="1">
        <v>0</v>
      </c>
    </row>
    <row r="4096" spans="1:11" x14ac:dyDescent="0.2">
      <c r="A4096" s="1" t="s">
        <v>98</v>
      </c>
      <c r="B4096" s="1" t="s">
        <v>3753</v>
      </c>
      <c r="C4096" s="1" t="str">
        <f>"JB012-TORNASOL"</f>
        <v>JB012-TORNASOL</v>
      </c>
      <c r="D4096" s="1" t="str">
        <f>"JB012-TORNASOL"</f>
        <v>JB012-TORNASOL</v>
      </c>
      <c r="E4096" s="1" t="s">
        <v>17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</row>
    <row r="4097" spans="1:11" x14ac:dyDescent="0.2">
      <c r="A4097" s="1" t="s">
        <v>98</v>
      </c>
      <c r="B4097" s="1" t="s">
        <v>3754</v>
      </c>
      <c r="C4097" s="1" t="str">
        <f>"66298929197422"</f>
        <v>66298929197422</v>
      </c>
      <c r="D4097" s="1" t="str">
        <f>"JB001-AZUL"</f>
        <v>JB001-AZUL</v>
      </c>
      <c r="E4097" s="1" t="s">
        <v>17</v>
      </c>
      <c r="F4097" s="1">
        <v>1</v>
      </c>
      <c r="G4097" s="1">
        <v>2520</v>
      </c>
      <c r="H4097" s="1">
        <v>2520</v>
      </c>
      <c r="I4097" s="1">
        <v>0</v>
      </c>
      <c r="J4097" s="1">
        <v>1</v>
      </c>
      <c r="K4097" s="1">
        <v>0</v>
      </c>
    </row>
    <row r="4098" spans="1:11" x14ac:dyDescent="0.2">
      <c r="A4098" s="1" t="s">
        <v>18</v>
      </c>
      <c r="B4098" s="1" t="s">
        <v>3755</v>
      </c>
      <c r="C4098" s="1" t="str">
        <f>"JB005"</f>
        <v>JB005</v>
      </c>
      <c r="D4098" s="1" t="str">
        <f>"JB005"</f>
        <v>JB005</v>
      </c>
      <c r="E4098" s="1" t="s">
        <v>17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</row>
    <row r="4099" spans="1:11" x14ac:dyDescent="0.2">
      <c r="A4099" s="1" t="s">
        <v>18</v>
      </c>
      <c r="B4099" s="1" t="s">
        <v>3755</v>
      </c>
      <c r="C4099" s="1" t="str">
        <f>"JB007"</f>
        <v>JB007</v>
      </c>
      <c r="D4099" s="1" t="str">
        <f>"JB007"</f>
        <v>JB007</v>
      </c>
      <c r="E4099" s="1" t="s">
        <v>17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</row>
    <row r="4100" spans="1:11" x14ac:dyDescent="0.2">
      <c r="A4100" s="1" t="s">
        <v>18</v>
      </c>
      <c r="B4100" s="1" t="s">
        <v>3755</v>
      </c>
      <c r="C4100" s="1" t="str">
        <f>"JB009"</f>
        <v>JB009</v>
      </c>
      <c r="D4100" s="1" t="str">
        <f>"JB009"</f>
        <v>JB009</v>
      </c>
      <c r="E4100" s="1" t="s">
        <v>17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</row>
    <row r="4101" spans="1:11" x14ac:dyDescent="0.2">
      <c r="A4101" s="1" t="s">
        <v>18</v>
      </c>
      <c r="B4101" s="1" t="s">
        <v>3755</v>
      </c>
      <c r="C4101" s="1" t="str">
        <f>"JB010"</f>
        <v>JB010</v>
      </c>
      <c r="D4101" s="1" t="str">
        <f>"JB010"</f>
        <v>JB010</v>
      </c>
      <c r="E4101" s="1" t="s">
        <v>17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</row>
    <row r="4102" spans="1:11" x14ac:dyDescent="0.2">
      <c r="A4102" s="1" t="s">
        <v>98</v>
      </c>
      <c r="B4102" s="1" t="s">
        <v>3756</v>
      </c>
      <c r="C4102" s="1" t="str">
        <f>"JB010-AZUL"</f>
        <v>JB010-AZUL</v>
      </c>
      <c r="D4102" s="1" t="str">
        <f>"JB010-AZUL"</f>
        <v>JB010-AZUL</v>
      </c>
      <c r="E4102" s="1" t="s">
        <v>17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</row>
    <row r="4103" spans="1:11" x14ac:dyDescent="0.2">
      <c r="A4103" s="1" t="s">
        <v>98</v>
      </c>
      <c r="B4103" s="1" t="s">
        <v>3757</v>
      </c>
      <c r="C4103" s="1" t="str">
        <f>"JB010-DORADO"</f>
        <v>JB010-DORADO</v>
      </c>
      <c r="D4103" s="1" t="str">
        <f>"JB010-DORADO"</f>
        <v>JB010-DORADO</v>
      </c>
      <c r="E4103" s="1" t="s">
        <v>17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</row>
    <row r="4104" spans="1:11" x14ac:dyDescent="0.2">
      <c r="A4104" s="1" t="s">
        <v>98</v>
      </c>
      <c r="B4104" s="1" t="s">
        <v>3758</v>
      </c>
      <c r="C4104" s="1" t="str">
        <f>"JB010-NEGRO"</f>
        <v>JB010-NEGRO</v>
      </c>
      <c r="D4104" s="1" t="str">
        <f>"JB010-NEGRO"</f>
        <v>JB010-NEGRO</v>
      </c>
      <c r="E4104" s="1" t="s">
        <v>17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</row>
    <row r="4105" spans="1:11" x14ac:dyDescent="0.2">
      <c r="A4105" s="1" t="s">
        <v>98</v>
      </c>
      <c r="B4105" s="1" t="s">
        <v>3759</v>
      </c>
      <c r="C4105" s="1" t="str">
        <f>"JB010-ROJO"</f>
        <v>JB010-ROJO</v>
      </c>
      <c r="D4105" s="1" t="str">
        <f>"JB010-ROJO"</f>
        <v>JB010-ROJO</v>
      </c>
      <c r="E4105" s="1" t="s">
        <v>17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</row>
    <row r="4106" spans="1:11" x14ac:dyDescent="0.2">
      <c r="A4106" s="1" t="s">
        <v>98</v>
      </c>
      <c r="B4106" s="1" t="s">
        <v>3760</v>
      </c>
      <c r="C4106" s="1" t="str">
        <f>"66298929636548"</f>
        <v>66298929636548</v>
      </c>
      <c r="D4106" s="1" t="str">
        <f>"006441-KRH-900"</f>
        <v>006441-KRH-900</v>
      </c>
      <c r="E4106" s="1" t="s">
        <v>17</v>
      </c>
      <c r="F4106" s="1">
        <v>1</v>
      </c>
      <c r="G4106" s="1">
        <v>265</v>
      </c>
      <c r="H4106" s="1">
        <v>265</v>
      </c>
      <c r="I4106" s="1">
        <v>0</v>
      </c>
      <c r="J4106" s="1">
        <v>1</v>
      </c>
      <c r="K4106" s="1">
        <v>0</v>
      </c>
    </row>
    <row r="4107" spans="1:11" x14ac:dyDescent="0.2">
      <c r="A4107" s="1" t="s">
        <v>98</v>
      </c>
      <c r="B4107" s="1" t="s">
        <v>3761</v>
      </c>
      <c r="C4107" s="1" t="str">
        <f>"66298929677666"</f>
        <v>66298929677666</v>
      </c>
      <c r="D4107" s="1" t="str">
        <f>"44604-KPE-900GH"</f>
        <v>44604-KPE-900GH</v>
      </c>
      <c r="E4107" s="1" t="s">
        <v>17</v>
      </c>
      <c r="F4107" s="1">
        <v>5</v>
      </c>
      <c r="G4107" s="1">
        <v>424</v>
      </c>
      <c r="H4107" s="1">
        <v>2120</v>
      </c>
      <c r="I4107" s="1">
        <v>0</v>
      </c>
      <c r="J4107" s="1">
        <v>5</v>
      </c>
      <c r="K4107" s="1">
        <v>0</v>
      </c>
    </row>
    <row r="4108" spans="1:11" x14ac:dyDescent="0.2">
      <c r="A4108" s="1" t="s">
        <v>98</v>
      </c>
      <c r="B4108" s="1" t="s">
        <v>3762</v>
      </c>
      <c r="C4108" s="1" t="str">
        <f>"66298929720636"</f>
        <v>66298929720636</v>
      </c>
      <c r="D4108" s="1" t="str">
        <f>"RAYO-13CMS"</f>
        <v>RAYO-13CMS</v>
      </c>
      <c r="E4108" s="1" t="s">
        <v>17</v>
      </c>
      <c r="F4108" s="1">
        <v>1</v>
      </c>
      <c r="G4108" s="1">
        <v>190</v>
      </c>
      <c r="H4108" s="1">
        <v>190</v>
      </c>
      <c r="I4108" s="1">
        <v>0</v>
      </c>
      <c r="J4108" s="1">
        <v>1</v>
      </c>
      <c r="K4108" s="1">
        <v>0</v>
      </c>
    </row>
    <row r="4109" spans="1:11" x14ac:dyDescent="0.2">
      <c r="A4109" s="1" t="s">
        <v>98</v>
      </c>
      <c r="B4109" s="1" t="s">
        <v>3763</v>
      </c>
      <c r="C4109" s="1" t="str">
        <f>"66298929765796"</f>
        <v>66298929765796</v>
      </c>
      <c r="D4109" s="1" t="str">
        <f>"80948"</f>
        <v>80948</v>
      </c>
      <c r="E4109" s="1" t="s">
        <v>17</v>
      </c>
      <c r="F4109" s="1">
        <v>6</v>
      </c>
      <c r="G4109" s="1">
        <v>1066</v>
      </c>
      <c r="H4109" s="1">
        <v>6396</v>
      </c>
      <c r="I4109" s="1">
        <v>0</v>
      </c>
      <c r="J4109" s="1">
        <v>6</v>
      </c>
      <c r="K4109" s="1">
        <v>0</v>
      </c>
    </row>
    <row r="4110" spans="1:11" x14ac:dyDescent="0.2">
      <c r="A4110" s="1" t="s">
        <v>98</v>
      </c>
      <c r="B4110" s="1" t="s">
        <v>3764</v>
      </c>
      <c r="C4110" s="1" t="str">
        <f>"66298929806890"</f>
        <v>66298929806890</v>
      </c>
      <c r="D4110" s="1" t="str">
        <f>"80949"</f>
        <v>80949</v>
      </c>
      <c r="E4110" s="1" t="s">
        <v>17</v>
      </c>
      <c r="F4110" s="1">
        <v>2</v>
      </c>
      <c r="G4110" s="1">
        <v>1450</v>
      </c>
      <c r="H4110" s="1">
        <v>2900</v>
      </c>
      <c r="I4110" s="1">
        <v>0</v>
      </c>
      <c r="J4110" s="1">
        <v>2</v>
      </c>
      <c r="K4110" s="1">
        <v>0</v>
      </c>
    </row>
    <row r="4111" spans="1:11" x14ac:dyDescent="0.2">
      <c r="A4111" s="1" t="s">
        <v>98</v>
      </c>
      <c r="B4111" s="1" t="s">
        <v>3765</v>
      </c>
      <c r="C4111" s="1" t="str">
        <f>"66298929851605"</f>
        <v>66298929851605</v>
      </c>
      <c r="D4111" s="1" t="str">
        <f>"82619"</f>
        <v>82619</v>
      </c>
      <c r="E4111" s="1" t="s">
        <v>17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</row>
    <row r="4112" spans="1:11" x14ac:dyDescent="0.2">
      <c r="A4112" s="1" t="s">
        <v>98</v>
      </c>
      <c r="B4112" s="1" t="s">
        <v>3766</v>
      </c>
      <c r="C4112" s="1" t="str">
        <f>"66298929890855"</f>
        <v>66298929890855</v>
      </c>
      <c r="D4112" s="1" t="str">
        <f>"82620"</f>
        <v>82620</v>
      </c>
      <c r="E4112" s="1" t="s">
        <v>17</v>
      </c>
      <c r="F4112" s="1">
        <v>2</v>
      </c>
      <c r="G4112" s="1">
        <v>1410</v>
      </c>
      <c r="H4112" s="1">
        <v>2820</v>
      </c>
      <c r="I4112" s="1">
        <v>0</v>
      </c>
      <c r="J4112" s="1">
        <v>2</v>
      </c>
      <c r="K4112" s="1">
        <v>0</v>
      </c>
    </row>
    <row r="4113" spans="1:11" x14ac:dyDescent="0.2">
      <c r="A4113" s="1" t="s">
        <v>98</v>
      </c>
      <c r="B4113" s="1" t="s">
        <v>3767</v>
      </c>
      <c r="C4113" s="1" t="str">
        <f>"66298929933354"</f>
        <v>66298929933354</v>
      </c>
      <c r="D4113" s="1" t="str">
        <f>"4Y0-25304-00GY"</f>
        <v>4Y0-25304-00GY</v>
      </c>
      <c r="E4113" s="1" t="s">
        <v>17</v>
      </c>
      <c r="F4113" s="1">
        <v>1</v>
      </c>
      <c r="G4113" s="1">
        <v>36296</v>
      </c>
      <c r="H4113" s="1">
        <v>36296</v>
      </c>
      <c r="I4113" s="1">
        <v>0</v>
      </c>
      <c r="J4113" s="1">
        <v>1</v>
      </c>
      <c r="K4113" s="1">
        <v>0</v>
      </c>
    </row>
    <row r="4114" spans="1:11" x14ac:dyDescent="0.2">
      <c r="A4114" s="1" t="s">
        <v>98</v>
      </c>
      <c r="B4114" s="1" t="s">
        <v>3768</v>
      </c>
      <c r="C4114" s="1" t="str">
        <f>"66298929976886"</f>
        <v>66298929976886</v>
      </c>
      <c r="D4114" s="1" t="str">
        <f>"80951"</f>
        <v>80951</v>
      </c>
      <c r="E4114" s="1" t="s">
        <v>17</v>
      </c>
      <c r="F4114" s="1">
        <v>1</v>
      </c>
      <c r="G4114" s="1">
        <v>1524</v>
      </c>
      <c r="H4114" s="1">
        <v>1524</v>
      </c>
      <c r="I4114" s="1">
        <v>0</v>
      </c>
      <c r="J4114" s="1">
        <v>1</v>
      </c>
      <c r="K4114" s="1">
        <v>0</v>
      </c>
    </row>
    <row r="4115" spans="1:11" x14ac:dyDescent="0.2">
      <c r="A4115" s="1" t="s">
        <v>98</v>
      </c>
      <c r="B4115" s="1" t="s">
        <v>3769</v>
      </c>
      <c r="C4115" s="1" t="str">
        <f>"66298930024576"</f>
        <v>66298930024576</v>
      </c>
      <c r="D4115" s="1" t="str">
        <f>"80332"</f>
        <v>80332</v>
      </c>
      <c r="E4115" s="1" t="s">
        <v>17</v>
      </c>
      <c r="F4115" s="1">
        <v>2</v>
      </c>
      <c r="G4115" s="1">
        <v>1492</v>
      </c>
      <c r="H4115" s="1">
        <v>2984</v>
      </c>
      <c r="I4115" s="1">
        <v>0</v>
      </c>
      <c r="J4115" s="1">
        <v>2</v>
      </c>
      <c r="K4115" s="1">
        <v>0</v>
      </c>
    </row>
    <row r="4116" spans="1:11" x14ac:dyDescent="0.2">
      <c r="A4116" s="1" t="s">
        <v>98</v>
      </c>
      <c r="B4116" s="1" t="s">
        <v>3770</v>
      </c>
      <c r="C4116" s="1" t="str">
        <f>"66298930070956"</f>
        <v>66298930070956</v>
      </c>
      <c r="D4116" s="1" t="str">
        <f>"84806"</f>
        <v>84806</v>
      </c>
      <c r="E4116" s="1" t="s">
        <v>17</v>
      </c>
      <c r="F4116" s="1">
        <v>6</v>
      </c>
      <c r="G4116" s="1">
        <v>1336</v>
      </c>
      <c r="H4116" s="1">
        <v>8016</v>
      </c>
      <c r="I4116" s="1">
        <v>0</v>
      </c>
      <c r="J4116" s="1">
        <v>6</v>
      </c>
      <c r="K4116" s="1">
        <v>0</v>
      </c>
    </row>
    <row r="4117" spans="1:11" x14ac:dyDescent="0.2">
      <c r="A4117" s="1" t="s">
        <v>98</v>
      </c>
      <c r="B4117" s="1" t="s">
        <v>3771</v>
      </c>
      <c r="C4117" s="1" t="str">
        <f>"66298930122359"</f>
        <v>66298930122359</v>
      </c>
      <c r="D4117" s="1" t="str">
        <f>"AE010"</f>
        <v>AE010</v>
      </c>
      <c r="E4117" s="1" t="s">
        <v>17</v>
      </c>
      <c r="F4117" s="1">
        <v>3</v>
      </c>
      <c r="G4117" s="1">
        <v>1035</v>
      </c>
      <c r="H4117" s="1">
        <v>3105</v>
      </c>
      <c r="I4117" s="1">
        <v>0</v>
      </c>
      <c r="J4117" s="1">
        <v>3</v>
      </c>
      <c r="K4117" s="1">
        <v>0</v>
      </c>
    </row>
    <row r="4118" spans="1:11" x14ac:dyDescent="0.2">
      <c r="A4118" s="1" t="s">
        <v>3772</v>
      </c>
      <c r="B4118" s="1" t="s">
        <v>3773</v>
      </c>
      <c r="C4118" s="1" t="str">
        <f>"66298930167045"</f>
        <v>66298930167045</v>
      </c>
      <c r="D4118" s="1" t="str">
        <f>"32800-16A00"</f>
        <v>32800-16A00</v>
      </c>
      <c r="E4118" s="1" t="s">
        <v>17</v>
      </c>
      <c r="F4118" s="1">
        <v>3</v>
      </c>
      <c r="G4118" s="1">
        <v>1854</v>
      </c>
      <c r="H4118" s="1">
        <v>5562</v>
      </c>
      <c r="I4118" s="1">
        <v>0</v>
      </c>
      <c r="J4118" s="1">
        <v>3</v>
      </c>
      <c r="K4118" s="1">
        <v>0</v>
      </c>
    </row>
    <row r="4119" spans="1:11" x14ac:dyDescent="0.2">
      <c r="A4119" s="1" t="s">
        <v>3772</v>
      </c>
      <c r="B4119" s="1" t="s">
        <v>3774</v>
      </c>
      <c r="C4119" s="1" t="str">
        <f>"66298930246239"</f>
        <v>66298930246239</v>
      </c>
      <c r="D4119" s="1" t="str">
        <f>"80404"</f>
        <v>80404</v>
      </c>
      <c r="E4119" s="1" t="s">
        <v>17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</row>
    <row r="4120" spans="1:11" x14ac:dyDescent="0.2">
      <c r="A4120" s="1" t="s">
        <v>3772</v>
      </c>
      <c r="B4120" s="1" t="s">
        <v>3775</v>
      </c>
      <c r="C4120" s="1" t="str">
        <f>"66298930207511"</f>
        <v>66298930207511</v>
      </c>
      <c r="D4120" s="1" t="str">
        <f>"V019"</f>
        <v>V019</v>
      </c>
      <c r="E4120" s="1" t="s">
        <v>17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</row>
    <row r="4121" spans="1:11" x14ac:dyDescent="0.2">
      <c r="A4121" s="1" t="s">
        <v>3772</v>
      </c>
      <c r="B4121" s="1" t="s">
        <v>3775</v>
      </c>
      <c r="C4121" s="1" t="str">
        <f>"RECT-4-CN"</f>
        <v>RECT-4-CN</v>
      </c>
      <c r="D4121" s="1" t="str">
        <f>"RECT-4-CN"</f>
        <v>RECT-4-CN</v>
      </c>
      <c r="E4121" s="1" t="s">
        <v>17</v>
      </c>
      <c r="F4121" s="1">
        <v>1</v>
      </c>
      <c r="G4121" s="1">
        <v>2325.5700000000002</v>
      </c>
      <c r="H4121" s="1">
        <v>2326</v>
      </c>
      <c r="I4121" s="1">
        <v>1</v>
      </c>
      <c r="J4121" s="1">
        <v>0</v>
      </c>
      <c r="K4121" s="1">
        <v>0</v>
      </c>
    </row>
    <row r="4122" spans="1:11" x14ac:dyDescent="0.2">
      <c r="A4122" s="1" t="s">
        <v>3772</v>
      </c>
      <c r="B4122" s="1" t="s">
        <v>3776</v>
      </c>
      <c r="C4122" s="1" t="str">
        <f>"RECT-5/CABLES"</f>
        <v>RECT-5/CABLES</v>
      </c>
      <c r="D4122" s="1" t="str">
        <f>"RECT-5/CABLES"</f>
        <v>RECT-5/CABLES</v>
      </c>
      <c r="E4122" s="1" t="s">
        <v>17</v>
      </c>
      <c r="F4122" s="1">
        <v>2</v>
      </c>
      <c r="G4122" s="1">
        <v>2315.12</v>
      </c>
      <c r="H4122" s="1">
        <v>4630</v>
      </c>
      <c r="I4122" s="1">
        <v>0</v>
      </c>
      <c r="J4122" s="1">
        <v>2</v>
      </c>
      <c r="K4122" s="1">
        <v>0</v>
      </c>
    </row>
    <row r="4123" spans="1:11" x14ac:dyDescent="0.2">
      <c r="A4123" s="1" t="s">
        <v>3772</v>
      </c>
      <c r="B4123" s="1" t="s">
        <v>3777</v>
      </c>
      <c r="C4123" s="1" t="str">
        <f>"66298930374024"</f>
        <v>66298930374024</v>
      </c>
      <c r="D4123" s="1" t="str">
        <f>"B068"</f>
        <v>B068</v>
      </c>
      <c r="E4123" s="1" t="s">
        <v>17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</row>
    <row r="4124" spans="1:11" ht="30" x14ac:dyDescent="0.2">
      <c r="A4124" s="1" t="s">
        <v>3772</v>
      </c>
      <c r="B4124" s="1" t="s">
        <v>3778</v>
      </c>
      <c r="C4124" s="1" t="str">
        <f>"V016"</f>
        <v>V016</v>
      </c>
      <c r="D4124" s="1" t="str">
        <f>"V016"</f>
        <v>V016</v>
      </c>
      <c r="E4124" s="1" t="s">
        <v>17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</row>
    <row r="4125" spans="1:11" x14ac:dyDescent="0.2">
      <c r="A4125" s="1" t="s">
        <v>3772</v>
      </c>
      <c r="B4125" s="1" t="s">
        <v>3779</v>
      </c>
      <c r="C4125" s="1" t="str">
        <f>"66298930418933"</f>
        <v>66298930418933</v>
      </c>
      <c r="D4125" s="1" t="str">
        <f>"80402"</f>
        <v>80402</v>
      </c>
      <c r="E4125" s="1" t="s">
        <v>17</v>
      </c>
      <c r="F4125" s="1">
        <v>1</v>
      </c>
      <c r="G4125" s="1">
        <v>2678</v>
      </c>
      <c r="H4125" s="1">
        <v>2678</v>
      </c>
      <c r="I4125" s="1">
        <v>0</v>
      </c>
      <c r="J4125" s="1">
        <v>1</v>
      </c>
      <c r="K4125" s="1">
        <v>0</v>
      </c>
    </row>
    <row r="4126" spans="1:11" x14ac:dyDescent="0.2">
      <c r="A4126" s="1" t="s">
        <v>3772</v>
      </c>
      <c r="B4126" s="1" t="s">
        <v>3780</v>
      </c>
      <c r="C4126" s="1" t="str">
        <f>"66298930289477"</f>
        <v>66298930289477</v>
      </c>
      <c r="D4126" s="1" t="str">
        <f>"80391"</f>
        <v>80391</v>
      </c>
      <c r="E4126" s="1" t="s">
        <v>17</v>
      </c>
      <c r="F4126" s="1">
        <v>1</v>
      </c>
      <c r="G4126" s="1">
        <v>3902</v>
      </c>
      <c r="H4126" s="1">
        <v>3902</v>
      </c>
      <c r="I4126" s="1">
        <v>0</v>
      </c>
      <c r="J4126" s="1">
        <v>1</v>
      </c>
      <c r="K4126" s="1">
        <v>0</v>
      </c>
    </row>
    <row r="4127" spans="1:11" x14ac:dyDescent="0.2">
      <c r="A4127" s="1" t="s">
        <v>3772</v>
      </c>
      <c r="B4127" s="1" t="s">
        <v>3780</v>
      </c>
      <c r="C4127" s="1" t="str">
        <f>"66298930333128"</f>
        <v>66298930333128</v>
      </c>
      <c r="D4127" s="1" t="str">
        <f>"V015"</f>
        <v>V015</v>
      </c>
      <c r="E4127" s="1" t="s">
        <v>17</v>
      </c>
      <c r="F4127" s="1">
        <v>1</v>
      </c>
      <c r="G4127" s="1">
        <v>3711</v>
      </c>
      <c r="H4127" s="1">
        <v>3711</v>
      </c>
      <c r="I4127" s="1">
        <v>0</v>
      </c>
      <c r="J4127" s="1">
        <v>1</v>
      </c>
      <c r="K4127" s="1">
        <v>0</v>
      </c>
    </row>
    <row r="4128" spans="1:11" x14ac:dyDescent="0.2">
      <c r="A4128" s="1" t="s">
        <v>3772</v>
      </c>
      <c r="B4128" s="1" t="s">
        <v>3781</v>
      </c>
      <c r="C4128" s="1" t="str">
        <f>"66298930462776"</f>
        <v>66298930462776</v>
      </c>
      <c r="D4128" s="1" t="str">
        <f>"84964-RECTIFI"</f>
        <v>84964-RECTIFI</v>
      </c>
      <c r="E4128" s="1" t="s">
        <v>17</v>
      </c>
      <c r="F4128" s="1">
        <v>2</v>
      </c>
      <c r="G4128" s="1">
        <v>5705</v>
      </c>
      <c r="H4128" s="1">
        <v>11410</v>
      </c>
      <c r="I4128" s="1">
        <v>0</v>
      </c>
      <c r="J4128" s="1">
        <v>2</v>
      </c>
      <c r="K4128" s="1">
        <v>0</v>
      </c>
    </row>
    <row r="4129" spans="1:11" x14ac:dyDescent="0.2">
      <c r="A4129" s="1" t="s">
        <v>3772</v>
      </c>
      <c r="B4129" s="1" t="s">
        <v>3781</v>
      </c>
      <c r="C4129" s="1" t="str">
        <f>"66298930470621"</f>
        <v>66298930470621</v>
      </c>
      <c r="D4129" s="1" t="str">
        <f>"RECT-6/CABLES"</f>
        <v>RECT-6/CABLES</v>
      </c>
      <c r="E4129" s="1" t="s">
        <v>17</v>
      </c>
      <c r="F4129" s="1">
        <v>18</v>
      </c>
      <c r="G4129" s="1">
        <v>3522.29</v>
      </c>
      <c r="H4129" s="1">
        <v>63401</v>
      </c>
      <c r="I4129" s="1">
        <v>0</v>
      </c>
      <c r="J4129" s="1">
        <v>18</v>
      </c>
      <c r="K4129" s="1">
        <v>0</v>
      </c>
    </row>
    <row r="4130" spans="1:11" x14ac:dyDescent="0.2">
      <c r="A4130" s="1" t="s">
        <v>3772</v>
      </c>
      <c r="B4130" s="1" t="s">
        <v>3781</v>
      </c>
      <c r="C4130" s="1" t="str">
        <f>"66298930478111"</f>
        <v>66298930478111</v>
      </c>
      <c r="D4130" s="1" t="str">
        <f>"V004"</f>
        <v>V004</v>
      </c>
      <c r="E4130" s="1" t="s">
        <v>17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</row>
    <row r="4131" spans="1:11" x14ac:dyDescent="0.2">
      <c r="A4131" s="1" t="s">
        <v>3772</v>
      </c>
      <c r="B4131" s="1" t="s">
        <v>3782</v>
      </c>
      <c r="C4131" s="1" t="str">
        <f>"66298930550952"</f>
        <v>66298930550952</v>
      </c>
      <c r="D4131" s="1" t="str">
        <f>"V030"</f>
        <v>V030</v>
      </c>
      <c r="E4131" s="1" t="s">
        <v>17</v>
      </c>
      <c r="F4131" s="1">
        <v>14</v>
      </c>
      <c r="G4131" s="1">
        <v>4689</v>
      </c>
      <c r="H4131" s="1">
        <v>65646</v>
      </c>
      <c r="I4131" s="1">
        <v>0</v>
      </c>
      <c r="J4131" s="1">
        <v>14</v>
      </c>
      <c r="K4131" s="1">
        <v>0</v>
      </c>
    </row>
    <row r="4132" spans="1:11" x14ac:dyDescent="0.2">
      <c r="A4132" s="1" t="s">
        <v>3772</v>
      </c>
      <c r="B4132" s="1" t="s">
        <v>3783</v>
      </c>
      <c r="C4132" s="1" t="str">
        <f>"66298930595302"</f>
        <v>66298930595302</v>
      </c>
      <c r="D4132" s="1" t="str">
        <f>"RECT-7/CABLES"</f>
        <v>RECT-7/CABLES</v>
      </c>
      <c r="E4132" s="1" t="s">
        <v>17</v>
      </c>
      <c r="F4132" s="1">
        <v>16</v>
      </c>
      <c r="G4132" s="1">
        <v>4193.67</v>
      </c>
      <c r="H4132" s="1">
        <v>67099</v>
      </c>
      <c r="I4132" s="1">
        <v>0</v>
      </c>
      <c r="J4132" s="1">
        <v>16</v>
      </c>
      <c r="K4132" s="1">
        <v>0</v>
      </c>
    </row>
    <row r="4133" spans="1:11" x14ac:dyDescent="0.2">
      <c r="A4133" s="1" t="s">
        <v>3772</v>
      </c>
      <c r="B4133" s="1" t="s">
        <v>3784</v>
      </c>
      <c r="C4133" s="1" t="str">
        <f>"66298930636426"</f>
        <v>66298930636426</v>
      </c>
      <c r="D4133" s="1" t="str">
        <f>"V017"</f>
        <v>V017</v>
      </c>
      <c r="E4133" s="1" t="s">
        <v>17</v>
      </c>
      <c r="F4133" s="1">
        <v>4</v>
      </c>
      <c r="G4133" s="1">
        <v>4023</v>
      </c>
      <c r="H4133" s="1">
        <v>16092</v>
      </c>
      <c r="I4133" s="1">
        <v>0</v>
      </c>
      <c r="J4133" s="1">
        <v>4</v>
      </c>
      <c r="K4133" s="1">
        <v>0</v>
      </c>
    </row>
    <row r="4134" spans="1:11" x14ac:dyDescent="0.2">
      <c r="A4134" s="1" t="s">
        <v>3772</v>
      </c>
      <c r="B4134" s="1" t="s">
        <v>3785</v>
      </c>
      <c r="C4134" s="1" t="str">
        <f>"66298930674445"</f>
        <v>66298930674445</v>
      </c>
      <c r="D4134" s="1" t="str">
        <f>"U017"</f>
        <v>U017</v>
      </c>
      <c r="E4134" s="1" t="s">
        <v>17</v>
      </c>
      <c r="F4134" s="1">
        <v>8</v>
      </c>
      <c r="G4134" s="1">
        <v>3250</v>
      </c>
      <c r="H4134" s="1">
        <v>26000</v>
      </c>
      <c r="I4134" s="1">
        <v>0</v>
      </c>
      <c r="J4134" s="1">
        <v>8</v>
      </c>
      <c r="K4134" s="1">
        <v>0</v>
      </c>
    </row>
    <row r="4135" spans="1:11" x14ac:dyDescent="0.2">
      <c r="A4135" s="1" t="s">
        <v>3772</v>
      </c>
      <c r="B4135" s="1" t="s">
        <v>3786</v>
      </c>
      <c r="C4135" s="1" t="str">
        <f>"66298930758831"</f>
        <v>66298930758831</v>
      </c>
      <c r="D4135" s="1" t="str">
        <f>"V011"</f>
        <v>V011</v>
      </c>
      <c r="E4135" s="1" t="s">
        <v>17</v>
      </c>
      <c r="F4135" s="1">
        <v>4</v>
      </c>
      <c r="G4135" s="1">
        <v>5013</v>
      </c>
      <c r="H4135" s="1">
        <v>20052</v>
      </c>
      <c r="I4135" s="1">
        <v>0</v>
      </c>
      <c r="J4135" s="1">
        <v>4</v>
      </c>
      <c r="K4135" s="1">
        <v>0</v>
      </c>
    </row>
    <row r="4136" spans="1:11" x14ac:dyDescent="0.2">
      <c r="A4136" s="1" t="s">
        <v>3772</v>
      </c>
      <c r="B4136" s="1" t="s">
        <v>3787</v>
      </c>
      <c r="C4136" s="1" t="str">
        <f>"66298930716536"</f>
        <v>66298930716536</v>
      </c>
      <c r="D4136" s="1" t="str">
        <f>"V032"</f>
        <v>V032</v>
      </c>
      <c r="E4136" s="1" t="s">
        <v>17</v>
      </c>
      <c r="F4136" s="1">
        <v>1</v>
      </c>
      <c r="G4136" s="1">
        <v>2158</v>
      </c>
      <c r="H4136" s="1">
        <v>2158</v>
      </c>
      <c r="I4136" s="1">
        <v>0</v>
      </c>
      <c r="J4136" s="1">
        <v>1</v>
      </c>
      <c r="K4136" s="1">
        <v>0</v>
      </c>
    </row>
    <row r="4137" spans="1:11" x14ac:dyDescent="0.2">
      <c r="A4137" s="1" t="s">
        <v>3772</v>
      </c>
      <c r="B4137" s="1" t="s">
        <v>3788</v>
      </c>
      <c r="C4137" s="1" t="str">
        <f>"11175"</f>
        <v>11175</v>
      </c>
      <c r="D4137" s="1" t="str">
        <f>"11175"</f>
        <v>11175</v>
      </c>
      <c r="E4137" s="1" t="s">
        <v>17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</row>
    <row r="4138" spans="1:11" x14ac:dyDescent="0.2">
      <c r="A4138" s="1" t="s">
        <v>3772</v>
      </c>
      <c r="B4138" s="1" t="s">
        <v>3789</v>
      </c>
      <c r="C4138" s="1" t="str">
        <f>"66298930802174"</f>
        <v>66298930802174</v>
      </c>
      <c r="D4138" s="1" t="str">
        <f>"V022"</f>
        <v>V022</v>
      </c>
      <c r="E4138" s="1" t="s">
        <v>17</v>
      </c>
      <c r="F4138" s="1">
        <v>5</v>
      </c>
      <c r="G4138" s="1">
        <v>5292</v>
      </c>
      <c r="H4138" s="1">
        <v>26460</v>
      </c>
      <c r="I4138" s="1">
        <v>0</v>
      </c>
      <c r="J4138" s="1">
        <v>5</v>
      </c>
      <c r="K4138" s="1">
        <v>0</v>
      </c>
    </row>
    <row r="4139" spans="1:11" x14ac:dyDescent="0.2">
      <c r="A4139" s="1" t="s">
        <v>3772</v>
      </c>
      <c r="B4139" s="1" t="s">
        <v>3790</v>
      </c>
      <c r="C4139" s="1" t="str">
        <f>"66298930844259"</f>
        <v>66298930844259</v>
      </c>
      <c r="D4139" s="1" t="str">
        <f>"V012"</f>
        <v>V012</v>
      </c>
      <c r="E4139" s="1" t="s">
        <v>17</v>
      </c>
      <c r="F4139" s="1">
        <v>4</v>
      </c>
      <c r="G4139" s="1">
        <v>3402</v>
      </c>
      <c r="H4139" s="1">
        <v>13608</v>
      </c>
      <c r="I4139" s="1">
        <v>0</v>
      </c>
      <c r="J4139" s="1">
        <v>4</v>
      </c>
      <c r="K4139" s="1">
        <v>0</v>
      </c>
    </row>
    <row r="4140" spans="1:11" x14ac:dyDescent="0.2">
      <c r="A4140" s="1" t="s">
        <v>3772</v>
      </c>
      <c r="B4140" s="1" t="s">
        <v>3791</v>
      </c>
      <c r="C4140" s="1" t="str">
        <f>"665"</f>
        <v>665</v>
      </c>
      <c r="D4140" s="1" t="str">
        <f>"665"</f>
        <v>665</v>
      </c>
      <c r="E4140" s="1" t="s">
        <v>17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</row>
    <row r="4141" spans="1:11" x14ac:dyDescent="0.2">
      <c r="A4141" s="1" t="s">
        <v>3772</v>
      </c>
      <c r="B4141" s="1" t="s">
        <v>3792</v>
      </c>
      <c r="C4141" s="1" t="str">
        <f>"66298930905712"</f>
        <v>66298930905712</v>
      </c>
      <c r="D4141" s="1" t="str">
        <f>"81090"</f>
        <v>81090</v>
      </c>
      <c r="E4141" s="1" t="s">
        <v>17</v>
      </c>
      <c r="F4141" s="1">
        <v>3</v>
      </c>
      <c r="G4141" s="1">
        <v>1332</v>
      </c>
      <c r="H4141" s="1">
        <v>3996</v>
      </c>
      <c r="I4141" s="1">
        <v>0</v>
      </c>
      <c r="J4141" s="1">
        <v>3</v>
      </c>
      <c r="K4141" s="1">
        <v>0</v>
      </c>
    </row>
    <row r="4142" spans="1:11" x14ac:dyDescent="0.2">
      <c r="A4142" s="1" t="s">
        <v>3772</v>
      </c>
      <c r="B4142" s="1" t="s">
        <v>3792</v>
      </c>
      <c r="C4142" s="1" t="str">
        <f>"66298930920746"</f>
        <v>66298930920746</v>
      </c>
      <c r="D4142" s="1" t="str">
        <f>"V020"</f>
        <v>V020</v>
      </c>
      <c r="E4142" s="1" t="s">
        <v>17</v>
      </c>
      <c r="F4142" s="1">
        <v>5</v>
      </c>
      <c r="G4142" s="1">
        <v>2558</v>
      </c>
      <c r="H4142" s="1">
        <v>12790</v>
      </c>
      <c r="I4142" s="1">
        <v>0</v>
      </c>
      <c r="J4142" s="1">
        <v>5</v>
      </c>
      <c r="K4142" s="1">
        <v>0</v>
      </c>
    </row>
    <row r="4143" spans="1:11" x14ac:dyDescent="0.2">
      <c r="A4143" s="1" t="s">
        <v>3772</v>
      </c>
      <c r="B4143" s="1" t="s">
        <v>3793</v>
      </c>
      <c r="C4143" s="1" t="str">
        <f>"66298930989958"</f>
        <v>66298930989958</v>
      </c>
      <c r="D4143" s="1" t="str">
        <f>"V006"</f>
        <v>V006</v>
      </c>
      <c r="E4143" s="1" t="s">
        <v>17</v>
      </c>
      <c r="F4143" s="1">
        <v>6</v>
      </c>
      <c r="G4143" s="1">
        <v>3276</v>
      </c>
      <c r="H4143" s="1">
        <v>19656</v>
      </c>
      <c r="I4143" s="1">
        <v>0</v>
      </c>
      <c r="J4143" s="1">
        <v>6</v>
      </c>
      <c r="K4143" s="1">
        <v>0</v>
      </c>
    </row>
    <row r="4144" spans="1:11" x14ac:dyDescent="0.2">
      <c r="A4144" s="1" t="s">
        <v>3772</v>
      </c>
      <c r="B4144" s="1" t="s">
        <v>3794</v>
      </c>
      <c r="C4144" s="1" t="str">
        <f>"66298931052889"</f>
        <v>66298931052889</v>
      </c>
      <c r="D4144" s="1" t="str">
        <f>"82340"</f>
        <v>82340</v>
      </c>
      <c r="E4144" s="1" t="s">
        <v>17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</row>
    <row r="4145" spans="1:11" x14ac:dyDescent="0.2">
      <c r="A4145" s="1" t="s">
        <v>3772</v>
      </c>
      <c r="B4145" s="1" t="s">
        <v>3795</v>
      </c>
      <c r="C4145" s="1" t="str">
        <f>"66298931096115"</f>
        <v>66298931096115</v>
      </c>
      <c r="D4145" s="1" t="str">
        <f>"V010"</f>
        <v>V010</v>
      </c>
      <c r="E4145" s="1" t="s">
        <v>17</v>
      </c>
      <c r="F4145" s="1">
        <v>5</v>
      </c>
      <c r="G4145" s="1">
        <v>6026</v>
      </c>
      <c r="H4145" s="1">
        <v>30130</v>
      </c>
      <c r="I4145" s="1">
        <v>0</v>
      </c>
      <c r="J4145" s="1">
        <v>5</v>
      </c>
      <c r="K4145" s="1">
        <v>0</v>
      </c>
    </row>
    <row r="4146" spans="1:11" x14ac:dyDescent="0.2">
      <c r="A4146" s="1" t="s">
        <v>3772</v>
      </c>
      <c r="B4146" s="1" t="s">
        <v>3796</v>
      </c>
      <c r="C4146" s="1" t="str">
        <f>"66298931136218"</f>
        <v>66298931136218</v>
      </c>
      <c r="D4146" s="1" t="str">
        <f>"RECT-GS"</f>
        <v>RECT-GS</v>
      </c>
      <c r="E4146" s="1" t="s">
        <v>17</v>
      </c>
      <c r="F4146" s="1">
        <v>2</v>
      </c>
      <c r="G4146" s="1">
        <v>3236</v>
      </c>
      <c r="H4146" s="1">
        <v>6472</v>
      </c>
      <c r="I4146" s="1">
        <v>0</v>
      </c>
      <c r="J4146" s="1">
        <v>2</v>
      </c>
      <c r="K4146" s="1">
        <v>0</v>
      </c>
    </row>
    <row r="4147" spans="1:11" x14ac:dyDescent="0.2">
      <c r="A4147" s="1" t="s">
        <v>3772</v>
      </c>
      <c r="B4147" s="1" t="s">
        <v>3797</v>
      </c>
      <c r="C4147" s="1" t="str">
        <f>"32800H51001H000"</f>
        <v>32800H51001H000</v>
      </c>
      <c r="D4147" s="1" t="str">
        <f>"32800H51001H000"</f>
        <v>32800H51001H000</v>
      </c>
      <c r="E4147" s="1" t="s">
        <v>17</v>
      </c>
      <c r="F4147" s="1">
        <v>2</v>
      </c>
      <c r="G4147" s="1">
        <v>10565.26</v>
      </c>
      <c r="H4147" s="1">
        <v>21131</v>
      </c>
      <c r="I4147" s="1">
        <v>0</v>
      </c>
      <c r="J4147" s="1">
        <v>2</v>
      </c>
      <c r="K4147" s="1">
        <v>0</v>
      </c>
    </row>
    <row r="4148" spans="1:11" x14ac:dyDescent="0.2">
      <c r="A4148" s="1" t="s">
        <v>3772</v>
      </c>
      <c r="B4148" s="1" t="s">
        <v>3798</v>
      </c>
      <c r="C4148" s="1" t="str">
        <f>"66298931175721"</f>
        <v>66298931175721</v>
      </c>
      <c r="D4148" s="1" t="str">
        <f>"02137"</f>
        <v>02137</v>
      </c>
      <c r="E4148" s="1" t="s">
        <v>17</v>
      </c>
      <c r="F4148" s="1">
        <v>1</v>
      </c>
      <c r="G4148" s="1">
        <v>3023</v>
      </c>
      <c r="H4148" s="1">
        <v>3023</v>
      </c>
      <c r="I4148" s="1">
        <v>0</v>
      </c>
      <c r="J4148" s="1">
        <v>1</v>
      </c>
      <c r="K4148" s="1">
        <v>0</v>
      </c>
    </row>
    <row r="4149" spans="1:11" x14ac:dyDescent="0.2">
      <c r="A4149" s="1" t="s">
        <v>3772</v>
      </c>
      <c r="B4149" s="1" t="s">
        <v>3799</v>
      </c>
      <c r="C4149" s="1" t="str">
        <f>"66298931243454"</f>
        <v>66298931243454</v>
      </c>
      <c r="D4149" s="1" t="str">
        <f>"32800H05523H000"</f>
        <v>32800H05523H000</v>
      </c>
      <c r="E4149" s="1" t="s">
        <v>17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</row>
    <row r="4150" spans="1:11" x14ac:dyDescent="0.2">
      <c r="A4150" s="1" t="s">
        <v>3772</v>
      </c>
      <c r="B4150" s="1" t="s">
        <v>3800</v>
      </c>
      <c r="C4150" s="1" t="str">
        <f>"66298931286265"</f>
        <v>66298931286265</v>
      </c>
      <c r="D4150" s="1" t="str">
        <f>"V005"</f>
        <v>V005</v>
      </c>
      <c r="E4150" s="1" t="s">
        <v>17</v>
      </c>
      <c r="F4150" s="1">
        <v>3</v>
      </c>
      <c r="G4150" s="1">
        <v>5096</v>
      </c>
      <c r="H4150" s="1">
        <v>15288</v>
      </c>
      <c r="I4150" s="1">
        <v>0</v>
      </c>
      <c r="J4150" s="1">
        <v>3</v>
      </c>
      <c r="K4150" s="1">
        <v>0</v>
      </c>
    </row>
    <row r="4151" spans="1:11" x14ac:dyDescent="0.2">
      <c r="A4151" s="1" t="s">
        <v>3772</v>
      </c>
      <c r="B4151" s="1" t="s">
        <v>3801</v>
      </c>
      <c r="C4151" s="1" t="str">
        <f>"66298931324870"</f>
        <v>66298931324870</v>
      </c>
      <c r="D4151" s="1" t="str">
        <f>"83639"</f>
        <v>83639</v>
      </c>
      <c r="E4151" s="1" t="s">
        <v>17</v>
      </c>
      <c r="F4151" s="1">
        <v>8</v>
      </c>
      <c r="G4151" s="1">
        <v>3060</v>
      </c>
      <c r="H4151" s="1">
        <v>24480</v>
      </c>
      <c r="I4151" s="1">
        <v>0</v>
      </c>
      <c r="J4151" s="1">
        <v>8</v>
      </c>
      <c r="K4151" s="1">
        <v>0</v>
      </c>
    </row>
    <row r="4152" spans="1:11" x14ac:dyDescent="0.2">
      <c r="A4152" s="1" t="s">
        <v>3772</v>
      </c>
      <c r="B4152" s="1" t="s">
        <v>3802</v>
      </c>
      <c r="C4152" s="1" t="str">
        <f>"66298931365419"</f>
        <v>66298931365419</v>
      </c>
      <c r="D4152" s="1" t="str">
        <f>"32800H51001H0"</f>
        <v>32800H51001H0</v>
      </c>
      <c r="E4152" s="1" t="s">
        <v>17</v>
      </c>
      <c r="F4152" s="1">
        <v>2</v>
      </c>
      <c r="G4152" s="1">
        <v>10434</v>
      </c>
      <c r="H4152" s="1">
        <v>20868</v>
      </c>
      <c r="I4152" s="1">
        <v>0</v>
      </c>
      <c r="J4152" s="1">
        <v>2</v>
      </c>
      <c r="K4152" s="1">
        <v>0</v>
      </c>
    </row>
    <row r="4153" spans="1:11" x14ac:dyDescent="0.2">
      <c r="A4153" s="1" t="s">
        <v>3772</v>
      </c>
      <c r="B4153" s="1" t="s">
        <v>3803</v>
      </c>
      <c r="C4153" s="1" t="str">
        <f>"66298931410393"</f>
        <v>66298931410393</v>
      </c>
      <c r="D4153" s="1" t="str">
        <f>"V008"</f>
        <v>V008</v>
      </c>
      <c r="E4153" s="1" t="s">
        <v>17</v>
      </c>
      <c r="F4153" s="1">
        <v>4</v>
      </c>
      <c r="G4153" s="1">
        <v>6724</v>
      </c>
      <c r="H4153" s="1">
        <v>26896</v>
      </c>
      <c r="I4153" s="1">
        <v>0</v>
      </c>
      <c r="J4153" s="1">
        <v>4</v>
      </c>
      <c r="K4153" s="1">
        <v>0</v>
      </c>
    </row>
    <row r="4154" spans="1:11" x14ac:dyDescent="0.2">
      <c r="A4154" s="1" t="s">
        <v>3772</v>
      </c>
      <c r="B4154" s="1" t="s">
        <v>3804</v>
      </c>
      <c r="C4154" s="1" t="str">
        <f>"V007"</f>
        <v>V007</v>
      </c>
      <c r="D4154" s="1" t="str">
        <f>"V007"</f>
        <v>V007</v>
      </c>
      <c r="E4154" s="1" t="s">
        <v>17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</row>
    <row r="4155" spans="1:11" ht="30" x14ac:dyDescent="0.2">
      <c r="A4155" s="1" t="s">
        <v>3772</v>
      </c>
      <c r="B4155" s="1" t="s">
        <v>3805</v>
      </c>
      <c r="C4155" s="1" t="str">
        <f>"R12849"</f>
        <v>R12849</v>
      </c>
      <c r="D4155" s="1" t="str">
        <f>"R12849"</f>
        <v>R12849</v>
      </c>
      <c r="E4155" s="1" t="s">
        <v>17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</row>
    <row r="4156" spans="1:11" x14ac:dyDescent="0.2">
      <c r="A4156" s="1" t="s">
        <v>3772</v>
      </c>
      <c r="B4156" s="1" t="s">
        <v>3806</v>
      </c>
      <c r="C4156" s="1" t="str">
        <f>"66298931495291"</f>
        <v>66298931495291</v>
      </c>
      <c r="D4156" s="1" t="str">
        <f>"400300"</f>
        <v>400300</v>
      </c>
      <c r="E4156" s="1" t="s">
        <v>17</v>
      </c>
      <c r="F4156" s="1">
        <v>14</v>
      </c>
      <c r="G4156" s="1">
        <v>2734</v>
      </c>
      <c r="H4156" s="1">
        <v>38276</v>
      </c>
      <c r="I4156" s="1">
        <v>0</v>
      </c>
      <c r="J4156" s="1">
        <v>14</v>
      </c>
      <c r="K4156" s="1">
        <v>0</v>
      </c>
    </row>
    <row r="4157" spans="1:11" x14ac:dyDescent="0.2">
      <c r="A4157" s="1" t="s">
        <v>3772</v>
      </c>
      <c r="B4157" s="1" t="s">
        <v>3807</v>
      </c>
      <c r="C4157" s="1" t="str">
        <f>"66298931451981"</f>
        <v>66298931451981</v>
      </c>
      <c r="D4157" s="1" t="str">
        <f>"82326"</f>
        <v>82326</v>
      </c>
      <c r="E4157" s="1" t="s">
        <v>17</v>
      </c>
      <c r="F4157" s="1">
        <v>5</v>
      </c>
      <c r="G4157" s="1">
        <v>4799</v>
      </c>
      <c r="H4157" s="1">
        <v>23995</v>
      </c>
      <c r="I4157" s="1">
        <v>0</v>
      </c>
      <c r="J4157" s="1">
        <v>5</v>
      </c>
      <c r="K4157" s="1">
        <v>0</v>
      </c>
    </row>
    <row r="4158" spans="1:11" x14ac:dyDescent="0.2">
      <c r="A4158" s="1" t="s">
        <v>3772</v>
      </c>
      <c r="B4158" s="1" t="s">
        <v>3808</v>
      </c>
      <c r="C4158" s="1" t="str">
        <f>"66298931536707"</f>
        <v>66298931536707</v>
      </c>
      <c r="D4158" s="1" t="str">
        <f>"V003"</f>
        <v>V003</v>
      </c>
      <c r="E4158" s="1" t="s">
        <v>17</v>
      </c>
      <c r="F4158" s="1">
        <v>5</v>
      </c>
      <c r="G4158" s="1">
        <v>2376</v>
      </c>
      <c r="H4158" s="1">
        <v>11880</v>
      </c>
      <c r="I4158" s="1">
        <v>0</v>
      </c>
      <c r="J4158" s="1">
        <v>5</v>
      </c>
      <c r="K4158" s="1">
        <v>0</v>
      </c>
    </row>
    <row r="4159" spans="1:11" x14ac:dyDescent="0.2">
      <c r="A4159" s="1" t="s">
        <v>3772</v>
      </c>
      <c r="B4159" s="1" t="s">
        <v>3809</v>
      </c>
      <c r="C4159" s="1" t="str">
        <f>"66298931577340"</f>
        <v>66298931577340</v>
      </c>
      <c r="D4159" s="1" t="str">
        <f>"85019"</f>
        <v>85019</v>
      </c>
      <c r="E4159" s="1" t="s">
        <v>17</v>
      </c>
      <c r="F4159" s="1">
        <v>8</v>
      </c>
      <c r="G4159" s="1">
        <v>3085</v>
      </c>
      <c r="H4159" s="1">
        <v>24680</v>
      </c>
      <c r="I4159" s="1">
        <v>0</v>
      </c>
      <c r="J4159" s="1">
        <v>8</v>
      </c>
      <c r="K4159" s="1">
        <v>0</v>
      </c>
    </row>
    <row r="4160" spans="1:11" x14ac:dyDescent="0.2">
      <c r="A4160" s="1" t="s">
        <v>3772</v>
      </c>
      <c r="B4160" s="1" t="s">
        <v>3810</v>
      </c>
      <c r="C4160" s="1" t="str">
        <f>"66298931621847"</f>
        <v>66298931621847</v>
      </c>
      <c r="D4160" s="1" t="str">
        <f>"R1060070HB"</f>
        <v>R1060070HB</v>
      </c>
      <c r="E4160" s="1" t="s">
        <v>17</v>
      </c>
      <c r="F4160" s="1">
        <v>2</v>
      </c>
      <c r="G4160" s="1">
        <v>1889</v>
      </c>
      <c r="H4160" s="1">
        <v>3778</v>
      </c>
      <c r="I4160" s="1">
        <v>0</v>
      </c>
      <c r="J4160" s="1">
        <v>2</v>
      </c>
      <c r="K4160" s="1">
        <v>0</v>
      </c>
    </row>
    <row r="4161" spans="1:11" x14ac:dyDescent="0.2">
      <c r="A4161" s="1" t="s">
        <v>3772</v>
      </c>
      <c r="B4161" s="1" t="s">
        <v>3811</v>
      </c>
      <c r="C4161" s="1" t="str">
        <f>"66298931665504"</f>
        <v>66298931665504</v>
      </c>
      <c r="D4161" s="1" t="str">
        <f>"82420"</f>
        <v>82420</v>
      </c>
      <c r="E4161" s="1" t="s">
        <v>17</v>
      </c>
      <c r="F4161" s="1">
        <v>2</v>
      </c>
      <c r="G4161" s="1">
        <v>8900</v>
      </c>
      <c r="H4161" s="1">
        <v>17800</v>
      </c>
      <c r="I4161" s="1">
        <v>0</v>
      </c>
      <c r="J4161" s="1">
        <v>2</v>
      </c>
      <c r="K4161" s="1">
        <v>0</v>
      </c>
    </row>
    <row r="4162" spans="1:11" x14ac:dyDescent="0.2">
      <c r="A4162" s="1" t="s">
        <v>3772</v>
      </c>
      <c r="B4162" s="1" t="s">
        <v>3812</v>
      </c>
      <c r="C4162" s="1" t="str">
        <f>"66298931712857"</f>
        <v>66298931712857</v>
      </c>
      <c r="D4162" s="1" t="str">
        <f>"32800H51031H000"</f>
        <v>32800H51031H000</v>
      </c>
      <c r="E4162" s="1" t="s">
        <v>17</v>
      </c>
      <c r="F4162" s="1">
        <v>1</v>
      </c>
      <c r="G4162" s="1">
        <v>7752.75</v>
      </c>
      <c r="H4162" s="1">
        <v>7753</v>
      </c>
      <c r="I4162" s="1">
        <v>0</v>
      </c>
      <c r="J4162" s="1">
        <v>1</v>
      </c>
      <c r="K4162" s="1">
        <v>0</v>
      </c>
    </row>
    <row r="4163" spans="1:11" x14ac:dyDescent="0.2">
      <c r="A4163" s="1" t="s">
        <v>3772</v>
      </c>
      <c r="B4163" s="1" t="s">
        <v>3813</v>
      </c>
      <c r="C4163" s="1" t="str">
        <f>"66298931756457"</f>
        <v>66298931756457</v>
      </c>
      <c r="D4163" s="1" t="str">
        <f>"V029"</f>
        <v>V029</v>
      </c>
      <c r="E4163" s="1" t="s">
        <v>17</v>
      </c>
      <c r="F4163" s="1">
        <v>7</v>
      </c>
      <c r="G4163" s="1">
        <v>6324</v>
      </c>
      <c r="H4163" s="1">
        <v>44268</v>
      </c>
      <c r="I4163" s="1">
        <v>0</v>
      </c>
      <c r="J4163" s="1">
        <v>7</v>
      </c>
      <c r="K4163" s="1">
        <v>0</v>
      </c>
    </row>
    <row r="4164" spans="1:11" x14ac:dyDescent="0.2">
      <c r="A4164" s="1" t="s">
        <v>3772</v>
      </c>
      <c r="B4164" s="1" t="s">
        <v>3814</v>
      </c>
      <c r="C4164" s="1" t="str">
        <f>"66298931799914"</f>
        <v>66298931799914</v>
      </c>
      <c r="D4164" s="1" t="str">
        <f>"589005"</f>
        <v>589005</v>
      </c>
      <c r="E4164" s="1" t="s">
        <v>17</v>
      </c>
      <c r="F4164" s="1">
        <v>12</v>
      </c>
      <c r="G4164" s="1">
        <v>2040</v>
      </c>
      <c r="H4164" s="1">
        <v>24480</v>
      </c>
      <c r="I4164" s="1">
        <v>0</v>
      </c>
      <c r="J4164" s="1">
        <v>12</v>
      </c>
      <c r="K4164" s="1">
        <v>0</v>
      </c>
    </row>
    <row r="4165" spans="1:11" x14ac:dyDescent="0.2">
      <c r="A4165" s="1" t="s">
        <v>3772</v>
      </c>
      <c r="B4165" s="1" t="s">
        <v>3815</v>
      </c>
      <c r="C4165" s="1" t="str">
        <f>"66298931842460"</f>
        <v>66298931842460</v>
      </c>
      <c r="D4165" s="1" t="str">
        <f>"82419"</f>
        <v>82419</v>
      </c>
      <c r="E4165" s="1" t="s">
        <v>17</v>
      </c>
      <c r="F4165" s="1">
        <v>2</v>
      </c>
      <c r="G4165" s="1">
        <v>2740</v>
      </c>
      <c r="H4165" s="1">
        <v>5480</v>
      </c>
      <c r="I4165" s="1">
        <v>0</v>
      </c>
      <c r="J4165" s="1">
        <v>2</v>
      </c>
      <c r="K4165" s="1">
        <v>0</v>
      </c>
    </row>
    <row r="4166" spans="1:11" x14ac:dyDescent="0.2">
      <c r="A4166" s="1" t="s">
        <v>3772</v>
      </c>
      <c r="B4166" s="1" t="s">
        <v>3816</v>
      </c>
      <c r="C4166" s="1" t="str">
        <f>"66298931880859"</f>
        <v>66298931880859</v>
      </c>
      <c r="D4166" s="1" t="str">
        <f>"85184"</f>
        <v>85184</v>
      </c>
      <c r="E4166" s="1" t="s">
        <v>17</v>
      </c>
      <c r="F4166" s="1">
        <v>4</v>
      </c>
      <c r="G4166" s="1">
        <v>9068</v>
      </c>
      <c r="H4166" s="1">
        <v>36272</v>
      </c>
      <c r="I4166" s="1">
        <v>0</v>
      </c>
      <c r="J4166" s="1">
        <v>4</v>
      </c>
      <c r="K4166" s="1">
        <v>0</v>
      </c>
    </row>
    <row r="4167" spans="1:11" x14ac:dyDescent="0.2">
      <c r="A4167" s="1" t="s">
        <v>3772</v>
      </c>
      <c r="B4167" s="1" t="s">
        <v>3817</v>
      </c>
      <c r="C4167" s="1" t="str">
        <f>"66298931924141"</f>
        <v>66298931924141</v>
      </c>
      <c r="D4167" s="1" t="str">
        <f>"V009"</f>
        <v>V009</v>
      </c>
      <c r="E4167" s="1" t="s">
        <v>17</v>
      </c>
      <c r="F4167" s="1">
        <v>5</v>
      </c>
      <c r="G4167" s="1">
        <v>6836</v>
      </c>
      <c r="H4167" s="1">
        <v>34180</v>
      </c>
      <c r="I4167" s="1">
        <v>0</v>
      </c>
      <c r="J4167" s="1">
        <v>5</v>
      </c>
      <c r="K4167" s="1">
        <v>0</v>
      </c>
    </row>
    <row r="4168" spans="1:11" x14ac:dyDescent="0.2">
      <c r="A4168" s="1" t="s">
        <v>3772</v>
      </c>
      <c r="B4168" s="1" t="s">
        <v>3818</v>
      </c>
      <c r="C4168" s="1" t="str">
        <f>"66298931964424"</f>
        <v>66298931964424</v>
      </c>
      <c r="D4168" s="1" t="str">
        <f>"V026"</f>
        <v>V026</v>
      </c>
      <c r="E4168" s="1" t="s">
        <v>17</v>
      </c>
      <c r="F4168" s="1">
        <v>1</v>
      </c>
      <c r="G4168" s="1">
        <v>8352</v>
      </c>
      <c r="H4168" s="1">
        <v>8352</v>
      </c>
      <c r="I4168" s="1">
        <v>0</v>
      </c>
      <c r="J4168" s="1">
        <v>1</v>
      </c>
      <c r="K4168" s="1">
        <v>0</v>
      </c>
    </row>
    <row r="4169" spans="1:11" x14ac:dyDescent="0.2">
      <c r="A4169" s="1" t="s">
        <v>3772</v>
      </c>
      <c r="B4169" s="1" t="s">
        <v>3819</v>
      </c>
      <c r="C4169" s="1" t="str">
        <f>"66298932010483"</f>
        <v>66298932010483</v>
      </c>
      <c r="D4169" s="1" t="str">
        <f>"84917"</f>
        <v>84917</v>
      </c>
      <c r="E4169" s="1" t="s">
        <v>17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</row>
    <row r="4170" spans="1:11" x14ac:dyDescent="0.2">
      <c r="A4170" s="1" t="s">
        <v>3772</v>
      </c>
      <c r="B4170" s="1" t="s">
        <v>3819</v>
      </c>
      <c r="C4170" s="1" t="str">
        <f>"66298932016899"</f>
        <v>66298932016899</v>
      </c>
      <c r="D4170" s="1" t="str">
        <f>"V018"</f>
        <v>V018</v>
      </c>
      <c r="E4170" s="1" t="s">
        <v>17</v>
      </c>
      <c r="F4170" s="1">
        <v>3</v>
      </c>
      <c r="G4170" s="1">
        <v>2902</v>
      </c>
      <c r="H4170" s="1">
        <v>8706</v>
      </c>
      <c r="I4170" s="1">
        <v>0</v>
      </c>
      <c r="J4170" s="1">
        <v>3</v>
      </c>
      <c r="K4170" s="1">
        <v>0</v>
      </c>
    </row>
    <row r="4171" spans="1:11" x14ac:dyDescent="0.2">
      <c r="A4171" s="1" t="s">
        <v>3772</v>
      </c>
      <c r="B4171" s="1" t="s">
        <v>3820</v>
      </c>
      <c r="C4171" s="1" t="str">
        <f>"12033"</f>
        <v>12033</v>
      </c>
      <c r="D4171" s="1" t="str">
        <f>"12033"</f>
        <v>12033</v>
      </c>
      <c r="E4171" s="1" t="s">
        <v>17</v>
      </c>
      <c r="F4171" s="1">
        <v>1</v>
      </c>
      <c r="G4171" s="1">
        <v>4936.13</v>
      </c>
      <c r="H4171" s="1">
        <v>4936</v>
      </c>
      <c r="I4171" s="1">
        <v>0</v>
      </c>
      <c r="J4171" s="1">
        <v>1</v>
      </c>
      <c r="K4171" s="1">
        <v>0</v>
      </c>
    </row>
    <row r="4172" spans="1:11" x14ac:dyDescent="0.2">
      <c r="A4172" s="1" t="s">
        <v>3772</v>
      </c>
      <c r="B4172" s="1" t="s">
        <v>3821</v>
      </c>
      <c r="C4172" s="1" t="str">
        <f>"66298932078634"</f>
        <v>66298932078634</v>
      </c>
      <c r="D4172" s="1" t="str">
        <f>"V023"</f>
        <v>V023</v>
      </c>
      <c r="E4172" s="1" t="s">
        <v>17</v>
      </c>
      <c r="F4172" s="1">
        <v>6</v>
      </c>
      <c r="G4172" s="1">
        <v>1479</v>
      </c>
      <c r="H4172" s="1">
        <v>8874</v>
      </c>
      <c r="I4172" s="1">
        <v>0</v>
      </c>
      <c r="J4172" s="1">
        <v>6</v>
      </c>
      <c r="K4172" s="1">
        <v>0</v>
      </c>
    </row>
    <row r="4173" spans="1:11" x14ac:dyDescent="0.2">
      <c r="A4173" s="1" t="s">
        <v>3772</v>
      </c>
      <c r="B4173" s="1" t="s">
        <v>3821</v>
      </c>
      <c r="C4173" s="1" t="str">
        <f>"66298932083579"</f>
        <v>66298932083579</v>
      </c>
      <c r="D4173" s="1" t="str">
        <f>"V001"</f>
        <v>V001</v>
      </c>
      <c r="E4173" s="1" t="s">
        <v>17</v>
      </c>
      <c r="F4173" s="1">
        <v>4</v>
      </c>
      <c r="G4173" s="1">
        <v>5106</v>
      </c>
      <c r="H4173" s="1">
        <v>20424</v>
      </c>
      <c r="I4173" s="1">
        <v>0</v>
      </c>
      <c r="J4173" s="1">
        <v>4</v>
      </c>
      <c r="K4173" s="1">
        <v>0</v>
      </c>
    </row>
    <row r="4174" spans="1:11" x14ac:dyDescent="0.2">
      <c r="A4174" s="1" t="s">
        <v>3772</v>
      </c>
      <c r="B4174" s="1" t="s">
        <v>3822</v>
      </c>
      <c r="C4174" s="1" t="str">
        <f>"66298932136719"</f>
        <v>66298932136719</v>
      </c>
      <c r="D4174" s="1" t="str">
        <f>"VH004"</f>
        <v>VH004</v>
      </c>
      <c r="E4174" s="1" t="s">
        <v>17</v>
      </c>
      <c r="F4174" s="1">
        <v>5</v>
      </c>
      <c r="G4174" s="1">
        <v>744</v>
      </c>
      <c r="H4174" s="1">
        <v>3720</v>
      </c>
      <c r="I4174" s="1">
        <v>0</v>
      </c>
      <c r="J4174" s="1">
        <v>5</v>
      </c>
      <c r="K4174" s="1">
        <v>0</v>
      </c>
    </row>
    <row r="4175" spans="1:11" x14ac:dyDescent="0.2">
      <c r="A4175" s="1" t="s">
        <v>18</v>
      </c>
      <c r="B4175" s="1" t="s">
        <v>3823</v>
      </c>
      <c r="C4175" s="1" t="str">
        <f>"E010"</f>
        <v>E010</v>
      </c>
      <c r="D4175" s="1" t="str">
        <f>"E010"</f>
        <v>E010</v>
      </c>
      <c r="E4175" s="1" t="s">
        <v>17</v>
      </c>
      <c r="F4175" s="1">
        <v>1</v>
      </c>
      <c r="G4175" s="1">
        <v>1000</v>
      </c>
      <c r="H4175" s="1">
        <v>1000</v>
      </c>
      <c r="I4175" s="1">
        <v>0</v>
      </c>
      <c r="J4175" s="1">
        <v>1</v>
      </c>
      <c r="K4175" s="1">
        <v>0</v>
      </c>
    </row>
    <row r="4176" spans="1:11" x14ac:dyDescent="0.2">
      <c r="A4176" s="1" t="s">
        <v>18</v>
      </c>
      <c r="B4176" s="1" t="s">
        <v>3824</v>
      </c>
      <c r="C4176" s="1" t="str">
        <f>"REFLEC-C-ROJO"</f>
        <v>REFLEC-C-ROJO</v>
      </c>
      <c r="D4176" s="1" t="str">
        <f>"REFLEC-C-ROJO"</f>
        <v>REFLEC-C-ROJO</v>
      </c>
      <c r="E4176" s="1" t="s">
        <v>17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</row>
    <row r="4177" spans="1:11" x14ac:dyDescent="0.2">
      <c r="A4177" s="1" t="s">
        <v>18</v>
      </c>
      <c r="B4177" s="1" t="s">
        <v>3825</v>
      </c>
      <c r="C4177" s="1" t="str">
        <f>"66298932177892"</f>
        <v>66298932177892</v>
      </c>
      <c r="D4177" s="1" t="str">
        <f>"PB009"</f>
        <v>PB009</v>
      </c>
      <c r="E4177" s="1" t="s">
        <v>17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</row>
    <row r="4178" spans="1:11" x14ac:dyDescent="0.2">
      <c r="A4178" s="1" t="s">
        <v>18</v>
      </c>
      <c r="B4178" s="1" t="s">
        <v>3825</v>
      </c>
      <c r="C4178" s="1" t="str">
        <f>"B097"</f>
        <v>B097</v>
      </c>
      <c r="D4178" s="1" t="str">
        <f>"B097"</f>
        <v>B097</v>
      </c>
      <c r="E4178" s="1" t="s">
        <v>17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</row>
    <row r="4179" spans="1:11" x14ac:dyDescent="0.2">
      <c r="A4179" s="1" t="s">
        <v>15</v>
      </c>
      <c r="B4179" s="1" t="s">
        <v>3826</v>
      </c>
      <c r="C4179" s="1" t="str">
        <f>"66298932219701"</f>
        <v>66298932219701</v>
      </c>
      <c r="D4179" s="1" t="str">
        <f>"15AFE4"</f>
        <v>15AFE4</v>
      </c>
      <c r="E4179" s="1" t="s">
        <v>17</v>
      </c>
      <c r="F4179" s="1">
        <v>7</v>
      </c>
      <c r="G4179" s="1">
        <v>5500</v>
      </c>
      <c r="H4179" s="1">
        <v>38500</v>
      </c>
      <c r="I4179" s="1">
        <v>0</v>
      </c>
      <c r="J4179" s="1">
        <v>7</v>
      </c>
      <c r="K4179" s="1">
        <v>0</v>
      </c>
    </row>
    <row r="4180" spans="1:11" x14ac:dyDescent="0.2">
      <c r="A4180" s="1" t="s">
        <v>15</v>
      </c>
      <c r="B4180" s="1" t="s">
        <v>3827</v>
      </c>
      <c r="C4180" s="1" t="str">
        <f>"66298932261089"</f>
        <v>66298932261089</v>
      </c>
      <c r="D4180" s="1" t="str">
        <f>"800219"</f>
        <v>800219</v>
      </c>
      <c r="E4180" s="1" t="s">
        <v>17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</row>
    <row r="4181" spans="1:11" x14ac:dyDescent="0.2">
      <c r="A4181" s="1" t="s">
        <v>15</v>
      </c>
      <c r="B4181" s="1" t="s">
        <v>3828</v>
      </c>
      <c r="C4181" s="1" t="str">
        <f>"66298932299040"</f>
        <v>66298932299040</v>
      </c>
      <c r="D4181" s="1" t="str">
        <f>"6924"</f>
        <v>6924</v>
      </c>
      <c r="E4181" s="1" t="s">
        <v>17</v>
      </c>
      <c r="F4181" s="1">
        <v>35</v>
      </c>
      <c r="G4181" s="1">
        <v>6307</v>
      </c>
      <c r="H4181" s="1">
        <v>220745</v>
      </c>
      <c r="I4181" s="1">
        <v>0</v>
      </c>
      <c r="J4181" s="1">
        <v>35</v>
      </c>
      <c r="K4181" s="1">
        <v>0</v>
      </c>
    </row>
    <row r="4182" spans="1:11" x14ac:dyDescent="0.2">
      <c r="A4182" s="1" t="s">
        <v>15</v>
      </c>
      <c r="B4182" s="1" t="s">
        <v>3829</v>
      </c>
      <c r="C4182" s="1" t="str">
        <f>"66298932346625"</f>
        <v>66298932346625</v>
      </c>
      <c r="D4182" s="1" t="str">
        <f>"105914"</f>
        <v>105914</v>
      </c>
      <c r="E4182" s="1" t="s">
        <v>17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</row>
    <row r="4183" spans="1:11" x14ac:dyDescent="0.2">
      <c r="A4183" s="1" t="s">
        <v>15</v>
      </c>
      <c r="B4183" s="1" t="s">
        <v>3830</v>
      </c>
      <c r="C4183" s="1" t="str">
        <f>"66298932388900"</f>
        <v>66298932388900</v>
      </c>
      <c r="D4183" s="1" t="str">
        <f>"714W51"</f>
        <v>714W51</v>
      </c>
      <c r="E4183" s="1" t="s">
        <v>17</v>
      </c>
      <c r="F4183" s="1">
        <v>15</v>
      </c>
      <c r="G4183" s="1">
        <v>4490</v>
      </c>
      <c r="H4183" s="1">
        <v>67350</v>
      </c>
      <c r="I4183" s="1">
        <v>0</v>
      </c>
      <c r="J4183" s="1">
        <v>15</v>
      </c>
      <c r="K4183" s="1">
        <v>0</v>
      </c>
    </row>
    <row r="4184" spans="1:11" x14ac:dyDescent="0.2">
      <c r="A4184" s="1" t="s">
        <v>15</v>
      </c>
      <c r="B4184" s="1" t="s">
        <v>3831</v>
      </c>
      <c r="C4184" s="1" t="str">
        <f>"66298932426035"</f>
        <v>66298932426035</v>
      </c>
      <c r="D4184" s="1" t="str">
        <f>"702025"</f>
        <v>702025</v>
      </c>
      <c r="E4184" s="1" t="s">
        <v>17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</row>
    <row r="4185" spans="1:11" x14ac:dyDescent="0.2">
      <c r="A4185" s="1" t="s">
        <v>15</v>
      </c>
      <c r="B4185" s="1" t="s">
        <v>3832</v>
      </c>
      <c r="C4185" s="1" t="str">
        <f>"66298932465334"</f>
        <v>66298932465334</v>
      </c>
      <c r="D4185" s="1" t="str">
        <f>"701975"</f>
        <v>701975</v>
      </c>
      <c r="E4185" s="1" t="s">
        <v>17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</row>
    <row r="4186" spans="1:11" x14ac:dyDescent="0.2">
      <c r="A4186" s="1" t="s">
        <v>15</v>
      </c>
      <c r="B4186" s="1" t="s">
        <v>3833</v>
      </c>
      <c r="C4186" s="1" t="str">
        <f>"66298932507022"</f>
        <v>66298932507022</v>
      </c>
      <c r="D4186" s="1" t="str">
        <f>"702027"</f>
        <v>702027</v>
      </c>
      <c r="E4186" s="1" t="s">
        <v>17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</row>
    <row r="4187" spans="1:11" x14ac:dyDescent="0.2">
      <c r="A4187" s="1" t="s">
        <v>98</v>
      </c>
      <c r="B4187" s="1" t="s">
        <v>3834</v>
      </c>
      <c r="C4187" s="1" t="str">
        <f>"66298932548104"</f>
        <v>66298932548104</v>
      </c>
      <c r="D4187" s="1" t="str">
        <f>"QQ001"</f>
        <v>QQ001</v>
      </c>
      <c r="E4187" s="1" t="s">
        <v>17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</row>
    <row r="4188" spans="1:11" x14ac:dyDescent="0.2">
      <c r="A4188" s="1" t="s">
        <v>2004</v>
      </c>
      <c r="B4188" s="1" t="s">
        <v>3835</v>
      </c>
      <c r="C4188" s="1" t="str">
        <f>"66298932594806"</f>
        <v>66298932594806</v>
      </c>
      <c r="D4188" s="1" t="str">
        <f>"81271"</f>
        <v>81271</v>
      </c>
      <c r="E4188" s="1" t="s">
        <v>17</v>
      </c>
      <c r="F4188" s="1">
        <v>80</v>
      </c>
      <c r="G4188" s="1">
        <v>65</v>
      </c>
      <c r="H4188" s="1">
        <v>5200</v>
      </c>
      <c r="I4188" s="1">
        <v>0</v>
      </c>
      <c r="J4188" s="1">
        <v>80</v>
      </c>
      <c r="K4188" s="1">
        <v>0</v>
      </c>
    </row>
    <row r="4189" spans="1:11" x14ac:dyDescent="0.2">
      <c r="A4189" s="1" t="s">
        <v>2004</v>
      </c>
      <c r="B4189" s="1" t="s">
        <v>3835</v>
      </c>
      <c r="C4189" s="1" t="str">
        <f>"66298932602858"</f>
        <v>66298932602858</v>
      </c>
      <c r="D4189" s="1" t="str">
        <f>"S006"</f>
        <v>S006</v>
      </c>
      <c r="E4189" s="1" t="s">
        <v>17</v>
      </c>
      <c r="F4189" s="1">
        <v>2</v>
      </c>
      <c r="G4189" s="1">
        <v>121</v>
      </c>
      <c r="H4189" s="1">
        <v>242</v>
      </c>
      <c r="I4189" s="1">
        <v>0</v>
      </c>
      <c r="J4189" s="1">
        <v>2</v>
      </c>
      <c r="K4189" s="1">
        <v>0</v>
      </c>
    </row>
    <row r="4190" spans="1:11" x14ac:dyDescent="0.2">
      <c r="A4190" s="1" t="s">
        <v>2004</v>
      </c>
      <c r="B4190" s="1" t="s">
        <v>3835</v>
      </c>
      <c r="C4190" s="1" t="str">
        <f>"66298932609324"</f>
        <v>66298932609324</v>
      </c>
      <c r="D4190" s="1" t="str">
        <f>"H1093"</f>
        <v>H1093</v>
      </c>
      <c r="E4190" s="1" t="s">
        <v>17</v>
      </c>
      <c r="F4190" s="1">
        <v>2</v>
      </c>
      <c r="G4190" s="1">
        <v>230</v>
      </c>
      <c r="H4190" s="1">
        <v>460</v>
      </c>
      <c r="I4190" s="1">
        <v>0</v>
      </c>
      <c r="J4190" s="1">
        <v>2</v>
      </c>
      <c r="K4190" s="1">
        <v>0</v>
      </c>
    </row>
    <row r="4191" spans="1:11" x14ac:dyDescent="0.2">
      <c r="A4191" s="1" t="s">
        <v>98</v>
      </c>
      <c r="B4191" s="1" t="s">
        <v>3836</v>
      </c>
      <c r="C4191" s="1" t="str">
        <f>"66298932677231"</f>
        <v>66298932677231</v>
      </c>
      <c r="D4191" s="1" t="str">
        <f>"1080"</f>
        <v>1080</v>
      </c>
      <c r="E4191" s="1" t="s">
        <v>17</v>
      </c>
      <c r="F4191" s="1">
        <v>4</v>
      </c>
      <c r="G4191" s="1">
        <v>844</v>
      </c>
      <c r="H4191" s="1">
        <v>3376</v>
      </c>
      <c r="I4191" s="1">
        <v>0</v>
      </c>
      <c r="J4191" s="1">
        <v>4</v>
      </c>
      <c r="K4191" s="1">
        <v>0</v>
      </c>
    </row>
    <row r="4192" spans="1:11" x14ac:dyDescent="0.2">
      <c r="A4192" s="1" t="s">
        <v>98</v>
      </c>
      <c r="B4192" s="1" t="s">
        <v>3837</v>
      </c>
      <c r="C4192" s="1" t="str">
        <f>"66298932728389"</f>
        <v>66298932728389</v>
      </c>
      <c r="D4192" s="1" t="str">
        <f>"83133"</f>
        <v>83133</v>
      </c>
      <c r="E4192" s="1" t="s">
        <v>17</v>
      </c>
      <c r="F4192" s="1">
        <v>1</v>
      </c>
      <c r="G4192" s="1">
        <v>1815</v>
      </c>
      <c r="H4192" s="1">
        <v>1815</v>
      </c>
      <c r="I4192" s="1">
        <v>0</v>
      </c>
      <c r="J4192" s="1">
        <v>1</v>
      </c>
      <c r="K4192" s="1">
        <v>0</v>
      </c>
    </row>
    <row r="4193" spans="1:11" x14ac:dyDescent="0.2">
      <c r="A4193" s="1" t="s">
        <v>98</v>
      </c>
      <c r="B4193" s="1" t="s">
        <v>3838</v>
      </c>
      <c r="C4193" s="1" t="str">
        <f>"66298932767649"</f>
        <v>66298932767649</v>
      </c>
      <c r="D4193" s="1" t="str">
        <f>"5YY-H1950-10GY"</f>
        <v>5YY-H1950-10GY</v>
      </c>
      <c r="E4193" s="1" t="s">
        <v>17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</row>
    <row r="4194" spans="1:11" x14ac:dyDescent="0.2">
      <c r="A4194" s="1" t="s">
        <v>98</v>
      </c>
      <c r="B4194" s="1" t="s">
        <v>3839</v>
      </c>
      <c r="C4194" s="1" t="str">
        <f>"66298932813273"</f>
        <v>66298932813273</v>
      </c>
      <c r="D4194" s="1" t="str">
        <f>"DK-2010-16HB"</f>
        <v>DK-2010-16HB</v>
      </c>
      <c r="E4194" s="1" t="s">
        <v>17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</row>
    <row r="4195" spans="1:11" x14ac:dyDescent="0.2">
      <c r="A4195" s="1" t="s">
        <v>15</v>
      </c>
      <c r="B4195" s="1" t="s">
        <v>3840</v>
      </c>
      <c r="C4195" s="1" t="str">
        <f>"11699"</f>
        <v>11699</v>
      </c>
      <c r="D4195" s="1" t="str">
        <f>"11699"</f>
        <v>11699</v>
      </c>
      <c r="E4195" s="1" t="s">
        <v>17</v>
      </c>
      <c r="F4195" s="1">
        <v>7</v>
      </c>
      <c r="G4195" s="1">
        <v>2192</v>
      </c>
      <c r="H4195" s="1">
        <v>15344</v>
      </c>
      <c r="I4195" s="1">
        <v>0</v>
      </c>
      <c r="J4195" s="1">
        <v>7</v>
      </c>
      <c r="K4195" s="1">
        <v>0</v>
      </c>
    </row>
    <row r="4196" spans="1:11" x14ac:dyDescent="0.2">
      <c r="A4196" s="1" t="s">
        <v>15</v>
      </c>
      <c r="B4196" s="1" t="s">
        <v>3841</v>
      </c>
      <c r="C4196" s="1" t="str">
        <f>"11610"</f>
        <v>11610</v>
      </c>
      <c r="D4196" s="1" t="str">
        <f>"11610"</f>
        <v>11610</v>
      </c>
      <c r="E4196" s="1" t="s">
        <v>17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</row>
    <row r="4197" spans="1:11" x14ac:dyDescent="0.2">
      <c r="A4197" s="1" t="s">
        <v>98</v>
      </c>
      <c r="B4197" s="1" t="s">
        <v>3842</v>
      </c>
      <c r="C4197" s="1" t="str">
        <f>"66298932856440"</f>
        <v>66298932856440</v>
      </c>
      <c r="D4197" s="1" t="str">
        <f>"800665"</f>
        <v>800665</v>
      </c>
      <c r="E4197" s="1" t="s">
        <v>17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</row>
    <row r="4198" spans="1:11" x14ac:dyDescent="0.2">
      <c r="A4198" s="1" t="s">
        <v>3843</v>
      </c>
      <c r="B4198" s="1" t="s">
        <v>3844</v>
      </c>
      <c r="C4198" s="1" t="str">
        <f>"66298932898266"</f>
        <v>66298932898266</v>
      </c>
      <c r="D4198" s="1" t="str">
        <f>"ZZA019"</f>
        <v>ZZA019</v>
      </c>
      <c r="E4198" s="1" t="s">
        <v>17</v>
      </c>
      <c r="F4198" s="1">
        <v>10</v>
      </c>
      <c r="G4198" s="1">
        <v>642</v>
      </c>
      <c r="H4198" s="1">
        <v>6420</v>
      </c>
      <c r="I4198" s="1">
        <v>0</v>
      </c>
      <c r="J4198" s="1">
        <v>10</v>
      </c>
      <c r="K4198" s="1">
        <v>0</v>
      </c>
    </row>
    <row r="4199" spans="1:11" x14ac:dyDescent="0.2">
      <c r="A4199" s="1" t="s">
        <v>3843</v>
      </c>
      <c r="B4199" s="1" t="s">
        <v>3845</v>
      </c>
      <c r="C4199" s="1" t="str">
        <f>"66298932938128"</f>
        <v>66298932938128</v>
      </c>
      <c r="D4199" s="1" t="str">
        <f>"ZZA017"</f>
        <v>ZZA017</v>
      </c>
      <c r="E4199" s="1" t="s">
        <v>17</v>
      </c>
      <c r="F4199" s="1">
        <v>1</v>
      </c>
      <c r="G4199" s="1">
        <v>642</v>
      </c>
      <c r="H4199" s="1">
        <v>642</v>
      </c>
      <c r="I4199" s="1">
        <v>0</v>
      </c>
      <c r="J4199" s="1">
        <v>1</v>
      </c>
      <c r="K4199" s="1">
        <v>0</v>
      </c>
    </row>
    <row r="4200" spans="1:11" x14ac:dyDescent="0.2">
      <c r="A4200" s="1" t="s">
        <v>3843</v>
      </c>
      <c r="B4200" s="1" t="s">
        <v>3846</v>
      </c>
      <c r="C4200" s="1" t="str">
        <f>"66298932980376"</f>
        <v>66298932980376</v>
      </c>
      <c r="D4200" s="1" t="str">
        <f>"ZZA018"</f>
        <v>ZZA018</v>
      </c>
      <c r="E4200" s="1" t="s">
        <v>17</v>
      </c>
      <c r="F4200" s="1">
        <v>2</v>
      </c>
      <c r="G4200" s="1">
        <v>642</v>
      </c>
      <c r="H4200" s="1">
        <v>1284</v>
      </c>
      <c r="I4200" s="1">
        <v>0</v>
      </c>
      <c r="J4200" s="1">
        <v>2</v>
      </c>
      <c r="K4200" s="1">
        <v>0</v>
      </c>
    </row>
    <row r="4201" spans="1:11" x14ac:dyDescent="0.2">
      <c r="A4201" s="1" t="s">
        <v>3843</v>
      </c>
      <c r="B4201" s="1" t="s">
        <v>3847</v>
      </c>
      <c r="C4201" s="1" t="str">
        <f>"66298933023843"</f>
        <v>66298933023843</v>
      </c>
      <c r="D4201" s="1" t="str">
        <f>"ZZA021"</f>
        <v>ZZA021</v>
      </c>
      <c r="E4201" s="1" t="s">
        <v>17</v>
      </c>
      <c r="F4201" s="1">
        <v>5</v>
      </c>
      <c r="G4201" s="1">
        <v>642</v>
      </c>
      <c r="H4201" s="1">
        <v>3210</v>
      </c>
      <c r="I4201" s="1">
        <v>0</v>
      </c>
      <c r="J4201" s="1">
        <v>5</v>
      </c>
      <c r="K4201" s="1">
        <v>0</v>
      </c>
    </row>
    <row r="4202" spans="1:11" x14ac:dyDescent="0.2">
      <c r="A4202" s="1" t="s">
        <v>3843</v>
      </c>
      <c r="B4202" s="1" t="s">
        <v>3848</v>
      </c>
      <c r="C4202" s="1" t="str">
        <f>"66298933064594"</f>
        <v>66298933064594</v>
      </c>
      <c r="D4202" s="1" t="str">
        <f>"ZZA016"</f>
        <v>ZZA016</v>
      </c>
      <c r="E4202" s="1" t="s">
        <v>17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</row>
    <row r="4203" spans="1:11" x14ac:dyDescent="0.2">
      <c r="A4203" s="1" t="s">
        <v>3843</v>
      </c>
      <c r="B4203" s="1" t="s">
        <v>3849</v>
      </c>
      <c r="C4203" s="1" t="str">
        <f>"66298933107391"</f>
        <v>66298933107391</v>
      </c>
      <c r="D4203" s="1" t="str">
        <f>"SB005"</f>
        <v>SB005</v>
      </c>
      <c r="E4203" s="1" t="s">
        <v>17</v>
      </c>
      <c r="F4203" s="1">
        <v>2</v>
      </c>
      <c r="G4203" s="1">
        <v>298</v>
      </c>
      <c r="H4203" s="1">
        <v>596</v>
      </c>
      <c r="I4203" s="1">
        <v>0</v>
      </c>
      <c r="J4203" s="1">
        <v>2</v>
      </c>
      <c r="K4203" s="1">
        <v>0</v>
      </c>
    </row>
    <row r="4204" spans="1:11" x14ac:dyDescent="0.2">
      <c r="A4204" s="1" t="s">
        <v>3850</v>
      </c>
      <c r="B4204" s="1" t="s">
        <v>3851</v>
      </c>
      <c r="C4204" s="1" t="str">
        <f>"B074"</f>
        <v>B074</v>
      </c>
      <c r="D4204" s="1" t="str">
        <f>"B074"</f>
        <v>B074</v>
      </c>
      <c r="E4204" s="1" t="s">
        <v>17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</row>
    <row r="4205" spans="1:11" x14ac:dyDescent="0.2">
      <c r="A4205" s="1" t="s">
        <v>3850</v>
      </c>
      <c r="B4205" s="1" t="s">
        <v>3852</v>
      </c>
      <c r="C4205" s="1" t="str">
        <f>"66298933152756"</f>
        <v>66298933152756</v>
      </c>
      <c r="D4205" s="1" t="str">
        <f>"80321"</f>
        <v>80321</v>
      </c>
      <c r="E4205" s="1" t="s">
        <v>17</v>
      </c>
      <c r="F4205" s="1">
        <v>8</v>
      </c>
      <c r="G4205" s="1">
        <v>1469</v>
      </c>
      <c r="H4205" s="1">
        <v>11752</v>
      </c>
      <c r="I4205" s="1">
        <v>0</v>
      </c>
      <c r="J4205" s="1">
        <v>8</v>
      </c>
      <c r="K4205" s="1">
        <v>0</v>
      </c>
    </row>
    <row r="4206" spans="1:11" x14ac:dyDescent="0.2">
      <c r="A4206" s="1" t="s">
        <v>3850</v>
      </c>
      <c r="B4206" s="1" t="s">
        <v>3853</v>
      </c>
      <c r="C4206" s="1" t="str">
        <f>"66298933194484"</f>
        <v>66298933194484</v>
      </c>
      <c r="D4206" s="1" t="str">
        <f>"XA017"</f>
        <v>XA017</v>
      </c>
      <c r="E4206" s="1" t="s">
        <v>17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</row>
    <row r="4207" spans="1:11" x14ac:dyDescent="0.2">
      <c r="A4207" s="1" t="s">
        <v>3850</v>
      </c>
      <c r="B4207" s="1" t="s">
        <v>3854</v>
      </c>
      <c r="C4207" s="1" t="str">
        <f>"66298933237857"</f>
        <v>66298933237857</v>
      </c>
      <c r="D4207" s="1" t="str">
        <f>"KB-0204N"</f>
        <v>KB-0204N</v>
      </c>
      <c r="E4207" s="1" t="s">
        <v>17</v>
      </c>
      <c r="F4207" s="1">
        <v>1</v>
      </c>
      <c r="G4207" s="1">
        <v>8792</v>
      </c>
      <c r="H4207" s="1">
        <v>8792</v>
      </c>
      <c r="I4207" s="1">
        <v>0</v>
      </c>
      <c r="J4207" s="1">
        <v>1</v>
      </c>
      <c r="K4207" s="1">
        <v>0</v>
      </c>
    </row>
    <row r="4208" spans="1:11" x14ac:dyDescent="0.2">
      <c r="A4208" s="1" t="s">
        <v>3850</v>
      </c>
      <c r="B4208" s="1" t="s">
        <v>3855</v>
      </c>
      <c r="C4208" s="1" t="str">
        <f>"66298933282115"</f>
        <v>66298933282115</v>
      </c>
      <c r="D4208" s="1" t="str">
        <f>"80323"</f>
        <v>80323</v>
      </c>
      <c r="E4208" s="1" t="s">
        <v>17</v>
      </c>
      <c r="F4208" s="1">
        <v>1</v>
      </c>
      <c r="G4208" s="1">
        <v>1529</v>
      </c>
      <c r="H4208" s="1">
        <v>1529</v>
      </c>
      <c r="I4208" s="1">
        <v>0</v>
      </c>
      <c r="J4208" s="1">
        <v>1</v>
      </c>
      <c r="K4208" s="1">
        <v>0</v>
      </c>
    </row>
    <row r="4209" spans="1:11" x14ac:dyDescent="0.2">
      <c r="A4209" s="1" t="s">
        <v>3850</v>
      </c>
      <c r="B4209" s="1" t="s">
        <v>3856</v>
      </c>
      <c r="C4209" s="1" t="str">
        <f>"66298933326418"</f>
        <v>66298933326418</v>
      </c>
      <c r="D4209" s="1" t="str">
        <f>"KY-0563JP"</f>
        <v>KY-0563JP</v>
      </c>
      <c r="E4209" s="1" t="s">
        <v>17</v>
      </c>
      <c r="F4209" s="1">
        <v>2</v>
      </c>
      <c r="G4209" s="1">
        <v>9805</v>
      </c>
      <c r="H4209" s="1">
        <v>19610</v>
      </c>
      <c r="I4209" s="1">
        <v>0</v>
      </c>
      <c r="J4209" s="1">
        <v>2</v>
      </c>
      <c r="K4209" s="1">
        <v>0</v>
      </c>
    </row>
    <row r="4210" spans="1:11" x14ac:dyDescent="0.2">
      <c r="A4210" s="1" t="s">
        <v>1359</v>
      </c>
      <c r="B4210" s="1" t="s">
        <v>3857</v>
      </c>
      <c r="C4210" s="1" t="str">
        <f>"66298933365262"</f>
        <v>66298933365262</v>
      </c>
      <c r="D4210" s="1" t="str">
        <f>"35400-K70-601GH"</f>
        <v>35400-K70-601GH</v>
      </c>
      <c r="E4210" s="1" t="s">
        <v>17</v>
      </c>
      <c r="F4210" s="1">
        <v>1</v>
      </c>
      <c r="G4210" s="1">
        <v>2047</v>
      </c>
      <c r="H4210" s="1">
        <v>2047</v>
      </c>
      <c r="I4210" s="1">
        <v>0</v>
      </c>
      <c r="J4210" s="1">
        <v>1</v>
      </c>
      <c r="K4210" s="1">
        <v>0</v>
      </c>
    </row>
    <row r="4211" spans="1:11" x14ac:dyDescent="0.2">
      <c r="A4211" s="1" t="s">
        <v>1359</v>
      </c>
      <c r="B4211" s="1" t="s">
        <v>3858</v>
      </c>
      <c r="C4211" s="1" t="str">
        <f>"66298933407092"</f>
        <v>66298933407092</v>
      </c>
      <c r="D4211" s="1" t="str">
        <f>"VH002"</f>
        <v>VH002</v>
      </c>
      <c r="E4211" s="1" t="s">
        <v>17</v>
      </c>
      <c r="F4211" s="1">
        <v>4</v>
      </c>
      <c r="G4211" s="1">
        <v>1553</v>
      </c>
      <c r="H4211" s="1">
        <v>6212</v>
      </c>
      <c r="I4211" s="1">
        <v>0</v>
      </c>
      <c r="J4211" s="1">
        <v>4</v>
      </c>
      <c r="K4211" s="1">
        <v>0</v>
      </c>
    </row>
    <row r="4212" spans="1:11" x14ac:dyDescent="0.2">
      <c r="A4212" s="1" t="s">
        <v>3859</v>
      </c>
      <c r="B4212" s="1" t="s">
        <v>3860</v>
      </c>
      <c r="C4212" s="1" t="str">
        <f>"66298933452950"</f>
        <v>66298933452950</v>
      </c>
      <c r="D4212" s="1" t="str">
        <f>"G311"</f>
        <v>G311</v>
      </c>
      <c r="E4212" s="1" t="s">
        <v>17</v>
      </c>
      <c r="F4212" s="1">
        <v>11</v>
      </c>
      <c r="G4212" s="1">
        <v>363.82</v>
      </c>
      <c r="H4212" s="1">
        <v>4002</v>
      </c>
      <c r="I4212" s="1">
        <v>0</v>
      </c>
      <c r="J4212" s="1">
        <v>11</v>
      </c>
      <c r="K4212" s="1">
        <v>0</v>
      </c>
    </row>
    <row r="4213" spans="1:11" x14ac:dyDescent="0.2">
      <c r="A4213" s="1" t="s">
        <v>3859</v>
      </c>
      <c r="B4213" s="1" t="s">
        <v>3861</v>
      </c>
      <c r="C4213" s="1" t="str">
        <f>"66298933495915"</f>
        <v>66298933495915</v>
      </c>
      <c r="D4213" s="1" t="str">
        <f>"BY11013-E5-10"</f>
        <v>BY11013-E5-10</v>
      </c>
      <c r="E4213" s="1" t="s">
        <v>17</v>
      </c>
      <c r="F4213" s="1">
        <v>4</v>
      </c>
      <c r="G4213" s="1">
        <v>299</v>
      </c>
      <c r="H4213" s="1">
        <v>1196</v>
      </c>
      <c r="I4213" s="1">
        <v>0</v>
      </c>
      <c r="J4213" s="1">
        <v>4</v>
      </c>
      <c r="K4213" s="1">
        <v>0</v>
      </c>
    </row>
    <row r="4214" spans="1:11" x14ac:dyDescent="0.2">
      <c r="A4214" s="1" t="s">
        <v>3859</v>
      </c>
      <c r="B4214" s="1" t="s">
        <v>3862</v>
      </c>
      <c r="C4214" s="1" t="str">
        <f>"66298933537538"</f>
        <v>66298933537538</v>
      </c>
      <c r="D4214" s="1" t="str">
        <f>"21C-E6333-00"</f>
        <v>21C-E6333-00</v>
      </c>
      <c r="E4214" s="1" t="s">
        <v>17</v>
      </c>
      <c r="F4214" s="1">
        <v>1</v>
      </c>
      <c r="G4214" s="1">
        <v>518</v>
      </c>
      <c r="H4214" s="1">
        <v>518</v>
      </c>
      <c r="I4214" s="1">
        <v>0</v>
      </c>
      <c r="J4214" s="1">
        <v>1</v>
      </c>
      <c r="K4214" s="1">
        <v>0</v>
      </c>
    </row>
    <row r="4215" spans="1:11" x14ac:dyDescent="0.2">
      <c r="A4215" s="1" t="s">
        <v>3859</v>
      </c>
      <c r="B4215" s="1" t="s">
        <v>3863</v>
      </c>
      <c r="C4215" s="1" t="str">
        <f>"FY2005A-E4-23"</f>
        <v>FY2005A-E4-23</v>
      </c>
      <c r="D4215" s="1" t="str">
        <f>"FY2005A-E4-23"</f>
        <v>FY2005A-E4-23</v>
      </c>
      <c r="E4215" s="1" t="s">
        <v>17</v>
      </c>
      <c r="F4215" s="1">
        <v>1</v>
      </c>
      <c r="G4215" s="1">
        <v>588.24</v>
      </c>
      <c r="H4215" s="1">
        <v>588</v>
      </c>
      <c r="I4215" s="1">
        <v>0</v>
      </c>
      <c r="J4215" s="1">
        <v>1</v>
      </c>
      <c r="K4215" s="1">
        <v>0</v>
      </c>
    </row>
    <row r="4216" spans="1:11" x14ac:dyDescent="0.2">
      <c r="A4216" s="1" t="s">
        <v>3859</v>
      </c>
      <c r="B4216" s="1" t="s">
        <v>3864</v>
      </c>
      <c r="C4216" s="1" t="str">
        <f>"66298933578597"</f>
        <v>66298933578597</v>
      </c>
      <c r="D4216" s="1" t="str">
        <f>"G302"</f>
        <v>G302</v>
      </c>
      <c r="E4216" s="1" t="s">
        <v>17</v>
      </c>
      <c r="F4216" s="1">
        <v>24</v>
      </c>
      <c r="G4216" s="1">
        <v>375.38</v>
      </c>
      <c r="H4216" s="1">
        <v>9009</v>
      </c>
      <c r="I4216" s="1">
        <v>0</v>
      </c>
      <c r="J4216" s="1">
        <v>24</v>
      </c>
      <c r="K4216" s="1">
        <v>0</v>
      </c>
    </row>
    <row r="4217" spans="1:11" x14ac:dyDescent="0.2">
      <c r="A4217" s="1" t="s">
        <v>3859</v>
      </c>
      <c r="B4217" s="1" t="s">
        <v>3865</v>
      </c>
      <c r="C4217" s="1" t="str">
        <f>"66298933624900"</f>
        <v>66298933624900</v>
      </c>
      <c r="D4217" s="1" t="str">
        <f>"G303"</f>
        <v>G303</v>
      </c>
      <c r="E4217" s="1" t="s">
        <v>17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</row>
    <row r="4218" spans="1:11" x14ac:dyDescent="0.2">
      <c r="A4218" s="1" t="s">
        <v>3859</v>
      </c>
      <c r="B4218" s="1" t="s">
        <v>3866</v>
      </c>
      <c r="C4218" s="1" t="str">
        <f>"66298933664540"</f>
        <v>66298933664540</v>
      </c>
      <c r="D4218" s="1" t="str">
        <f>"82842"</f>
        <v>82842</v>
      </c>
      <c r="E4218" s="1" t="s">
        <v>17</v>
      </c>
      <c r="F4218" s="1">
        <v>1</v>
      </c>
      <c r="G4218" s="1">
        <v>400</v>
      </c>
      <c r="H4218" s="1">
        <v>400</v>
      </c>
      <c r="I4218" s="1">
        <v>0</v>
      </c>
      <c r="J4218" s="1">
        <v>1</v>
      </c>
      <c r="K4218" s="1">
        <v>0</v>
      </c>
    </row>
    <row r="4219" spans="1:11" x14ac:dyDescent="0.2">
      <c r="A4219" s="1" t="s">
        <v>3859</v>
      </c>
      <c r="B4219" s="1" t="s">
        <v>3867</v>
      </c>
      <c r="C4219" s="1" t="str">
        <f>"66298933703780"</f>
        <v>66298933703780</v>
      </c>
      <c r="D4219" s="1" t="str">
        <f>"G309"</f>
        <v>G309</v>
      </c>
      <c r="E4219" s="1" t="s">
        <v>17</v>
      </c>
      <c r="F4219" s="1">
        <v>4</v>
      </c>
      <c r="G4219" s="1">
        <v>405</v>
      </c>
      <c r="H4219" s="1">
        <v>1620</v>
      </c>
      <c r="I4219" s="1">
        <v>0</v>
      </c>
      <c r="J4219" s="1">
        <v>4</v>
      </c>
      <c r="K4219" s="1">
        <v>0</v>
      </c>
    </row>
    <row r="4220" spans="1:11" x14ac:dyDescent="0.2">
      <c r="A4220" s="1" t="s">
        <v>3859</v>
      </c>
      <c r="B4220" s="1" t="s">
        <v>3868</v>
      </c>
      <c r="C4220" s="1" t="str">
        <f>"RES-LATERAL"</f>
        <v>RES-LATERAL</v>
      </c>
      <c r="D4220" s="1" t="str">
        <f>"RES-LATERAL"</f>
        <v>RES-LATERAL</v>
      </c>
      <c r="E4220" s="1" t="s">
        <v>17</v>
      </c>
      <c r="F4220" s="1">
        <v>9</v>
      </c>
      <c r="G4220" s="1">
        <v>199.52</v>
      </c>
      <c r="H4220" s="1">
        <v>1796</v>
      </c>
      <c r="I4220" s="1">
        <v>0</v>
      </c>
      <c r="J4220" s="1">
        <v>9</v>
      </c>
      <c r="K4220" s="1">
        <v>0</v>
      </c>
    </row>
    <row r="4221" spans="1:11" x14ac:dyDescent="0.2">
      <c r="A4221" s="1" t="s">
        <v>3859</v>
      </c>
      <c r="B4221" s="1" t="s">
        <v>3869</v>
      </c>
      <c r="C4221" s="1" t="str">
        <f>"66298933748622"</f>
        <v>66298933748622</v>
      </c>
      <c r="D4221" s="1" t="str">
        <f>"G301"</f>
        <v>G301</v>
      </c>
      <c r="E4221" s="1" t="s">
        <v>17</v>
      </c>
      <c r="F4221" s="1">
        <v>8</v>
      </c>
      <c r="G4221" s="1">
        <v>362.25</v>
      </c>
      <c r="H4221" s="1">
        <v>2898</v>
      </c>
      <c r="I4221" s="1">
        <v>0</v>
      </c>
      <c r="J4221" s="1">
        <v>8</v>
      </c>
      <c r="K4221" s="1">
        <v>0</v>
      </c>
    </row>
    <row r="4222" spans="1:11" x14ac:dyDescent="0.2">
      <c r="A4222" s="1" t="s">
        <v>3859</v>
      </c>
      <c r="B4222" s="1" t="s">
        <v>3870</v>
      </c>
      <c r="C4222" s="1" t="str">
        <f>"66298933788546"</f>
        <v>66298933788546</v>
      </c>
      <c r="D4222" s="1" t="str">
        <f>"90506-35816GY"</f>
        <v>90506-35816GY</v>
      </c>
      <c r="E4222" s="1" t="s">
        <v>17</v>
      </c>
      <c r="F4222" s="1">
        <v>1</v>
      </c>
      <c r="G4222" s="1">
        <v>2682</v>
      </c>
      <c r="H4222" s="1">
        <v>2682</v>
      </c>
      <c r="I4222" s="1">
        <v>0</v>
      </c>
      <c r="J4222" s="1">
        <v>1</v>
      </c>
      <c r="K4222" s="1">
        <v>0</v>
      </c>
    </row>
    <row r="4223" spans="1:11" x14ac:dyDescent="0.2">
      <c r="A4223" s="1" t="s">
        <v>3859</v>
      </c>
      <c r="B4223" s="1" t="s">
        <v>3871</v>
      </c>
      <c r="C4223" s="1" t="str">
        <f>"RES-CENTRAL"</f>
        <v>RES-CENTRAL</v>
      </c>
      <c r="D4223" s="1" t="str">
        <f>"RES-CENTRAL"</f>
        <v>RES-CENTRAL</v>
      </c>
      <c r="E4223" s="1" t="s">
        <v>17</v>
      </c>
      <c r="F4223" s="1">
        <v>8</v>
      </c>
      <c r="G4223" s="1">
        <v>199.52</v>
      </c>
      <c r="H4223" s="1">
        <v>1596</v>
      </c>
      <c r="I4223" s="1">
        <v>0</v>
      </c>
      <c r="J4223" s="1">
        <v>8</v>
      </c>
      <c r="K4223" s="1">
        <v>0</v>
      </c>
    </row>
    <row r="4224" spans="1:11" x14ac:dyDescent="0.2">
      <c r="A4224" s="1" t="s">
        <v>3859</v>
      </c>
      <c r="B4224" s="1" t="s">
        <v>3872</v>
      </c>
      <c r="C4224" s="1" t="str">
        <f>"66298933826173"</f>
        <v>66298933826173</v>
      </c>
      <c r="D4224" s="1" t="str">
        <f>"G304"</f>
        <v>G304</v>
      </c>
      <c r="E4224" s="1" t="s">
        <v>17</v>
      </c>
      <c r="F4224" s="1">
        <v>6</v>
      </c>
      <c r="G4224" s="1">
        <v>315</v>
      </c>
      <c r="H4224" s="1">
        <v>1890</v>
      </c>
      <c r="I4224" s="1">
        <v>0</v>
      </c>
      <c r="J4224" s="1">
        <v>6</v>
      </c>
      <c r="K4224" s="1">
        <v>0</v>
      </c>
    </row>
    <row r="4225" spans="1:11" x14ac:dyDescent="0.2">
      <c r="A4225" s="1" t="s">
        <v>3859</v>
      </c>
      <c r="B4225" s="1" t="s">
        <v>3873</v>
      </c>
      <c r="C4225" s="1" t="str">
        <f>"66298933868267"</f>
        <v>66298933868267</v>
      </c>
      <c r="D4225" s="1" t="str">
        <f>"90506-23807GY"</f>
        <v>90506-23807GY</v>
      </c>
      <c r="E4225" s="1" t="s">
        <v>17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</row>
    <row r="4226" spans="1:11" x14ac:dyDescent="0.2">
      <c r="A4226" s="1" t="s">
        <v>3859</v>
      </c>
      <c r="B4226" s="1" t="s">
        <v>3874</v>
      </c>
      <c r="C4226" s="1" t="str">
        <f>"66298933910273"</f>
        <v>66298933910273</v>
      </c>
      <c r="D4226" s="1" t="str">
        <f>"90506-16034"</f>
        <v>90506-16034</v>
      </c>
      <c r="E4226" s="1" t="s">
        <v>17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</row>
    <row r="4227" spans="1:11" x14ac:dyDescent="0.2">
      <c r="A4227" s="1" t="s">
        <v>3859</v>
      </c>
      <c r="B4227" s="1" t="s">
        <v>3875</v>
      </c>
      <c r="C4227" s="1" t="str">
        <f>"66298933952653"</f>
        <v>66298933952653</v>
      </c>
      <c r="D4227" s="1" t="str">
        <f>"43151-110-000"</f>
        <v>43151-110-000</v>
      </c>
      <c r="E4227" s="1" t="s">
        <v>17</v>
      </c>
      <c r="F4227" s="1">
        <v>8</v>
      </c>
      <c r="G4227" s="1">
        <v>232</v>
      </c>
      <c r="H4227" s="1">
        <v>1856</v>
      </c>
      <c r="I4227" s="1">
        <v>0</v>
      </c>
      <c r="J4227" s="1">
        <v>8</v>
      </c>
      <c r="K4227" s="1">
        <v>0</v>
      </c>
    </row>
    <row r="4228" spans="1:11" x14ac:dyDescent="0.2">
      <c r="A4228" s="1" t="s">
        <v>3859</v>
      </c>
      <c r="B4228" s="1" t="s">
        <v>3876</v>
      </c>
      <c r="C4228" s="1" t="str">
        <f>"66298933997383"</f>
        <v>66298933997383</v>
      </c>
      <c r="D4228" s="1" t="str">
        <f>"90506-YBR125"</f>
        <v>90506-YBR125</v>
      </c>
      <c r="E4228" s="1" t="s">
        <v>17</v>
      </c>
      <c r="F4228" s="1">
        <v>1</v>
      </c>
      <c r="G4228" s="1">
        <v>259</v>
      </c>
      <c r="H4228" s="1">
        <v>259</v>
      </c>
      <c r="I4228" s="1">
        <v>0</v>
      </c>
      <c r="J4228" s="1">
        <v>1</v>
      </c>
      <c r="K4228" s="1">
        <v>0</v>
      </c>
    </row>
    <row r="4229" spans="1:11" x14ac:dyDescent="0.2">
      <c r="A4229" s="1" t="s">
        <v>3859</v>
      </c>
      <c r="B4229" s="1" t="s">
        <v>3877</v>
      </c>
      <c r="C4229" s="1" t="str">
        <f>"66298934040925"</f>
        <v>66298934040925</v>
      </c>
      <c r="D4229" s="1" t="str">
        <f>"G312"</f>
        <v>G312</v>
      </c>
      <c r="E4229" s="1" t="s">
        <v>17</v>
      </c>
      <c r="F4229" s="1">
        <v>1</v>
      </c>
      <c r="G4229" s="1">
        <v>315</v>
      </c>
      <c r="H4229" s="1">
        <v>315</v>
      </c>
      <c r="I4229" s="1">
        <v>0</v>
      </c>
      <c r="J4229" s="1">
        <v>1</v>
      </c>
      <c r="K4229" s="1">
        <v>0</v>
      </c>
    </row>
    <row r="4230" spans="1:11" x14ac:dyDescent="0.2">
      <c r="A4230" s="1" t="s">
        <v>3859</v>
      </c>
      <c r="B4230" s="1" t="s">
        <v>3878</v>
      </c>
      <c r="C4230" s="1" t="str">
        <f>"66298934080750"</f>
        <v>66298934080750</v>
      </c>
      <c r="D4230" s="1" t="str">
        <f>"DH-1910-06"</f>
        <v>DH-1910-06</v>
      </c>
      <c r="E4230" s="1" t="s">
        <v>17</v>
      </c>
      <c r="F4230" s="1">
        <v>3</v>
      </c>
      <c r="G4230" s="1">
        <v>777</v>
      </c>
      <c r="H4230" s="1">
        <v>2331</v>
      </c>
      <c r="I4230" s="1">
        <v>0</v>
      </c>
      <c r="J4230" s="1">
        <v>3</v>
      </c>
      <c r="K4230" s="1">
        <v>0</v>
      </c>
    </row>
    <row r="4231" spans="1:11" x14ac:dyDescent="0.2">
      <c r="A4231" s="1" t="s">
        <v>3859</v>
      </c>
      <c r="B4231" s="1" t="s">
        <v>3879</v>
      </c>
      <c r="C4231" s="1" t="str">
        <f>"RES-PEFRENO"</f>
        <v>RES-PEFRENO</v>
      </c>
      <c r="D4231" s="1" t="str">
        <f>"RES-PEFRENO"</f>
        <v>RES-PEFRENO</v>
      </c>
      <c r="E4231" s="1" t="s">
        <v>17</v>
      </c>
      <c r="F4231" s="1">
        <v>3</v>
      </c>
      <c r="G4231" s="1">
        <v>199.52</v>
      </c>
      <c r="H4231" s="1">
        <v>599</v>
      </c>
      <c r="I4231" s="1">
        <v>0</v>
      </c>
      <c r="J4231" s="1">
        <v>3</v>
      </c>
      <c r="K4231" s="1">
        <v>0</v>
      </c>
    </row>
    <row r="4232" spans="1:11" x14ac:dyDescent="0.2">
      <c r="A4232" s="1" t="s">
        <v>3859</v>
      </c>
      <c r="B4232" s="1" t="s">
        <v>3880</v>
      </c>
      <c r="C4232" s="1" t="str">
        <f>"66298934124178"</f>
        <v>66298934124178</v>
      </c>
      <c r="D4232" s="1" t="str">
        <f>"G314"</f>
        <v>G314</v>
      </c>
      <c r="E4232" s="1" t="s">
        <v>17</v>
      </c>
      <c r="F4232" s="1">
        <v>4</v>
      </c>
      <c r="G4232" s="1">
        <v>605</v>
      </c>
      <c r="H4232" s="1">
        <v>2420</v>
      </c>
      <c r="I4232" s="1">
        <v>0</v>
      </c>
      <c r="J4232" s="1">
        <v>4</v>
      </c>
      <c r="K4232" s="1">
        <v>0</v>
      </c>
    </row>
    <row r="4233" spans="1:11" x14ac:dyDescent="0.2">
      <c r="A4233" s="1" t="s">
        <v>3859</v>
      </c>
      <c r="B4233" s="1" t="s">
        <v>3881</v>
      </c>
      <c r="C4233" s="1" t="str">
        <f>"66298934166758"</f>
        <v>66298934166758</v>
      </c>
      <c r="D4233" s="1" t="str">
        <f>"G313"</f>
        <v>G313</v>
      </c>
      <c r="E4233" s="1" t="s">
        <v>17</v>
      </c>
      <c r="F4233" s="1">
        <v>7</v>
      </c>
      <c r="G4233" s="1">
        <v>605</v>
      </c>
      <c r="H4233" s="1">
        <v>4235</v>
      </c>
      <c r="I4233" s="1">
        <v>0</v>
      </c>
      <c r="J4233" s="1">
        <v>7</v>
      </c>
      <c r="K4233" s="1">
        <v>0</v>
      </c>
    </row>
    <row r="4234" spans="1:11" x14ac:dyDescent="0.2">
      <c r="A4234" s="1" t="s">
        <v>3859</v>
      </c>
      <c r="B4234" s="1" t="s">
        <v>3882</v>
      </c>
      <c r="C4234" s="1" t="str">
        <f>"66298934223891"</f>
        <v>66298934223891</v>
      </c>
      <c r="D4234" s="1" t="str">
        <f>"11518"</f>
        <v>11518</v>
      </c>
      <c r="E4234" s="1" t="s">
        <v>17</v>
      </c>
      <c r="F4234" s="1">
        <v>8</v>
      </c>
      <c r="G4234" s="1">
        <v>1706</v>
      </c>
      <c r="H4234" s="1">
        <v>13648</v>
      </c>
      <c r="I4234" s="1">
        <v>0</v>
      </c>
      <c r="J4234" s="1">
        <v>8</v>
      </c>
      <c r="K4234" s="1">
        <v>0</v>
      </c>
    </row>
    <row r="4235" spans="1:11" x14ac:dyDescent="0.2">
      <c r="A4235" s="1" t="s">
        <v>3859</v>
      </c>
      <c r="B4235" s="1" t="s">
        <v>3883</v>
      </c>
      <c r="C4235" s="1" t="str">
        <f>"66298934267074"</f>
        <v>66298934267074</v>
      </c>
      <c r="D4235" s="1" t="str">
        <f>"11519"</f>
        <v>11519</v>
      </c>
      <c r="E4235" s="1" t="s">
        <v>17</v>
      </c>
      <c r="F4235" s="1">
        <v>8</v>
      </c>
      <c r="G4235" s="1">
        <v>1706</v>
      </c>
      <c r="H4235" s="1">
        <v>13648</v>
      </c>
      <c r="I4235" s="1">
        <v>0</v>
      </c>
      <c r="J4235" s="1">
        <v>8</v>
      </c>
      <c r="K4235" s="1">
        <v>0</v>
      </c>
    </row>
    <row r="4236" spans="1:11" x14ac:dyDescent="0.2">
      <c r="A4236" s="1" t="s">
        <v>3859</v>
      </c>
      <c r="B4236" s="1" t="s">
        <v>3884</v>
      </c>
      <c r="C4236" s="1" t="str">
        <f>"66298934311527"</f>
        <v>66298934311527</v>
      </c>
      <c r="D4236" s="1" t="str">
        <f>"90501-10245"</f>
        <v>90501-10245</v>
      </c>
      <c r="E4236" s="1" t="s">
        <v>17</v>
      </c>
      <c r="F4236" s="1">
        <v>1</v>
      </c>
      <c r="G4236" s="1">
        <v>194</v>
      </c>
      <c r="H4236" s="1">
        <v>194</v>
      </c>
      <c r="I4236" s="1">
        <v>0</v>
      </c>
      <c r="J4236" s="1">
        <v>1</v>
      </c>
      <c r="K4236" s="1">
        <v>0</v>
      </c>
    </row>
    <row r="4237" spans="1:11" x14ac:dyDescent="0.2">
      <c r="A4237" s="1" t="s">
        <v>3859</v>
      </c>
      <c r="B4237" s="1" t="s">
        <v>3885</v>
      </c>
      <c r="C4237" s="1" t="str">
        <f>"66298934353393"</f>
        <v>66298934353393</v>
      </c>
      <c r="D4237" s="1" t="str">
        <f>"83015"</f>
        <v>83015</v>
      </c>
      <c r="E4237" s="1" t="s">
        <v>17</v>
      </c>
      <c r="F4237" s="1">
        <v>8</v>
      </c>
      <c r="G4237" s="1">
        <v>476</v>
      </c>
      <c r="H4237" s="1">
        <v>3808</v>
      </c>
      <c r="I4237" s="1">
        <v>0</v>
      </c>
      <c r="J4237" s="1">
        <v>8</v>
      </c>
      <c r="K4237" s="1">
        <v>0</v>
      </c>
    </row>
    <row r="4238" spans="1:11" x14ac:dyDescent="0.2">
      <c r="A4238" s="1" t="s">
        <v>3859</v>
      </c>
      <c r="B4238" s="1" t="s">
        <v>3886</v>
      </c>
      <c r="C4238" s="1" t="str">
        <f>"66298934399034"</f>
        <v>66298934399034</v>
      </c>
      <c r="D4238" s="1" t="str">
        <f>"36-JL00-11"</f>
        <v>36-JL00-11</v>
      </c>
      <c r="E4238" s="1" t="s">
        <v>17</v>
      </c>
      <c r="F4238" s="1">
        <v>1</v>
      </c>
      <c r="G4238" s="1">
        <v>2715</v>
      </c>
      <c r="H4238" s="1">
        <v>2715</v>
      </c>
      <c r="I4238" s="1">
        <v>0</v>
      </c>
      <c r="J4238" s="1">
        <v>1</v>
      </c>
      <c r="K4238" s="1">
        <v>0</v>
      </c>
    </row>
    <row r="4239" spans="1:11" x14ac:dyDescent="0.2">
      <c r="A4239" s="1" t="s">
        <v>3887</v>
      </c>
      <c r="B4239" s="1" t="s">
        <v>3888</v>
      </c>
      <c r="C4239" s="1" t="str">
        <f>"66298936682557"</f>
        <v>66298936682557</v>
      </c>
      <c r="D4239" s="1" t="str">
        <f>"93109-08058JP"</f>
        <v>93109-08058JP</v>
      </c>
      <c r="E4239" s="1" t="s">
        <v>17</v>
      </c>
      <c r="F4239" s="1">
        <v>1</v>
      </c>
      <c r="G4239" s="1">
        <v>1142</v>
      </c>
      <c r="H4239" s="1">
        <v>1142</v>
      </c>
      <c r="I4239" s="1">
        <v>0</v>
      </c>
      <c r="J4239" s="1">
        <v>1</v>
      </c>
      <c r="K4239" s="1">
        <v>0</v>
      </c>
    </row>
    <row r="4240" spans="1:11" x14ac:dyDescent="0.2">
      <c r="A4240" s="1" t="s">
        <v>3887</v>
      </c>
      <c r="B4240" s="1" t="s">
        <v>3889</v>
      </c>
      <c r="C4240" s="1" t="str">
        <f>"66298936723811"</f>
        <v>66298936723811</v>
      </c>
      <c r="D4240" s="1" t="str">
        <f>"91204-MB0-013JP"</f>
        <v>91204-MB0-013JP</v>
      </c>
      <c r="E4240" s="1" t="s">
        <v>17</v>
      </c>
      <c r="F4240" s="1">
        <v>1</v>
      </c>
      <c r="G4240" s="1">
        <v>1145</v>
      </c>
      <c r="H4240" s="1">
        <v>1145</v>
      </c>
      <c r="I4240" s="1">
        <v>0</v>
      </c>
      <c r="J4240" s="1">
        <v>1</v>
      </c>
      <c r="K4240" s="1">
        <v>0</v>
      </c>
    </row>
    <row r="4241" spans="1:11" x14ac:dyDescent="0.2">
      <c r="A4241" s="1" t="s">
        <v>3887</v>
      </c>
      <c r="B4241" s="1" t="s">
        <v>3890</v>
      </c>
      <c r="C4241" s="1" t="str">
        <f>"66298936847598"</f>
        <v>66298936847598</v>
      </c>
      <c r="D4241" s="1" t="str">
        <f>"09282-10012"</f>
        <v>09282-10012</v>
      </c>
      <c r="E4241" s="1" t="s">
        <v>17</v>
      </c>
      <c r="F4241" s="1">
        <v>5</v>
      </c>
      <c r="G4241" s="1">
        <v>213</v>
      </c>
      <c r="H4241" s="1">
        <v>1065</v>
      </c>
      <c r="I4241" s="1">
        <v>0</v>
      </c>
      <c r="J4241" s="1">
        <v>5</v>
      </c>
      <c r="K4241" s="1">
        <v>0</v>
      </c>
    </row>
    <row r="4242" spans="1:11" x14ac:dyDescent="0.2">
      <c r="A4242" s="1" t="s">
        <v>3887</v>
      </c>
      <c r="B4242" s="1" t="s">
        <v>3891</v>
      </c>
      <c r="C4242" s="1" t="str">
        <f>"66298936805151"</f>
        <v>66298936805151</v>
      </c>
      <c r="D4242" s="1" t="str">
        <f>"40R055"</f>
        <v>40R055</v>
      </c>
      <c r="E4242" s="1" t="s">
        <v>17</v>
      </c>
      <c r="F4242" s="1">
        <v>3</v>
      </c>
      <c r="G4242" s="1">
        <v>731</v>
      </c>
      <c r="H4242" s="1">
        <v>2193</v>
      </c>
      <c r="I4242" s="1">
        <v>0</v>
      </c>
      <c r="J4242" s="1">
        <v>3</v>
      </c>
      <c r="K4242" s="1">
        <v>0</v>
      </c>
    </row>
    <row r="4243" spans="1:11" x14ac:dyDescent="0.2">
      <c r="A4243" s="1" t="s">
        <v>3887</v>
      </c>
      <c r="B4243" s="1" t="s">
        <v>3892</v>
      </c>
      <c r="C4243" s="1" t="str">
        <f>"93103-10147JP"</f>
        <v>93103-10147JP</v>
      </c>
      <c r="D4243" s="1" t="str">
        <f>"93103-10147JP"</f>
        <v>93103-10147JP</v>
      </c>
      <c r="E4243" s="1" t="s">
        <v>17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</row>
    <row r="4244" spans="1:11" x14ac:dyDescent="0.2">
      <c r="A4244" s="1" t="s">
        <v>3887</v>
      </c>
      <c r="B4244" s="1" t="s">
        <v>3893</v>
      </c>
      <c r="C4244" s="1" t="str">
        <f>"66298934844875"</f>
        <v>66298934844875</v>
      </c>
      <c r="D4244" s="1" t="str">
        <f>"11-25-7"</f>
        <v>11-25-7</v>
      </c>
      <c r="E4244" s="1" t="s">
        <v>17</v>
      </c>
      <c r="F4244" s="1">
        <v>2</v>
      </c>
      <c r="G4244" s="1">
        <v>254</v>
      </c>
      <c r="H4244" s="1">
        <v>508</v>
      </c>
      <c r="I4244" s="1">
        <v>0</v>
      </c>
      <c r="J4244" s="1">
        <v>2</v>
      </c>
      <c r="K4244" s="1">
        <v>0</v>
      </c>
    </row>
    <row r="4245" spans="1:11" x14ac:dyDescent="0.2">
      <c r="A4245" s="1" t="s">
        <v>3887</v>
      </c>
      <c r="B4245" s="1" t="s">
        <v>3894</v>
      </c>
      <c r="C4245" s="1" t="str">
        <f>"66298934887940"</f>
        <v>66298934887940</v>
      </c>
      <c r="D4245" s="1" t="str">
        <f>"91211-KRN-671GH"</f>
        <v>91211-KRN-671GH</v>
      </c>
      <c r="E4245" s="1" t="s">
        <v>17</v>
      </c>
      <c r="F4245" s="1">
        <v>1</v>
      </c>
      <c r="G4245" s="1">
        <v>3076</v>
      </c>
      <c r="H4245" s="1">
        <v>3076</v>
      </c>
      <c r="I4245" s="1">
        <v>0</v>
      </c>
      <c r="J4245" s="1">
        <v>1</v>
      </c>
      <c r="K4245" s="1">
        <v>0</v>
      </c>
    </row>
    <row r="4246" spans="1:11" x14ac:dyDescent="0.2">
      <c r="A4246" s="1" t="s">
        <v>3887</v>
      </c>
      <c r="B4246" s="1" t="s">
        <v>3895</v>
      </c>
      <c r="C4246" s="1" t="str">
        <f>"66298935625499"</f>
        <v>66298935625499</v>
      </c>
      <c r="D4246" s="1" t="str">
        <f>"91205-KF0-003JP"</f>
        <v>91205-KF0-003JP</v>
      </c>
      <c r="E4246" s="1" t="s">
        <v>17</v>
      </c>
      <c r="F4246" s="1">
        <v>3</v>
      </c>
      <c r="G4246" s="1">
        <v>209</v>
      </c>
      <c r="H4246" s="1">
        <v>627</v>
      </c>
      <c r="I4246" s="1">
        <v>0</v>
      </c>
      <c r="J4246" s="1">
        <v>3</v>
      </c>
      <c r="K4246" s="1">
        <v>0</v>
      </c>
    </row>
    <row r="4247" spans="1:11" x14ac:dyDescent="0.2">
      <c r="A4247" s="1" t="s">
        <v>3887</v>
      </c>
      <c r="B4247" s="1" t="s">
        <v>3896</v>
      </c>
      <c r="C4247" s="1" t="str">
        <f>"66298935663697"</f>
        <v>66298935663697</v>
      </c>
      <c r="D4247" s="1" t="str">
        <f>"39-1041-19"</f>
        <v>39-1041-19</v>
      </c>
      <c r="E4247" s="1" t="s">
        <v>17</v>
      </c>
      <c r="F4247" s="1">
        <v>10</v>
      </c>
      <c r="G4247" s="1">
        <v>220</v>
      </c>
      <c r="H4247" s="1">
        <v>2200</v>
      </c>
      <c r="I4247" s="1">
        <v>0</v>
      </c>
      <c r="J4247" s="1">
        <v>10</v>
      </c>
      <c r="K4247" s="1">
        <v>0</v>
      </c>
    </row>
    <row r="4248" spans="1:11" x14ac:dyDescent="0.2">
      <c r="A4248" s="1" t="s">
        <v>3887</v>
      </c>
      <c r="B4248" s="1" t="s">
        <v>3897</v>
      </c>
      <c r="C4248" s="1" t="str">
        <f>"91201-035-015JP"</f>
        <v>91201-035-015JP</v>
      </c>
      <c r="D4248" s="1" t="str">
        <f>"91201-035-015JP"</f>
        <v>91201-035-015JP</v>
      </c>
      <c r="E4248" s="1" t="s">
        <v>17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</row>
    <row r="4249" spans="1:11" x14ac:dyDescent="0.2">
      <c r="A4249" s="1" t="s">
        <v>3887</v>
      </c>
      <c r="B4249" s="1" t="s">
        <v>3898</v>
      </c>
      <c r="C4249" s="1" t="str">
        <f>"66298936891207"</f>
        <v>66298936891207</v>
      </c>
      <c r="D4249" s="1" t="str">
        <f>"91201-148-003JP"</f>
        <v>91201-148-003JP</v>
      </c>
      <c r="E4249" s="1" t="s">
        <v>17</v>
      </c>
      <c r="F4249" s="1">
        <v>13</v>
      </c>
      <c r="G4249" s="1">
        <v>270</v>
      </c>
      <c r="H4249" s="1">
        <v>3510</v>
      </c>
      <c r="I4249" s="1">
        <v>0</v>
      </c>
      <c r="J4249" s="1">
        <v>13</v>
      </c>
      <c r="K4249" s="1">
        <v>0</v>
      </c>
    </row>
    <row r="4250" spans="1:11" x14ac:dyDescent="0.2">
      <c r="A4250" s="1" t="s">
        <v>3887</v>
      </c>
      <c r="B4250" s="1" t="s">
        <v>3899</v>
      </c>
      <c r="C4250" s="1" t="str">
        <f>"RE-12-22-5"</f>
        <v>RE-12-22-5</v>
      </c>
      <c r="D4250" s="1" t="str">
        <f>"RE-12-22-5"</f>
        <v>RE-12-22-5</v>
      </c>
      <c r="E4250" s="1" t="s">
        <v>17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</row>
    <row r="4251" spans="1:11" x14ac:dyDescent="0.2">
      <c r="A4251" s="1" t="s">
        <v>3887</v>
      </c>
      <c r="B4251" s="1" t="s">
        <v>3900</v>
      </c>
      <c r="C4251" s="1" t="str">
        <f>"66298934442994"</f>
        <v>66298934442994</v>
      </c>
      <c r="D4251" s="1" t="str">
        <f>"93102-12321GY"</f>
        <v>93102-12321GY</v>
      </c>
      <c r="E4251" s="1" t="s">
        <v>17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</row>
    <row r="4252" spans="1:11" x14ac:dyDescent="0.2">
      <c r="A4252" s="1" t="s">
        <v>3887</v>
      </c>
      <c r="B4252" s="1" t="s">
        <v>3901</v>
      </c>
      <c r="C4252" s="1" t="str">
        <f>"66298935703696"</f>
        <v>66298935703696</v>
      </c>
      <c r="D4252" s="1" t="str">
        <f>"09285-14001"</f>
        <v>09285-14001</v>
      </c>
      <c r="E4252" s="1" t="s">
        <v>17</v>
      </c>
      <c r="F4252" s="1">
        <v>24</v>
      </c>
      <c r="G4252" s="1">
        <v>171</v>
      </c>
      <c r="H4252" s="1">
        <v>4104</v>
      </c>
      <c r="I4252" s="1">
        <v>0</v>
      </c>
      <c r="J4252" s="1">
        <v>24</v>
      </c>
      <c r="K4252" s="1">
        <v>0</v>
      </c>
    </row>
    <row r="4253" spans="1:11" x14ac:dyDescent="0.2">
      <c r="A4253" s="1" t="s">
        <v>3887</v>
      </c>
      <c r="B4253" s="1" t="s">
        <v>3902</v>
      </c>
      <c r="C4253" s="1" t="str">
        <f>"66298936942471"</f>
        <v>66298936942471</v>
      </c>
      <c r="D4253" s="1" t="str">
        <f>"93104-14004JP"</f>
        <v>93104-14004JP</v>
      </c>
      <c r="E4253" s="1" t="s">
        <v>17</v>
      </c>
      <c r="F4253" s="1">
        <v>3</v>
      </c>
      <c r="G4253" s="1">
        <v>1034</v>
      </c>
      <c r="H4253" s="1">
        <v>3102</v>
      </c>
      <c r="I4253" s="1">
        <v>0</v>
      </c>
      <c r="J4253" s="1">
        <v>3</v>
      </c>
      <c r="K4253" s="1">
        <v>0</v>
      </c>
    </row>
    <row r="4254" spans="1:11" x14ac:dyDescent="0.2">
      <c r="A4254" s="1" t="s">
        <v>3887</v>
      </c>
      <c r="B4254" s="1" t="s">
        <v>3903</v>
      </c>
      <c r="C4254" s="1" t="str">
        <f>"66298935791563"</f>
        <v>66298935791563</v>
      </c>
      <c r="D4254" s="1" t="str">
        <f>"91202-107-003"</f>
        <v>91202-107-003</v>
      </c>
      <c r="E4254" s="1" t="s">
        <v>17</v>
      </c>
      <c r="F4254" s="1">
        <v>10</v>
      </c>
      <c r="G4254" s="1">
        <v>200</v>
      </c>
      <c r="H4254" s="1">
        <v>2000</v>
      </c>
      <c r="I4254" s="1">
        <v>0</v>
      </c>
      <c r="J4254" s="1">
        <v>10</v>
      </c>
      <c r="K4254" s="1">
        <v>0</v>
      </c>
    </row>
    <row r="4255" spans="1:11" x14ac:dyDescent="0.2">
      <c r="A4255" s="1" t="s">
        <v>3887</v>
      </c>
      <c r="B4255" s="1" t="s">
        <v>3904</v>
      </c>
      <c r="C4255" s="1" t="str">
        <f>"66298936994932"</f>
        <v>66298936994932</v>
      </c>
      <c r="D4255" s="1" t="str">
        <f>"16-28-7"</f>
        <v>16-28-7</v>
      </c>
      <c r="E4255" s="1" t="s">
        <v>17</v>
      </c>
      <c r="F4255" s="1">
        <v>3</v>
      </c>
      <c r="G4255" s="1">
        <v>151</v>
      </c>
      <c r="H4255" s="1">
        <v>453</v>
      </c>
      <c r="I4255" s="1">
        <v>0</v>
      </c>
      <c r="J4255" s="1">
        <v>3</v>
      </c>
      <c r="K4255" s="1">
        <v>0</v>
      </c>
    </row>
    <row r="4256" spans="1:11" x14ac:dyDescent="0.2">
      <c r="A4256" s="1" t="s">
        <v>3887</v>
      </c>
      <c r="B4256" s="1" t="s">
        <v>3904</v>
      </c>
      <c r="C4256" s="1" t="str">
        <f>"66298937000368"</f>
        <v>66298937000368</v>
      </c>
      <c r="D4256" s="1" t="str">
        <f>"40R012"</f>
        <v>40R012</v>
      </c>
      <c r="E4256" s="1" t="s">
        <v>17</v>
      </c>
      <c r="F4256" s="1">
        <v>14</v>
      </c>
      <c r="G4256" s="1">
        <v>228</v>
      </c>
      <c r="H4256" s="1">
        <v>3192</v>
      </c>
      <c r="I4256" s="1">
        <v>0</v>
      </c>
      <c r="J4256" s="1">
        <v>14</v>
      </c>
      <c r="K4256" s="1">
        <v>0</v>
      </c>
    </row>
    <row r="4257" spans="1:11" x14ac:dyDescent="0.2">
      <c r="A4257" s="1" t="s">
        <v>3887</v>
      </c>
      <c r="B4257" s="1" t="s">
        <v>3904</v>
      </c>
      <c r="C4257" s="1" t="str">
        <f>"66298937007058"</f>
        <v>66298937007058</v>
      </c>
      <c r="D4257" s="1" t="str">
        <f>"91204-259-003"</f>
        <v>91204-259-003</v>
      </c>
      <c r="E4257" s="1" t="s">
        <v>17</v>
      </c>
      <c r="F4257" s="1">
        <v>2</v>
      </c>
      <c r="G4257" s="1">
        <v>189</v>
      </c>
      <c r="H4257" s="1">
        <v>378</v>
      </c>
      <c r="I4257" s="1">
        <v>0</v>
      </c>
      <c r="J4257" s="1">
        <v>2</v>
      </c>
      <c r="K4257" s="1">
        <v>0</v>
      </c>
    </row>
    <row r="4258" spans="1:11" x14ac:dyDescent="0.2">
      <c r="A4258" s="1" t="s">
        <v>3887</v>
      </c>
      <c r="B4258" s="1" t="s">
        <v>3905</v>
      </c>
      <c r="C4258" s="1" t="str">
        <f>"66298935749412"</f>
        <v>66298935749412</v>
      </c>
      <c r="D4258" s="1" t="str">
        <f>"91205-KA3-712GH"</f>
        <v>91205-KA3-712GH</v>
      </c>
      <c r="E4258" s="1" t="s">
        <v>17</v>
      </c>
      <c r="F4258" s="1">
        <v>1</v>
      </c>
      <c r="G4258" s="1">
        <v>4168</v>
      </c>
      <c r="H4258" s="1">
        <v>4168</v>
      </c>
      <c r="I4258" s="1">
        <v>0</v>
      </c>
      <c r="J4258" s="1">
        <v>1</v>
      </c>
      <c r="K4258" s="1">
        <v>0</v>
      </c>
    </row>
    <row r="4259" spans="1:11" x14ac:dyDescent="0.2">
      <c r="A4259" s="1" t="s">
        <v>3887</v>
      </c>
      <c r="B4259" s="1" t="s">
        <v>3906</v>
      </c>
      <c r="C4259" s="1" t="str">
        <f>"66298934485923"</f>
        <v>66298934485923</v>
      </c>
      <c r="D4259" s="1" t="str">
        <f>"293"</f>
        <v>293</v>
      </c>
      <c r="E4259" s="1" t="s">
        <v>17</v>
      </c>
      <c r="F4259" s="1">
        <v>1</v>
      </c>
      <c r="G4259" s="1">
        <v>649</v>
      </c>
      <c r="H4259" s="1">
        <v>649</v>
      </c>
      <c r="I4259" s="1">
        <v>0</v>
      </c>
      <c r="J4259" s="1">
        <v>1</v>
      </c>
      <c r="K4259" s="1">
        <v>0</v>
      </c>
    </row>
    <row r="4260" spans="1:11" x14ac:dyDescent="0.2">
      <c r="A4260" s="1" t="s">
        <v>3887</v>
      </c>
      <c r="B4260" s="1" t="s">
        <v>3907</v>
      </c>
      <c r="C4260" s="1" t="str">
        <f>"66298936763636"</f>
        <v>66298936763636</v>
      </c>
      <c r="D4260" s="1" t="str">
        <f>"18,9-28-5"</f>
        <v>18,9-28-5</v>
      </c>
      <c r="E4260" s="1" t="s">
        <v>17</v>
      </c>
      <c r="F4260" s="1">
        <v>3</v>
      </c>
      <c r="G4260" s="1">
        <v>270</v>
      </c>
      <c r="H4260" s="1">
        <v>810</v>
      </c>
      <c r="I4260" s="1">
        <v>0</v>
      </c>
      <c r="J4260" s="1">
        <v>3</v>
      </c>
      <c r="K4260" s="1">
        <v>0</v>
      </c>
    </row>
    <row r="4261" spans="1:11" x14ac:dyDescent="0.2">
      <c r="A4261" s="1" t="s">
        <v>3887</v>
      </c>
      <c r="B4261" s="1" t="s">
        <v>3908</v>
      </c>
      <c r="C4261" s="1" t="str">
        <f>"66298935063753"</f>
        <v>66298935063753</v>
      </c>
      <c r="D4261" s="1" t="str">
        <f>"91202-GE0-005JP"</f>
        <v>91202-GE0-005JP</v>
      </c>
      <c r="E4261" s="1" t="s">
        <v>17</v>
      </c>
      <c r="F4261" s="1">
        <v>18</v>
      </c>
      <c r="G4261" s="1">
        <v>267</v>
      </c>
      <c r="H4261" s="1">
        <v>4806</v>
      </c>
      <c r="I4261" s="1">
        <v>0</v>
      </c>
      <c r="J4261" s="1">
        <v>18</v>
      </c>
      <c r="K4261" s="1">
        <v>0</v>
      </c>
    </row>
    <row r="4262" spans="1:11" x14ac:dyDescent="0.2">
      <c r="A4262" s="1" t="s">
        <v>3887</v>
      </c>
      <c r="B4262" s="1" t="s">
        <v>3909</v>
      </c>
      <c r="C4262" s="1" t="str">
        <f>"66298935104172"</f>
        <v>66298935104172</v>
      </c>
      <c r="D4262" s="1" t="str">
        <f>"91202-035-000"</f>
        <v>91202-035-000</v>
      </c>
      <c r="E4262" s="1" t="s">
        <v>17</v>
      </c>
      <c r="F4262" s="1">
        <v>3</v>
      </c>
      <c r="G4262" s="1">
        <v>236</v>
      </c>
      <c r="H4262" s="1">
        <v>708</v>
      </c>
      <c r="I4262" s="1">
        <v>0</v>
      </c>
      <c r="J4262" s="1">
        <v>3</v>
      </c>
      <c r="K4262" s="1">
        <v>0</v>
      </c>
    </row>
    <row r="4263" spans="1:11" x14ac:dyDescent="0.2">
      <c r="A4263" s="1" t="s">
        <v>3887</v>
      </c>
      <c r="B4263" s="1" t="s">
        <v>3910</v>
      </c>
      <c r="C4263" s="1" t="str">
        <f>"66298937077632"</f>
        <v>66298937077632</v>
      </c>
      <c r="D4263" s="1" t="str">
        <f>"40R087"</f>
        <v>40R087</v>
      </c>
      <c r="E4263" s="1" t="s">
        <v>17</v>
      </c>
      <c r="F4263" s="1">
        <v>2</v>
      </c>
      <c r="G4263" s="1">
        <v>378</v>
      </c>
      <c r="H4263" s="1">
        <v>756</v>
      </c>
      <c r="I4263" s="1">
        <v>0</v>
      </c>
      <c r="J4263" s="1">
        <v>2</v>
      </c>
      <c r="K4263" s="1">
        <v>0</v>
      </c>
    </row>
    <row r="4264" spans="1:11" x14ac:dyDescent="0.2">
      <c r="A4264" s="1" t="s">
        <v>3887</v>
      </c>
      <c r="B4264" s="1" t="s">
        <v>3910</v>
      </c>
      <c r="C4264" s="1" t="str">
        <f>"66298937119173"</f>
        <v>66298937119173</v>
      </c>
      <c r="D4264" s="1" t="str">
        <f>"93102-20309JP"</f>
        <v>93102-20309JP</v>
      </c>
      <c r="E4264" s="1" t="s">
        <v>17</v>
      </c>
      <c r="F4264" s="1">
        <v>1</v>
      </c>
      <c r="G4264" s="1">
        <v>1528</v>
      </c>
      <c r="H4264" s="1">
        <v>1528</v>
      </c>
      <c r="I4264" s="1">
        <v>0</v>
      </c>
      <c r="J4264" s="1">
        <v>1</v>
      </c>
      <c r="K4264" s="1">
        <v>0</v>
      </c>
    </row>
    <row r="4265" spans="1:11" x14ac:dyDescent="0.2">
      <c r="A4265" s="1" t="s">
        <v>3887</v>
      </c>
      <c r="B4265" s="1" t="s">
        <v>3911</v>
      </c>
      <c r="C4265" s="1" t="str">
        <f>"66298935148696"</f>
        <v>66298935148696</v>
      </c>
      <c r="D4265" s="1" t="str">
        <f>"93101-20169JP"</f>
        <v>93101-20169JP</v>
      </c>
      <c r="E4265" s="1" t="s">
        <v>17</v>
      </c>
      <c r="F4265" s="1">
        <v>2</v>
      </c>
      <c r="G4265" s="1">
        <v>355</v>
      </c>
      <c r="H4265" s="1">
        <v>710</v>
      </c>
      <c r="I4265" s="1">
        <v>0</v>
      </c>
      <c r="J4265" s="1">
        <v>2</v>
      </c>
      <c r="K4265" s="1">
        <v>0</v>
      </c>
    </row>
    <row r="4266" spans="1:11" x14ac:dyDescent="0.2">
      <c r="A4266" s="1" t="s">
        <v>3887</v>
      </c>
      <c r="B4266" s="1" t="s">
        <v>3912</v>
      </c>
      <c r="C4266" s="1" t="str">
        <f>"66298934932117"</f>
        <v>66298934932117</v>
      </c>
      <c r="D4266" s="1" t="str">
        <f>"09282-20005"</f>
        <v>09282-20005</v>
      </c>
      <c r="E4266" s="1" t="s">
        <v>17</v>
      </c>
      <c r="F4266" s="1">
        <v>6</v>
      </c>
      <c r="G4266" s="1">
        <v>242</v>
      </c>
      <c r="H4266" s="1">
        <v>1452</v>
      </c>
      <c r="I4266" s="1">
        <v>0</v>
      </c>
      <c r="J4266" s="1">
        <v>6</v>
      </c>
      <c r="K4266" s="1">
        <v>0</v>
      </c>
    </row>
    <row r="4267" spans="1:11" x14ac:dyDescent="0.2">
      <c r="A4267" s="1" t="s">
        <v>3887</v>
      </c>
      <c r="B4267" s="1" t="s">
        <v>3913</v>
      </c>
      <c r="C4267" s="1" t="str">
        <f>"66298937159267"</f>
        <v>66298937159267</v>
      </c>
      <c r="D4267" s="1" t="str">
        <f>"91201-KK0-005JP"</f>
        <v>91201-KK0-005JP</v>
      </c>
      <c r="E4267" s="1" t="s">
        <v>17</v>
      </c>
      <c r="F4267" s="1">
        <v>13</v>
      </c>
      <c r="G4267" s="1">
        <v>2545</v>
      </c>
      <c r="H4267" s="1">
        <v>33085</v>
      </c>
      <c r="I4267" s="1">
        <v>0</v>
      </c>
      <c r="J4267" s="1">
        <v>13</v>
      </c>
      <c r="K4267" s="1">
        <v>0</v>
      </c>
    </row>
    <row r="4268" spans="1:11" x14ac:dyDescent="0.2">
      <c r="A4268" s="1" t="s">
        <v>3887</v>
      </c>
      <c r="B4268" s="1" t="s">
        <v>3914</v>
      </c>
      <c r="C4268" s="1" t="str">
        <f>"66298934529672"</f>
        <v>66298934529672</v>
      </c>
      <c r="D4268" s="1" t="str">
        <f>"5535"</f>
        <v>5535</v>
      </c>
      <c r="E4268" s="1" t="s">
        <v>17</v>
      </c>
      <c r="F4268" s="1">
        <v>1</v>
      </c>
      <c r="G4268" s="1">
        <v>262</v>
      </c>
      <c r="H4268" s="1">
        <v>262</v>
      </c>
      <c r="I4268" s="1">
        <v>0</v>
      </c>
      <c r="J4268" s="1">
        <v>1</v>
      </c>
      <c r="K4268" s="1">
        <v>0</v>
      </c>
    </row>
    <row r="4269" spans="1:11" x14ac:dyDescent="0.2">
      <c r="A4269" s="1" t="s">
        <v>3887</v>
      </c>
      <c r="B4269" s="1" t="s">
        <v>3915</v>
      </c>
      <c r="C4269" s="1" t="str">
        <f>"93102-20143JP"</f>
        <v>93102-20143JP</v>
      </c>
      <c r="D4269" s="1" t="str">
        <f>"93102-20143JP"</f>
        <v>93102-20143JP</v>
      </c>
      <c r="E4269" s="1" t="s">
        <v>17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</row>
    <row r="4270" spans="1:11" x14ac:dyDescent="0.2">
      <c r="A4270" s="1" t="s">
        <v>3887</v>
      </c>
      <c r="B4270" s="1" t="s">
        <v>3916</v>
      </c>
      <c r="C4270" s="1" t="str">
        <f>"66298934597248"</f>
        <v>66298934597248</v>
      </c>
      <c r="D4270" s="1" t="str">
        <f>"5092"</f>
        <v>5092</v>
      </c>
      <c r="E4270" s="1" t="s">
        <v>17</v>
      </c>
      <c r="F4270" s="1">
        <v>1</v>
      </c>
      <c r="G4270" s="1">
        <v>324</v>
      </c>
      <c r="H4270" s="1">
        <v>324</v>
      </c>
      <c r="I4270" s="1">
        <v>0</v>
      </c>
      <c r="J4270" s="1">
        <v>1</v>
      </c>
      <c r="K4270" s="1">
        <v>0</v>
      </c>
    </row>
    <row r="4271" spans="1:11" x14ac:dyDescent="0.2">
      <c r="A4271" s="1" t="s">
        <v>3887</v>
      </c>
      <c r="B4271" s="1" t="s">
        <v>3917</v>
      </c>
      <c r="C4271" s="1" t="str">
        <f>"66298937200186"</f>
        <v>66298937200186</v>
      </c>
      <c r="D4271" s="1" t="str">
        <f>"91201-KCZ-003JP"</f>
        <v>91201-KCZ-003JP</v>
      </c>
      <c r="E4271" s="1" t="s">
        <v>17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</row>
    <row r="4272" spans="1:11" x14ac:dyDescent="0.2">
      <c r="A4272" s="1" t="s">
        <v>3887</v>
      </c>
      <c r="B4272" s="1" t="s">
        <v>3918</v>
      </c>
      <c r="C4272" s="1" t="str">
        <f>"66298934979946"</f>
        <v>66298934979946</v>
      </c>
      <c r="D4272" s="1" t="str">
        <f>"93102-22464JP"</f>
        <v>93102-22464JP</v>
      </c>
      <c r="E4272" s="1" t="s">
        <v>17</v>
      </c>
      <c r="F4272" s="1">
        <v>7</v>
      </c>
      <c r="G4272" s="1">
        <v>377</v>
      </c>
      <c r="H4272" s="1">
        <v>2639</v>
      </c>
      <c r="I4272" s="1">
        <v>0</v>
      </c>
      <c r="J4272" s="1">
        <v>7</v>
      </c>
      <c r="K4272" s="1">
        <v>0</v>
      </c>
    </row>
    <row r="4273" spans="1:11" x14ac:dyDescent="0.2">
      <c r="A4273" s="1" t="s">
        <v>3887</v>
      </c>
      <c r="B4273" s="1" t="s">
        <v>3919</v>
      </c>
      <c r="C4273" s="1" t="str">
        <f>"66298934636995"</f>
        <v>66298934636995</v>
      </c>
      <c r="D4273" s="1" t="str">
        <f>"5221"</f>
        <v>5221</v>
      </c>
      <c r="E4273" s="1" t="s">
        <v>17</v>
      </c>
      <c r="F4273" s="1">
        <v>1</v>
      </c>
      <c r="G4273" s="1">
        <v>462</v>
      </c>
      <c r="H4273" s="1">
        <v>462</v>
      </c>
      <c r="I4273" s="1">
        <v>0</v>
      </c>
      <c r="J4273" s="1">
        <v>1</v>
      </c>
      <c r="K4273" s="1">
        <v>0</v>
      </c>
    </row>
    <row r="4274" spans="1:11" x14ac:dyDescent="0.2">
      <c r="A4274" s="1" t="s">
        <v>3887</v>
      </c>
      <c r="B4274" s="1" t="s">
        <v>3920</v>
      </c>
      <c r="C4274" s="1" t="str">
        <f>"66298937237980"</f>
        <v>66298937237980</v>
      </c>
      <c r="D4274" s="1" t="str">
        <f>"93102-25270JP"</f>
        <v>93102-25270JP</v>
      </c>
      <c r="E4274" s="1" t="s">
        <v>17</v>
      </c>
      <c r="F4274" s="1">
        <v>19</v>
      </c>
      <c r="G4274" s="1">
        <v>213</v>
      </c>
      <c r="H4274" s="1">
        <v>4047</v>
      </c>
      <c r="I4274" s="1">
        <v>0</v>
      </c>
      <c r="J4274" s="1">
        <v>19</v>
      </c>
      <c r="K4274" s="1">
        <v>0</v>
      </c>
    </row>
    <row r="4275" spans="1:11" x14ac:dyDescent="0.2">
      <c r="A4275" s="1" t="s">
        <v>3887</v>
      </c>
      <c r="B4275" s="1" t="s">
        <v>3921</v>
      </c>
      <c r="C4275" s="1" t="str">
        <f>"66298935020735"</f>
        <v>66298935020735</v>
      </c>
      <c r="D4275" s="1" t="str">
        <f>"62220"</f>
        <v>62220</v>
      </c>
      <c r="E4275" s="1" t="s">
        <v>17</v>
      </c>
      <c r="F4275" s="1">
        <v>2</v>
      </c>
      <c r="G4275" s="1">
        <v>277</v>
      </c>
      <c r="H4275" s="1">
        <v>554</v>
      </c>
      <c r="I4275" s="1">
        <v>0</v>
      </c>
      <c r="J4275" s="1">
        <v>2</v>
      </c>
      <c r="K4275" s="1">
        <v>0</v>
      </c>
    </row>
    <row r="4276" spans="1:11" x14ac:dyDescent="0.2">
      <c r="A4276" s="1" t="s">
        <v>3887</v>
      </c>
      <c r="B4276" s="1" t="s">
        <v>3922</v>
      </c>
      <c r="C4276" s="1" t="str">
        <f>"66298935189969"</f>
        <v>66298935189969</v>
      </c>
      <c r="D4276" s="1" t="str">
        <f>"653B-25407JP"</f>
        <v>653B-25407JP</v>
      </c>
      <c r="E4276" s="1" t="s">
        <v>17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</row>
    <row r="4277" spans="1:11" x14ac:dyDescent="0.2">
      <c r="A4277" s="1" t="s">
        <v>3887</v>
      </c>
      <c r="B4277" s="1" t="s">
        <v>3923</v>
      </c>
      <c r="C4277" s="1" t="str">
        <f>"66298935232901"</f>
        <v>66298935232901</v>
      </c>
      <c r="D4277" s="1" t="str">
        <f>"93102-25061JP"</f>
        <v>93102-25061JP</v>
      </c>
      <c r="E4277" s="1" t="s">
        <v>17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</row>
    <row r="4278" spans="1:11" x14ac:dyDescent="0.2">
      <c r="A4278" s="1" t="s">
        <v>3887</v>
      </c>
      <c r="B4278" s="1" t="s">
        <v>3924</v>
      </c>
      <c r="C4278" s="1" t="str">
        <f>"66298935277588"</f>
        <v>66298935277588</v>
      </c>
      <c r="D4278" s="1" t="str">
        <f>"93102-25331JP"</f>
        <v>93102-25331JP</v>
      </c>
      <c r="E4278" s="1" t="s">
        <v>17</v>
      </c>
      <c r="F4278" s="1">
        <v>1</v>
      </c>
      <c r="G4278" s="1">
        <v>1125</v>
      </c>
      <c r="H4278" s="1">
        <v>1125</v>
      </c>
      <c r="I4278" s="1">
        <v>0</v>
      </c>
      <c r="J4278" s="1">
        <v>1</v>
      </c>
      <c r="K4278" s="1">
        <v>0</v>
      </c>
    </row>
    <row r="4279" spans="1:11" x14ac:dyDescent="0.2">
      <c r="A4279" s="1" t="s">
        <v>3887</v>
      </c>
      <c r="B4279" s="1" t="s">
        <v>3925</v>
      </c>
      <c r="C4279" s="1" t="str">
        <f>"66298937279436"</f>
        <v>66298937279436</v>
      </c>
      <c r="D4279" s="1" t="str">
        <f>"91204-MG3-003JP"</f>
        <v>91204-MG3-003JP</v>
      </c>
      <c r="E4279" s="1" t="s">
        <v>17</v>
      </c>
      <c r="F4279" s="1">
        <v>1</v>
      </c>
      <c r="G4279" s="1">
        <v>2083</v>
      </c>
      <c r="H4279" s="1">
        <v>2083</v>
      </c>
      <c r="I4279" s="1">
        <v>0</v>
      </c>
      <c r="J4279" s="1">
        <v>1</v>
      </c>
      <c r="K4279" s="1">
        <v>0</v>
      </c>
    </row>
    <row r="4280" spans="1:11" x14ac:dyDescent="0.2">
      <c r="A4280" s="1" t="s">
        <v>3887</v>
      </c>
      <c r="B4280" s="1" t="s">
        <v>3926</v>
      </c>
      <c r="C4280" s="1" t="str">
        <f>"66298934676510"</f>
        <v>66298934676510</v>
      </c>
      <c r="D4280" s="1" t="str">
        <f>"5310"</f>
        <v>5310</v>
      </c>
      <c r="E4280" s="1" t="s">
        <v>17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</row>
    <row r="4281" spans="1:11" x14ac:dyDescent="0.2">
      <c r="A4281" s="1" t="s">
        <v>3887</v>
      </c>
      <c r="B4281" s="1" t="s">
        <v>3927</v>
      </c>
      <c r="C4281" s="1" t="str">
        <f>"66298937322806"</f>
        <v>66298937322806</v>
      </c>
      <c r="D4281" s="1" t="str">
        <f>"26-38-5"</f>
        <v>26-38-5</v>
      </c>
      <c r="E4281" s="1" t="s">
        <v>17</v>
      </c>
      <c r="F4281" s="1">
        <v>25</v>
      </c>
      <c r="G4281" s="1">
        <v>207</v>
      </c>
      <c r="H4281" s="1">
        <v>5175</v>
      </c>
      <c r="I4281" s="1">
        <v>0</v>
      </c>
      <c r="J4281" s="1">
        <v>25</v>
      </c>
      <c r="K4281" s="1">
        <v>0</v>
      </c>
    </row>
    <row r="4282" spans="1:11" x14ac:dyDescent="0.2">
      <c r="A4282" s="1" t="s">
        <v>3887</v>
      </c>
      <c r="B4282" s="1" t="s">
        <v>3928</v>
      </c>
      <c r="C4282" s="1" t="str">
        <f>"66298937360140"</f>
        <v>66298937360140</v>
      </c>
      <c r="D4282" s="1" t="str">
        <f>"93102-26042JP"</f>
        <v>93102-26042JP</v>
      </c>
      <c r="E4282" s="1" t="s">
        <v>17</v>
      </c>
      <c r="F4282" s="1">
        <v>1</v>
      </c>
      <c r="G4282" s="1">
        <v>334</v>
      </c>
      <c r="H4282" s="1">
        <v>334</v>
      </c>
      <c r="I4282" s="1">
        <v>0</v>
      </c>
      <c r="J4282" s="1">
        <v>1</v>
      </c>
      <c r="K4282" s="1">
        <v>0</v>
      </c>
    </row>
    <row r="4283" spans="1:11" x14ac:dyDescent="0.2">
      <c r="A4283" s="1" t="s">
        <v>3887</v>
      </c>
      <c r="B4283" s="1" t="s">
        <v>3929</v>
      </c>
      <c r="C4283" s="1" t="str">
        <f>"66298934716784"</f>
        <v>66298934716784</v>
      </c>
      <c r="D4283" s="1" t="str">
        <f>"5308"</f>
        <v>5308</v>
      </c>
      <c r="E4283" s="1" t="s">
        <v>17</v>
      </c>
      <c r="F4283" s="1">
        <v>1</v>
      </c>
      <c r="G4283" s="1">
        <v>277</v>
      </c>
      <c r="H4283" s="1">
        <v>277</v>
      </c>
      <c r="I4283" s="1">
        <v>0</v>
      </c>
      <c r="J4283" s="1">
        <v>1</v>
      </c>
      <c r="K4283" s="1">
        <v>0</v>
      </c>
    </row>
    <row r="4284" spans="1:11" x14ac:dyDescent="0.2">
      <c r="A4284" s="1" t="s">
        <v>3887</v>
      </c>
      <c r="B4284" s="1" t="s">
        <v>3930</v>
      </c>
      <c r="C4284" s="1" t="str">
        <f>"66298935323387"</f>
        <v>66298935323387</v>
      </c>
      <c r="D4284" s="1" t="str">
        <f>"09283-26002JP"</f>
        <v>09283-26002JP</v>
      </c>
      <c r="E4284" s="1" t="s">
        <v>17</v>
      </c>
      <c r="F4284" s="1">
        <v>1</v>
      </c>
      <c r="G4284" s="1">
        <v>420</v>
      </c>
      <c r="H4284" s="1">
        <v>420</v>
      </c>
      <c r="I4284" s="1">
        <v>0</v>
      </c>
      <c r="J4284" s="1">
        <v>1</v>
      </c>
      <c r="K4284" s="1">
        <v>0</v>
      </c>
    </row>
    <row r="4285" spans="1:11" x14ac:dyDescent="0.2">
      <c r="A4285" s="1" t="s">
        <v>3887</v>
      </c>
      <c r="B4285" s="1" t="s">
        <v>3931</v>
      </c>
      <c r="C4285" s="1" t="str">
        <f>"66298935363996"</f>
        <v>66298935363996</v>
      </c>
      <c r="D4285" s="1" t="str">
        <f>"40R015"</f>
        <v>40R015</v>
      </c>
      <c r="E4285" s="1" t="s">
        <v>17</v>
      </c>
      <c r="F4285" s="1">
        <v>1</v>
      </c>
      <c r="G4285" s="1">
        <v>504</v>
      </c>
      <c r="H4285" s="1">
        <v>504</v>
      </c>
      <c r="I4285" s="1">
        <v>0</v>
      </c>
      <c r="J4285" s="1">
        <v>1</v>
      </c>
      <c r="K4285" s="1">
        <v>0</v>
      </c>
    </row>
    <row r="4286" spans="1:11" x14ac:dyDescent="0.2">
      <c r="A4286" s="1" t="s">
        <v>3887</v>
      </c>
      <c r="B4286" s="1" t="s">
        <v>3932</v>
      </c>
      <c r="C4286" s="1" t="str">
        <f>"66298935990459"</f>
        <v>66298935990459</v>
      </c>
      <c r="D4286" s="1" t="str">
        <f>"90756-118-000"</f>
        <v>90756-118-000</v>
      </c>
      <c r="E4286" s="1" t="s">
        <v>17</v>
      </c>
      <c r="F4286" s="1">
        <v>16</v>
      </c>
      <c r="G4286" s="1">
        <v>363</v>
      </c>
      <c r="H4286" s="1">
        <v>5808</v>
      </c>
      <c r="I4286" s="1">
        <v>0</v>
      </c>
      <c r="J4286" s="1">
        <v>16</v>
      </c>
      <c r="K4286" s="1">
        <v>0</v>
      </c>
    </row>
    <row r="4287" spans="1:11" x14ac:dyDescent="0.2">
      <c r="A4287" s="1" t="s">
        <v>3887</v>
      </c>
      <c r="B4287" s="1" t="s">
        <v>3933</v>
      </c>
      <c r="C4287" s="1" t="str">
        <f>"66298935952606"</f>
        <v>66298935952606</v>
      </c>
      <c r="D4287" s="1" t="str">
        <f>"276-23145-51JP"</f>
        <v>276-23145-51JP</v>
      </c>
      <c r="E4287" s="1" t="s">
        <v>17</v>
      </c>
      <c r="F4287" s="1">
        <v>2</v>
      </c>
      <c r="G4287" s="1">
        <v>1588</v>
      </c>
      <c r="H4287" s="1">
        <v>3176</v>
      </c>
      <c r="I4287" s="1">
        <v>0</v>
      </c>
      <c r="J4287" s="1">
        <v>2</v>
      </c>
      <c r="K4287" s="1">
        <v>0</v>
      </c>
    </row>
    <row r="4288" spans="1:11" x14ac:dyDescent="0.2">
      <c r="A4288" s="1" t="s">
        <v>3887</v>
      </c>
      <c r="B4288" s="1" t="s">
        <v>3934</v>
      </c>
      <c r="C4288" s="1" t="str">
        <f>"66298935406298"</f>
        <v>66298935406298</v>
      </c>
      <c r="D4288" s="1" t="str">
        <f>"93103-28011JP"</f>
        <v>93103-28011JP</v>
      </c>
      <c r="E4288" s="1" t="s">
        <v>17</v>
      </c>
      <c r="F4288" s="1">
        <v>4</v>
      </c>
      <c r="G4288" s="1">
        <v>384</v>
      </c>
      <c r="H4288" s="1">
        <v>1536</v>
      </c>
      <c r="I4288" s="1">
        <v>0</v>
      </c>
      <c r="J4288" s="1">
        <v>4</v>
      </c>
      <c r="K4288" s="1">
        <v>0</v>
      </c>
    </row>
    <row r="4289" spans="1:11" x14ac:dyDescent="0.2">
      <c r="A4289" s="1" t="s">
        <v>3887</v>
      </c>
      <c r="B4289" s="1" t="s">
        <v>3935</v>
      </c>
      <c r="C4289" s="1" t="str">
        <f>"90765"</f>
        <v>90765</v>
      </c>
      <c r="D4289" s="1" t="str">
        <f>"90765"</f>
        <v>90765</v>
      </c>
      <c r="E4289" s="1" t="s">
        <v>17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</row>
    <row r="4290" spans="1:11" ht="30" x14ac:dyDescent="0.2">
      <c r="A4290" s="1" t="s">
        <v>3887</v>
      </c>
      <c r="B4290" s="1" t="s">
        <v>3936</v>
      </c>
      <c r="C4290" s="1" t="str">
        <f>"66298936031908"</f>
        <v>66298936031908</v>
      </c>
      <c r="D4290" s="1" t="str">
        <f>"36L-F3145-00JP"</f>
        <v>36L-F3145-00JP</v>
      </c>
      <c r="E4290" s="1" t="s">
        <v>17</v>
      </c>
      <c r="F4290" s="1">
        <v>1</v>
      </c>
      <c r="G4290" s="1">
        <v>471</v>
      </c>
      <c r="H4290" s="1">
        <v>471</v>
      </c>
      <c r="I4290" s="1">
        <v>0</v>
      </c>
      <c r="J4290" s="1">
        <v>1</v>
      </c>
      <c r="K4290" s="1">
        <v>0</v>
      </c>
    </row>
    <row r="4291" spans="1:11" ht="30" x14ac:dyDescent="0.2">
      <c r="A4291" s="1" t="s">
        <v>3887</v>
      </c>
      <c r="B4291" s="1" t="s">
        <v>3936</v>
      </c>
      <c r="C4291" s="1" t="str">
        <f>"P40FORK455012"</f>
        <v>P40FORK455012</v>
      </c>
      <c r="D4291" s="1" t="str">
        <f>"P40FORK455012"</f>
        <v>P40FORK455012</v>
      </c>
      <c r="E4291" s="1" t="s">
        <v>17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</row>
    <row r="4292" spans="1:11" ht="30" x14ac:dyDescent="0.2">
      <c r="A4292" s="1" t="s">
        <v>3887</v>
      </c>
      <c r="B4292" s="1" t="s">
        <v>3936</v>
      </c>
      <c r="C4292" s="1" t="str">
        <f>"40R046"</f>
        <v>40R046</v>
      </c>
      <c r="D4292" s="1" t="str">
        <f>"40R046"</f>
        <v>40R046</v>
      </c>
      <c r="E4292" s="1" t="s">
        <v>17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</row>
    <row r="4293" spans="1:11" x14ac:dyDescent="0.2">
      <c r="A4293" s="1" t="s">
        <v>3887</v>
      </c>
      <c r="B4293" s="1" t="s">
        <v>3937</v>
      </c>
      <c r="C4293" s="1" t="str">
        <f>"66298935828563"</f>
        <v>66298935828563</v>
      </c>
      <c r="D4293" s="1" t="str">
        <f>"93106-30004"</f>
        <v>93106-30004</v>
      </c>
      <c r="E4293" s="1" t="s">
        <v>17</v>
      </c>
      <c r="F4293" s="1">
        <v>6</v>
      </c>
      <c r="G4293" s="1">
        <v>256</v>
      </c>
      <c r="H4293" s="1">
        <v>1536</v>
      </c>
      <c r="I4293" s="1">
        <v>0</v>
      </c>
      <c r="J4293" s="1">
        <v>6</v>
      </c>
      <c r="K4293" s="1">
        <v>0</v>
      </c>
    </row>
    <row r="4294" spans="1:11" x14ac:dyDescent="0.2">
      <c r="A4294" s="1" t="s">
        <v>3887</v>
      </c>
      <c r="B4294" s="1" t="s">
        <v>3938</v>
      </c>
      <c r="C4294" s="1" t="str">
        <f>"BR2332RTO"</f>
        <v>BR2332RTO</v>
      </c>
      <c r="D4294" s="1" t="str">
        <f>"BR2332RTO"</f>
        <v>BR2332RTO</v>
      </c>
      <c r="E4294" s="1" t="s">
        <v>17</v>
      </c>
      <c r="F4294" s="1">
        <v>1</v>
      </c>
      <c r="G4294" s="1">
        <v>2163.0300000000002</v>
      </c>
      <c r="H4294" s="1">
        <v>2163</v>
      </c>
      <c r="I4294" s="1">
        <v>0</v>
      </c>
      <c r="J4294" s="1">
        <v>1</v>
      </c>
      <c r="K4294" s="1">
        <v>0</v>
      </c>
    </row>
    <row r="4295" spans="1:11" ht="30" x14ac:dyDescent="0.2">
      <c r="A4295" s="1" t="s">
        <v>3887</v>
      </c>
      <c r="B4295" s="1" t="s">
        <v>3939</v>
      </c>
      <c r="C4295" s="1" t="str">
        <f>"CR006"</f>
        <v>CR006</v>
      </c>
      <c r="D4295" s="1" t="str">
        <f>"CR006"</f>
        <v>CR006</v>
      </c>
      <c r="E4295" s="1" t="s">
        <v>17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</row>
    <row r="4296" spans="1:11" ht="30" x14ac:dyDescent="0.2">
      <c r="A4296" s="1" t="s">
        <v>3887</v>
      </c>
      <c r="B4296" s="1" t="s">
        <v>3939</v>
      </c>
      <c r="C4296" s="1" t="str">
        <f>"530"</f>
        <v>530</v>
      </c>
      <c r="D4296" s="1" t="str">
        <f>"530"</f>
        <v>530</v>
      </c>
      <c r="E4296" s="1" t="s">
        <v>17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</row>
    <row r="4297" spans="1:11" ht="30" x14ac:dyDescent="0.2">
      <c r="A4297" s="1" t="s">
        <v>3887</v>
      </c>
      <c r="B4297" s="1" t="s">
        <v>3939</v>
      </c>
      <c r="C4297" s="1" t="str">
        <f>"12420"</f>
        <v>12420</v>
      </c>
      <c r="D4297" s="1" t="str">
        <f>"12420"</f>
        <v>12420</v>
      </c>
      <c r="E4297" s="1" t="s">
        <v>17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</row>
    <row r="4298" spans="1:11" ht="30" x14ac:dyDescent="0.2">
      <c r="A4298" s="1" t="s">
        <v>3887</v>
      </c>
      <c r="B4298" s="1" t="s">
        <v>3939</v>
      </c>
      <c r="C4298" s="1" t="str">
        <f>"40R029"</f>
        <v>40R029</v>
      </c>
      <c r="D4298" s="1" t="str">
        <f>"40R029"</f>
        <v>40R029</v>
      </c>
      <c r="E4298" s="1" t="s">
        <v>17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</row>
    <row r="4299" spans="1:11" ht="30" x14ac:dyDescent="0.2">
      <c r="A4299" s="1" t="s">
        <v>3887</v>
      </c>
      <c r="B4299" s="1" t="s">
        <v>3940</v>
      </c>
      <c r="C4299" s="1" t="str">
        <f>"5656"</f>
        <v>5656</v>
      </c>
      <c r="D4299" s="1" t="str">
        <f>"5656"</f>
        <v>5656</v>
      </c>
      <c r="E4299" s="1" t="s">
        <v>17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</row>
    <row r="4300" spans="1:11" x14ac:dyDescent="0.2">
      <c r="A4300" s="1" t="s">
        <v>3887</v>
      </c>
      <c r="B4300" s="1" t="s">
        <v>3941</v>
      </c>
      <c r="C4300" s="1" t="str">
        <f>"66298935447831"</f>
        <v>66298935447831</v>
      </c>
      <c r="D4300" s="1" t="str">
        <f>"93103-32099JP"</f>
        <v>93103-32099JP</v>
      </c>
      <c r="E4300" s="1" t="s">
        <v>17</v>
      </c>
      <c r="F4300" s="1">
        <v>2</v>
      </c>
      <c r="G4300" s="1">
        <v>1316</v>
      </c>
      <c r="H4300" s="1">
        <v>2632</v>
      </c>
      <c r="I4300" s="1">
        <v>0</v>
      </c>
      <c r="J4300" s="1">
        <v>2</v>
      </c>
      <c r="K4300" s="1">
        <v>0</v>
      </c>
    </row>
    <row r="4301" spans="1:11" x14ac:dyDescent="0.2">
      <c r="A4301" s="1" t="s">
        <v>3887</v>
      </c>
      <c r="B4301" s="1" t="s">
        <v>3942</v>
      </c>
      <c r="C4301" s="1" t="str">
        <f>"66298935497860"</f>
        <v>66298935497860</v>
      </c>
      <c r="D4301" s="1" t="str">
        <f>"92049-1301HB"</f>
        <v>92049-1301HB</v>
      </c>
      <c r="E4301" s="1" t="s">
        <v>17</v>
      </c>
      <c r="F4301" s="1">
        <v>2</v>
      </c>
      <c r="G4301" s="1">
        <v>2212</v>
      </c>
      <c r="H4301" s="1">
        <v>4424</v>
      </c>
      <c r="I4301" s="1">
        <v>0</v>
      </c>
      <c r="J4301" s="1">
        <v>2</v>
      </c>
      <c r="K4301" s="1">
        <v>0</v>
      </c>
    </row>
    <row r="4302" spans="1:11" x14ac:dyDescent="0.2">
      <c r="A4302" s="1" t="s">
        <v>3887</v>
      </c>
      <c r="B4302" s="1" t="s">
        <v>3943</v>
      </c>
      <c r="C4302" s="1" t="str">
        <f>"66298935536561"</f>
        <v>66298935536561</v>
      </c>
      <c r="D4302" s="1" t="str">
        <f>"09283-32016JP"</f>
        <v>09283-32016JP</v>
      </c>
      <c r="E4302" s="1" t="s">
        <v>17</v>
      </c>
      <c r="F4302" s="1">
        <v>1</v>
      </c>
      <c r="G4302" s="1">
        <v>242</v>
      </c>
      <c r="H4302" s="1">
        <v>242</v>
      </c>
      <c r="I4302" s="1">
        <v>0</v>
      </c>
      <c r="J4302" s="1">
        <v>1</v>
      </c>
      <c r="K4302" s="1">
        <v>0</v>
      </c>
    </row>
    <row r="4303" spans="1:11" x14ac:dyDescent="0.2">
      <c r="A4303" s="1" t="s">
        <v>3887</v>
      </c>
      <c r="B4303" s="1" t="s">
        <v>3944</v>
      </c>
      <c r="C4303" s="1" t="str">
        <f>"66298936072313"</f>
        <v>66298936072313</v>
      </c>
      <c r="D4303" s="1" t="str">
        <f>"20P-F3145-00JP"</f>
        <v>20P-F3145-00JP</v>
      </c>
      <c r="E4303" s="1" t="s">
        <v>17</v>
      </c>
      <c r="F4303" s="1">
        <v>4</v>
      </c>
      <c r="G4303" s="1">
        <v>3688</v>
      </c>
      <c r="H4303" s="1">
        <v>14752</v>
      </c>
      <c r="I4303" s="1">
        <v>0</v>
      </c>
      <c r="J4303" s="1">
        <v>4</v>
      </c>
      <c r="K4303" s="1">
        <v>0</v>
      </c>
    </row>
    <row r="4304" spans="1:11" x14ac:dyDescent="0.2">
      <c r="A4304" s="1" t="s">
        <v>3887</v>
      </c>
      <c r="B4304" s="1" t="s">
        <v>3945</v>
      </c>
      <c r="C4304" s="1" t="str">
        <f>"66298936120767"</f>
        <v>66298936120767</v>
      </c>
      <c r="D4304" s="1" t="str">
        <f>"40R223"</f>
        <v>40R223</v>
      </c>
      <c r="E4304" s="1" t="s">
        <v>17</v>
      </c>
      <c r="F4304" s="1">
        <v>1</v>
      </c>
      <c r="G4304" s="1">
        <v>1992</v>
      </c>
      <c r="H4304" s="1">
        <v>1992</v>
      </c>
      <c r="I4304" s="1">
        <v>0</v>
      </c>
      <c r="J4304" s="1">
        <v>1</v>
      </c>
      <c r="K4304" s="1">
        <v>0</v>
      </c>
    </row>
    <row r="4305" spans="1:11" x14ac:dyDescent="0.2">
      <c r="A4305" s="1" t="s">
        <v>3887</v>
      </c>
      <c r="B4305" s="1" t="s">
        <v>3946</v>
      </c>
      <c r="C4305" s="1" t="str">
        <f>"P40FORK455023"</f>
        <v>P40FORK455023</v>
      </c>
      <c r="D4305" s="1" t="str">
        <f>"P40FORK455023"</f>
        <v>P40FORK455023</v>
      </c>
      <c r="E4305" s="1" t="s">
        <v>17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</row>
    <row r="4306" spans="1:11" x14ac:dyDescent="0.2">
      <c r="A4306" s="1" t="s">
        <v>3887</v>
      </c>
      <c r="B4306" s="1" t="s">
        <v>3947</v>
      </c>
      <c r="C4306" s="1" t="str">
        <f>"66298936165004"</f>
        <v>66298936165004</v>
      </c>
      <c r="D4306" s="1" t="str">
        <f>"4C6-F3145-00JP"</f>
        <v>4C6-F3145-00JP</v>
      </c>
      <c r="E4306" s="1" t="s">
        <v>17</v>
      </c>
      <c r="F4306" s="1">
        <v>15</v>
      </c>
      <c r="G4306" s="1">
        <v>558</v>
      </c>
      <c r="H4306" s="1">
        <v>8370</v>
      </c>
      <c r="I4306" s="1">
        <v>0</v>
      </c>
      <c r="J4306" s="1">
        <v>15</v>
      </c>
      <c r="K4306" s="1">
        <v>0</v>
      </c>
    </row>
    <row r="4307" spans="1:11" x14ac:dyDescent="0.2">
      <c r="A4307" s="1" t="s">
        <v>3887</v>
      </c>
      <c r="B4307" s="1" t="s">
        <v>3948</v>
      </c>
      <c r="C4307" s="1" t="str">
        <f>"66298935585769"</f>
        <v>66298935585769</v>
      </c>
      <c r="D4307" s="1" t="str">
        <f>"08014-34507JP"</f>
        <v>08014-34507JP</v>
      </c>
      <c r="E4307" s="1" t="s">
        <v>17</v>
      </c>
      <c r="F4307" s="1">
        <v>5</v>
      </c>
      <c r="G4307" s="1">
        <v>355</v>
      </c>
      <c r="H4307" s="1">
        <v>1775</v>
      </c>
      <c r="I4307" s="1">
        <v>0</v>
      </c>
      <c r="J4307" s="1">
        <v>5</v>
      </c>
      <c r="K4307" s="1">
        <v>0</v>
      </c>
    </row>
    <row r="4308" spans="1:11" x14ac:dyDescent="0.2">
      <c r="A4308" s="1" t="s">
        <v>3887</v>
      </c>
      <c r="B4308" s="1" t="s">
        <v>3949</v>
      </c>
      <c r="C4308" s="1" t="str">
        <f>"66298936206203"</f>
        <v>66298936206203</v>
      </c>
      <c r="D4308" s="1" t="str">
        <f>"2TW-F1345-A0JP"</f>
        <v>2TW-F1345-A0JP</v>
      </c>
      <c r="E4308" s="1" t="s">
        <v>17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</row>
    <row r="4309" spans="1:11" x14ac:dyDescent="0.2">
      <c r="A4309" s="1" t="s">
        <v>3887</v>
      </c>
      <c r="B4309" s="1" t="s">
        <v>3950</v>
      </c>
      <c r="C4309" s="1" t="str">
        <f>"66298935868282"</f>
        <v>66298935868282</v>
      </c>
      <c r="D4309" s="1" t="str">
        <f>"91252-HA0-004GH"</f>
        <v>91252-HA0-004GH</v>
      </c>
      <c r="E4309" s="1" t="s">
        <v>17</v>
      </c>
      <c r="F4309" s="1">
        <v>1</v>
      </c>
      <c r="G4309" s="1">
        <v>7647</v>
      </c>
      <c r="H4309" s="1">
        <v>7647</v>
      </c>
      <c r="I4309" s="1">
        <v>0</v>
      </c>
      <c r="J4309" s="1">
        <v>1</v>
      </c>
      <c r="K4309" s="1">
        <v>0</v>
      </c>
    </row>
    <row r="4310" spans="1:11" x14ac:dyDescent="0.2">
      <c r="A4310" s="1" t="s">
        <v>3887</v>
      </c>
      <c r="B4310" s="1" t="s">
        <v>3951</v>
      </c>
      <c r="C4310" s="1" t="str">
        <f>"66298934761370"</f>
        <v>66298934761370</v>
      </c>
      <c r="D4310" s="1" t="str">
        <f>"5011"</f>
        <v>5011</v>
      </c>
      <c r="E4310" s="1" t="s">
        <v>17</v>
      </c>
      <c r="F4310" s="1">
        <v>1</v>
      </c>
      <c r="G4310" s="1">
        <v>424</v>
      </c>
      <c r="H4310" s="1">
        <v>424</v>
      </c>
      <c r="I4310" s="1">
        <v>0</v>
      </c>
      <c r="J4310" s="1">
        <v>1</v>
      </c>
      <c r="K4310" s="1">
        <v>0</v>
      </c>
    </row>
    <row r="4311" spans="1:11" x14ac:dyDescent="0.2">
      <c r="A4311" s="1" t="s">
        <v>3887</v>
      </c>
      <c r="B4311" s="1" t="s">
        <v>3952</v>
      </c>
      <c r="C4311" s="1" t="str">
        <f>"66298936247014"</f>
        <v>66298936247014</v>
      </c>
      <c r="D4311" s="1" t="str">
        <f>"1KH-23145-00"</f>
        <v>1KH-23145-00</v>
      </c>
      <c r="E4311" s="1" t="s">
        <v>17</v>
      </c>
      <c r="F4311" s="1">
        <v>5</v>
      </c>
      <c r="G4311" s="1">
        <v>462</v>
      </c>
      <c r="H4311" s="1">
        <v>2310</v>
      </c>
      <c r="I4311" s="1">
        <v>0</v>
      </c>
      <c r="J4311" s="1">
        <v>5</v>
      </c>
      <c r="K4311" s="1">
        <v>0</v>
      </c>
    </row>
    <row r="4312" spans="1:11" x14ac:dyDescent="0.2">
      <c r="A4312" s="1" t="s">
        <v>3887</v>
      </c>
      <c r="B4312" s="1" t="s">
        <v>3953</v>
      </c>
      <c r="C4312" s="1" t="str">
        <f>"66298936284968"</f>
        <v>66298936284968</v>
      </c>
      <c r="D4312" s="1" t="str">
        <f>"92049-1193JP"</f>
        <v>92049-1193JP</v>
      </c>
      <c r="E4312" s="1" t="s">
        <v>17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</row>
    <row r="4313" spans="1:11" x14ac:dyDescent="0.2">
      <c r="A4313" s="1" t="s">
        <v>3887</v>
      </c>
      <c r="B4313" s="1" t="s">
        <v>3954</v>
      </c>
      <c r="C4313" s="1" t="str">
        <f>"P40FORK455040"</f>
        <v>P40FORK455040</v>
      </c>
      <c r="D4313" s="1" t="str">
        <f>"P40FORK455040"</f>
        <v>P40FORK455040</v>
      </c>
      <c r="E4313" s="1" t="s">
        <v>17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</row>
    <row r="4314" spans="1:11" ht="30" x14ac:dyDescent="0.2">
      <c r="A4314" s="1" t="s">
        <v>3887</v>
      </c>
      <c r="B4314" s="1" t="s">
        <v>3955</v>
      </c>
      <c r="C4314" s="1" t="str">
        <f>"66298936326773"</f>
        <v>66298936326773</v>
      </c>
      <c r="D4314" s="1" t="str">
        <f>"91255-KR6-305"</f>
        <v>91255-KR6-305</v>
      </c>
      <c r="E4314" s="1" t="s">
        <v>17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</row>
    <row r="4315" spans="1:11" ht="30" x14ac:dyDescent="0.2">
      <c r="A4315" s="1" t="s">
        <v>3887</v>
      </c>
      <c r="B4315" s="1" t="s">
        <v>3955</v>
      </c>
      <c r="C4315" s="1" t="str">
        <f>"66298936370452"</f>
        <v>66298936370452</v>
      </c>
      <c r="D4315" s="1" t="str">
        <f>"51490-KR6-305TW"</f>
        <v>51490-KR6-305TW</v>
      </c>
      <c r="E4315" s="1" t="s">
        <v>17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</row>
    <row r="4316" spans="1:11" ht="30" x14ac:dyDescent="0.2">
      <c r="A4316" s="1" t="s">
        <v>3887</v>
      </c>
      <c r="B4316" s="1" t="s">
        <v>3955</v>
      </c>
      <c r="C4316" s="1" t="str">
        <f>"40R114"</f>
        <v>40R114</v>
      </c>
      <c r="D4316" s="1" t="str">
        <f>"40R114"</f>
        <v>40R114</v>
      </c>
      <c r="E4316" s="1" t="s">
        <v>17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</row>
    <row r="4317" spans="1:11" x14ac:dyDescent="0.2">
      <c r="A4317" s="1" t="s">
        <v>3887</v>
      </c>
      <c r="B4317" s="1" t="s">
        <v>3956</v>
      </c>
      <c r="C4317" s="1" t="str">
        <f>"66298936413990"</f>
        <v>66298936413990</v>
      </c>
      <c r="D4317" s="1" t="str">
        <f>"3EN-23145-00JP"</f>
        <v>3EN-23145-00JP</v>
      </c>
      <c r="E4317" s="1" t="s">
        <v>17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</row>
    <row r="4318" spans="1:11" x14ac:dyDescent="0.2">
      <c r="A4318" s="1" t="s">
        <v>3887</v>
      </c>
      <c r="B4318" s="1" t="s">
        <v>3957</v>
      </c>
      <c r="C4318" s="1" t="str">
        <f>"66298936458617"</f>
        <v>66298936458617</v>
      </c>
      <c r="D4318" s="1" t="str">
        <f>"91255-463-003JP"</f>
        <v>91255-463-003JP</v>
      </c>
      <c r="E4318" s="1" t="s">
        <v>17</v>
      </c>
      <c r="F4318" s="1">
        <v>3</v>
      </c>
      <c r="G4318" s="1">
        <v>3771</v>
      </c>
      <c r="H4318" s="1">
        <v>11313</v>
      </c>
      <c r="I4318" s="1">
        <v>0</v>
      </c>
      <c r="J4318" s="1">
        <v>3</v>
      </c>
      <c r="K4318" s="1">
        <v>0</v>
      </c>
    </row>
    <row r="4319" spans="1:11" x14ac:dyDescent="0.2">
      <c r="A4319" s="1" t="s">
        <v>3887</v>
      </c>
      <c r="B4319" s="1" t="s">
        <v>3958</v>
      </c>
      <c r="C4319" s="1" t="str">
        <f>"66298934805179"</f>
        <v>66298934805179</v>
      </c>
      <c r="D4319" s="1" t="str">
        <f>"40-58-10"</f>
        <v>40-58-10</v>
      </c>
      <c r="E4319" s="1" t="s">
        <v>17</v>
      </c>
      <c r="F4319" s="1">
        <v>1</v>
      </c>
      <c r="G4319" s="1">
        <v>324</v>
      </c>
      <c r="H4319" s="1">
        <v>324</v>
      </c>
      <c r="I4319" s="1">
        <v>0</v>
      </c>
      <c r="J4319" s="1">
        <v>1</v>
      </c>
      <c r="K4319" s="1">
        <v>0</v>
      </c>
    </row>
    <row r="4320" spans="1:11" ht="45" x14ac:dyDescent="0.2">
      <c r="A4320" s="1" t="s">
        <v>3887</v>
      </c>
      <c r="B4320" s="1" t="s">
        <v>3959</v>
      </c>
      <c r="C4320" s="1" t="str">
        <f>"66298936502331"</f>
        <v>66298936502331</v>
      </c>
      <c r="D4320" s="1" t="str">
        <f>"4EB-23145-01JP"</f>
        <v>4EB-23145-01JP</v>
      </c>
      <c r="E4320" s="1" t="s">
        <v>17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</row>
    <row r="4321" spans="1:11" ht="45" x14ac:dyDescent="0.2">
      <c r="A4321" s="1" t="s">
        <v>3887</v>
      </c>
      <c r="B4321" s="1" t="s">
        <v>3959</v>
      </c>
      <c r="C4321" s="1" t="str">
        <f>"51822"</f>
        <v>51822</v>
      </c>
      <c r="D4321" s="1" t="str">
        <f>"51822"</f>
        <v>51822</v>
      </c>
      <c r="E4321" s="1" t="s">
        <v>17</v>
      </c>
      <c r="F4321" s="1">
        <v>1</v>
      </c>
      <c r="G4321" s="1">
        <v>1500.15</v>
      </c>
      <c r="H4321" s="1">
        <v>1500</v>
      </c>
      <c r="I4321" s="1">
        <v>0</v>
      </c>
      <c r="J4321" s="1">
        <v>1</v>
      </c>
      <c r="K4321" s="1">
        <v>0</v>
      </c>
    </row>
    <row r="4322" spans="1:11" ht="45" x14ac:dyDescent="0.2">
      <c r="A4322" s="1" t="s">
        <v>3887</v>
      </c>
      <c r="B4322" s="1" t="s">
        <v>3959</v>
      </c>
      <c r="C4322" s="1" t="str">
        <f>"7374"</f>
        <v>7374</v>
      </c>
      <c r="D4322" s="1" t="str">
        <f>"7374"</f>
        <v>7374</v>
      </c>
      <c r="E4322" s="1" t="s">
        <v>17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</row>
    <row r="4323" spans="1:11" ht="45" x14ac:dyDescent="0.2">
      <c r="A4323" s="1" t="s">
        <v>3887</v>
      </c>
      <c r="B4323" s="1" t="s">
        <v>3960</v>
      </c>
      <c r="C4323" s="1" t="str">
        <f>"40R069"</f>
        <v>40R069</v>
      </c>
      <c r="D4323" s="1" t="str">
        <f>"40R069"</f>
        <v>40R069</v>
      </c>
      <c r="E4323" s="1" t="s">
        <v>17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</row>
    <row r="4324" spans="1:11" x14ac:dyDescent="0.2">
      <c r="A4324" s="1" t="s">
        <v>3887</v>
      </c>
      <c r="B4324" s="1" t="s">
        <v>3961</v>
      </c>
      <c r="C4324" s="1" t="str">
        <f>"12802"</f>
        <v>12802</v>
      </c>
      <c r="D4324" s="1" t="str">
        <f>"12802"</f>
        <v>12802</v>
      </c>
      <c r="E4324" s="1" t="s">
        <v>17</v>
      </c>
      <c r="F4324" s="1">
        <v>1</v>
      </c>
      <c r="G4324" s="1">
        <v>1970.01</v>
      </c>
      <c r="H4324" s="1">
        <v>1970</v>
      </c>
      <c r="I4324" s="1">
        <v>0</v>
      </c>
      <c r="J4324" s="1">
        <v>1</v>
      </c>
      <c r="K4324" s="1">
        <v>0</v>
      </c>
    </row>
    <row r="4325" spans="1:11" x14ac:dyDescent="0.2">
      <c r="A4325" s="1" t="s">
        <v>3887</v>
      </c>
      <c r="B4325" s="1" t="s">
        <v>3961</v>
      </c>
      <c r="C4325" s="1" t="str">
        <f>"BR2432RTO"</f>
        <v>BR2432RTO</v>
      </c>
      <c r="D4325" s="1" t="str">
        <f>"BR2432RTO"</f>
        <v>BR2432RTO</v>
      </c>
      <c r="E4325" s="1" t="s">
        <v>17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</row>
    <row r="4326" spans="1:11" x14ac:dyDescent="0.2">
      <c r="A4326" s="1" t="s">
        <v>3887</v>
      </c>
      <c r="B4326" s="1" t="s">
        <v>3962</v>
      </c>
      <c r="C4326" s="1" t="str">
        <f>"51490-KAE-003"</f>
        <v>51490-KAE-003</v>
      </c>
      <c r="D4326" s="1" t="str">
        <f>"51490-KAE-003"</f>
        <v>51490-KAE-003</v>
      </c>
      <c r="E4326" s="1" t="s">
        <v>17</v>
      </c>
      <c r="F4326" s="1">
        <v>38</v>
      </c>
      <c r="G4326" s="1">
        <v>816</v>
      </c>
      <c r="H4326" s="1">
        <v>31008</v>
      </c>
      <c r="I4326" s="1">
        <v>0</v>
      </c>
      <c r="J4326" s="1">
        <v>38</v>
      </c>
      <c r="K4326" s="1">
        <v>0</v>
      </c>
    </row>
    <row r="4327" spans="1:11" ht="30" x14ac:dyDescent="0.2">
      <c r="A4327" s="1" t="s">
        <v>3887</v>
      </c>
      <c r="B4327" s="1" t="s">
        <v>3963</v>
      </c>
      <c r="C4327" s="1" t="str">
        <f>"91255-KAE-003"</f>
        <v>91255-KAE-003</v>
      </c>
      <c r="D4327" s="1" t="str">
        <f>"91255-KAE-003"</f>
        <v>91255-KAE-003</v>
      </c>
      <c r="E4327" s="1" t="s">
        <v>17</v>
      </c>
      <c r="F4327" s="1">
        <v>33</v>
      </c>
      <c r="G4327" s="1">
        <v>841.4</v>
      </c>
      <c r="H4327" s="1">
        <v>27766</v>
      </c>
      <c r="I4327" s="1">
        <v>0</v>
      </c>
      <c r="J4327" s="1">
        <v>33</v>
      </c>
      <c r="K4327" s="1">
        <v>0</v>
      </c>
    </row>
    <row r="4328" spans="1:11" ht="30" x14ac:dyDescent="0.2">
      <c r="A4328" s="1" t="s">
        <v>3887</v>
      </c>
      <c r="B4328" s="1" t="s">
        <v>3963</v>
      </c>
      <c r="C4328" s="1" t="str">
        <f>"40R208"</f>
        <v>40R208</v>
      </c>
      <c r="D4328" s="1" t="str">
        <f>"40R208"</f>
        <v>40R208</v>
      </c>
      <c r="E4328" s="1" t="s">
        <v>17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</row>
    <row r="4329" spans="1:11" x14ac:dyDescent="0.2">
      <c r="A4329" s="1" t="s">
        <v>3887</v>
      </c>
      <c r="B4329" s="1" t="s">
        <v>3964</v>
      </c>
      <c r="C4329" s="1" t="str">
        <f>"66298935910962"</f>
        <v>66298935910962</v>
      </c>
      <c r="D4329" s="1" t="str">
        <f>"93102-42260"</f>
        <v>93102-42260</v>
      </c>
      <c r="E4329" s="1" t="s">
        <v>17</v>
      </c>
      <c r="F4329" s="1">
        <v>1</v>
      </c>
      <c r="G4329" s="1">
        <v>319</v>
      </c>
      <c r="H4329" s="1">
        <v>319</v>
      </c>
      <c r="I4329" s="1">
        <v>0</v>
      </c>
      <c r="J4329" s="1">
        <v>1</v>
      </c>
      <c r="K4329" s="1">
        <v>0</v>
      </c>
    </row>
    <row r="4330" spans="1:11" ht="30" x14ac:dyDescent="0.2">
      <c r="A4330" s="1" t="s">
        <v>3887</v>
      </c>
      <c r="B4330" s="1" t="s">
        <v>3965</v>
      </c>
      <c r="C4330" s="1" t="str">
        <f>"P40FORK455191"</f>
        <v>P40FORK455191</v>
      </c>
      <c r="D4330" s="1" t="str">
        <f>"P40FORK455191"</f>
        <v>P40FORK455191</v>
      </c>
      <c r="E4330" s="1" t="s">
        <v>17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</row>
    <row r="4331" spans="1:11" x14ac:dyDescent="0.2">
      <c r="A4331" s="1" t="s">
        <v>3887</v>
      </c>
      <c r="B4331" s="1" t="s">
        <v>3966</v>
      </c>
      <c r="C4331" s="1" t="str">
        <f>"91255-ML3-305JP"</f>
        <v>91255-ML3-305JP</v>
      </c>
      <c r="D4331" s="1" t="str">
        <f>"91255-ML3-305JP"</f>
        <v>91255-ML3-305JP</v>
      </c>
      <c r="E4331" s="1" t="s">
        <v>17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</row>
    <row r="4332" spans="1:11" x14ac:dyDescent="0.2">
      <c r="A4332" s="1" t="s">
        <v>3887</v>
      </c>
      <c r="B4332" s="1" t="s">
        <v>3966</v>
      </c>
      <c r="C4332" s="1" t="str">
        <f>"1468"</f>
        <v>1468</v>
      </c>
      <c r="D4332" s="1" t="str">
        <f>"1468"</f>
        <v>1468</v>
      </c>
      <c r="E4332" s="1" t="s">
        <v>17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</row>
    <row r="4333" spans="1:11" x14ac:dyDescent="0.2">
      <c r="A4333" s="1" t="s">
        <v>3887</v>
      </c>
      <c r="B4333" s="1" t="s">
        <v>3967</v>
      </c>
      <c r="C4333" s="1" t="str">
        <f>"66298936550273"</f>
        <v>66298936550273</v>
      </c>
      <c r="D4333" s="1" t="str">
        <f>"5ET-23145-L0JP"</f>
        <v>5ET-23145-L0JP</v>
      </c>
      <c r="E4333" s="1" t="s">
        <v>17</v>
      </c>
      <c r="F4333" s="1">
        <v>2</v>
      </c>
      <c r="G4333" s="1">
        <v>4224</v>
      </c>
      <c r="H4333" s="1">
        <v>8448</v>
      </c>
      <c r="I4333" s="1">
        <v>0</v>
      </c>
      <c r="J4333" s="1">
        <v>2</v>
      </c>
      <c r="K4333" s="1">
        <v>0</v>
      </c>
    </row>
    <row r="4334" spans="1:11" x14ac:dyDescent="0.2">
      <c r="A4334" s="1" t="s">
        <v>3887</v>
      </c>
      <c r="B4334" s="1" t="s">
        <v>3968</v>
      </c>
      <c r="C4334" s="1" t="str">
        <f>"66298936596364"</f>
        <v>66298936596364</v>
      </c>
      <c r="D4334" s="1" t="str">
        <f>"51153-36E00JP"</f>
        <v>51153-36E00JP</v>
      </c>
      <c r="E4334" s="1" t="s">
        <v>17</v>
      </c>
      <c r="F4334" s="1">
        <v>1</v>
      </c>
      <c r="G4334" s="1">
        <v>4090</v>
      </c>
      <c r="H4334" s="1">
        <v>4090</v>
      </c>
      <c r="I4334" s="1">
        <v>0</v>
      </c>
      <c r="J4334" s="1">
        <v>1</v>
      </c>
      <c r="K4334" s="1">
        <v>0</v>
      </c>
    </row>
    <row r="4335" spans="1:11" x14ac:dyDescent="0.2">
      <c r="A4335" s="1" t="s">
        <v>3887</v>
      </c>
      <c r="B4335" s="1" t="s">
        <v>3969</v>
      </c>
      <c r="C4335" s="1" t="str">
        <f>"66298936637604"</f>
        <v>66298936637604</v>
      </c>
      <c r="D4335" s="1" t="str">
        <f>"51490-KRN-A91JP"</f>
        <v>51490-KRN-A91JP</v>
      </c>
      <c r="E4335" s="1" t="s">
        <v>17</v>
      </c>
      <c r="F4335" s="1">
        <v>2</v>
      </c>
      <c r="G4335" s="1">
        <v>3771</v>
      </c>
      <c r="H4335" s="1">
        <v>7542</v>
      </c>
      <c r="I4335" s="1">
        <v>0</v>
      </c>
      <c r="J4335" s="1">
        <v>2</v>
      </c>
      <c r="K4335" s="1">
        <v>0</v>
      </c>
    </row>
    <row r="4336" spans="1:11" x14ac:dyDescent="0.2">
      <c r="A4336" s="1" t="s">
        <v>3887</v>
      </c>
      <c r="B4336" s="1" t="s">
        <v>3970</v>
      </c>
      <c r="C4336" s="1" t="str">
        <f>"CR004"</f>
        <v>CR004</v>
      </c>
      <c r="D4336" s="1" t="str">
        <f>"CR004"</f>
        <v>CR004</v>
      </c>
      <c r="E4336" s="1" t="s">
        <v>17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</row>
    <row r="4337" spans="1:11" x14ac:dyDescent="0.2">
      <c r="A4337" s="1" t="s">
        <v>3887</v>
      </c>
      <c r="B4337" s="1" t="s">
        <v>3971</v>
      </c>
      <c r="C4337" s="1" t="str">
        <f>"66298937397063"</f>
        <v>66298937397063</v>
      </c>
      <c r="D4337" s="1" t="str">
        <f>"40J056"</f>
        <v>40J056</v>
      </c>
      <c r="E4337" s="1" t="s">
        <v>17</v>
      </c>
      <c r="F4337" s="1">
        <v>2</v>
      </c>
      <c r="G4337" s="1">
        <v>1405</v>
      </c>
      <c r="H4337" s="1">
        <v>2810</v>
      </c>
      <c r="I4337" s="1">
        <v>0</v>
      </c>
      <c r="J4337" s="1">
        <v>2</v>
      </c>
      <c r="K4337" s="1">
        <v>0</v>
      </c>
    </row>
    <row r="4338" spans="1:11" ht="30" x14ac:dyDescent="0.2">
      <c r="A4338" s="1" t="s">
        <v>3887</v>
      </c>
      <c r="B4338" s="1" t="s">
        <v>3972</v>
      </c>
      <c r="C4338" s="1" t="str">
        <f>"12132"</f>
        <v>12132</v>
      </c>
      <c r="D4338" s="1" t="str">
        <f>"12132"</f>
        <v>12132</v>
      </c>
      <c r="E4338" s="1" t="s">
        <v>17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</row>
    <row r="4339" spans="1:11" x14ac:dyDescent="0.2">
      <c r="A4339" s="1" t="s">
        <v>3887</v>
      </c>
      <c r="B4339" s="1" t="s">
        <v>3973</v>
      </c>
      <c r="C4339" s="1" t="str">
        <f>"66298937438317"</f>
        <v>66298937438317</v>
      </c>
      <c r="D4339" s="1" t="str">
        <f>"40J010"</f>
        <v>40J010</v>
      </c>
      <c r="E4339" s="1" t="s">
        <v>17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</row>
    <row r="4340" spans="1:11" ht="30" x14ac:dyDescent="0.2">
      <c r="A4340" s="1" t="s">
        <v>3887</v>
      </c>
      <c r="B4340" s="1" t="s">
        <v>3974</v>
      </c>
      <c r="C4340" s="1" t="str">
        <f>"1044"</f>
        <v>1044</v>
      </c>
      <c r="D4340" s="1" t="str">
        <f>"1044"</f>
        <v>1044</v>
      </c>
      <c r="E4340" s="1" t="s">
        <v>17</v>
      </c>
      <c r="F4340" s="1">
        <v>1</v>
      </c>
      <c r="G4340" s="1">
        <v>1941.18</v>
      </c>
      <c r="H4340" s="1">
        <v>1941</v>
      </c>
      <c r="I4340" s="1">
        <v>0</v>
      </c>
      <c r="J4340" s="1">
        <v>1</v>
      </c>
      <c r="K4340" s="1">
        <v>0</v>
      </c>
    </row>
    <row r="4341" spans="1:11" ht="30" x14ac:dyDescent="0.2">
      <c r="A4341" s="1" t="s">
        <v>3887</v>
      </c>
      <c r="B4341" s="1" t="s">
        <v>3975</v>
      </c>
      <c r="C4341" s="1" t="str">
        <f>"66298937937924"</f>
        <v>66298937937924</v>
      </c>
      <c r="D4341" s="1" t="str">
        <f>"CR002"</f>
        <v>CR002</v>
      </c>
      <c r="E4341" s="1" t="s">
        <v>17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</row>
    <row r="4342" spans="1:11" x14ac:dyDescent="0.2">
      <c r="A4342" s="1" t="s">
        <v>3887</v>
      </c>
      <c r="B4342" s="1" t="s">
        <v>3976</v>
      </c>
      <c r="C4342" s="1" t="str">
        <f>"66298937479414"</f>
        <v>66298937479414</v>
      </c>
      <c r="D4342" s="1" t="str">
        <f>"40J069"</f>
        <v>40J069</v>
      </c>
      <c r="E4342" s="1" t="s">
        <v>17</v>
      </c>
      <c r="F4342" s="1">
        <v>4</v>
      </c>
      <c r="G4342" s="1">
        <v>2899</v>
      </c>
      <c r="H4342" s="1">
        <v>11596</v>
      </c>
      <c r="I4342" s="1">
        <v>0</v>
      </c>
      <c r="J4342" s="1">
        <v>4</v>
      </c>
      <c r="K4342" s="1">
        <v>0</v>
      </c>
    </row>
    <row r="4343" spans="1:11" ht="30" x14ac:dyDescent="0.2">
      <c r="A4343" s="1" t="s">
        <v>3887</v>
      </c>
      <c r="B4343" s="1" t="s">
        <v>3977</v>
      </c>
      <c r="C4343" s="1" t="str">
        <f>"CR009"</f>
        <v>CR009</v>
      </c>
      <c r="D4343" s="1" t="str">
        <f>"CR009"</f>
        <v>CR009</v>
      </c>
      <c r="E4343" s="1" t="s">
        <v>17</v>
      </c>
      <c r="F4343" s="1">
        <v>2</v>
      </c>
      <c r="G4343" s="1">
        <v>1323</v>
      </c>
      <c r="H4343" s="1">
        <v>2646</v>
      </c>
      <c r="I4343" s="1">
        <v>0</v>
      </c>
      <c r="J4343" s="1">
        <v>2</v>
      </c>
      <c r="K4343" s="1">
        <v>0</v>
      </c>
    </row>
    <row r="4344" spans="1:11" ht="30" x14ac:dyDescent="0.2">
      <c r="A4344" s="1" t="s">
        <v>3887</v>
      </c>
      <c r="B4344" s="1" t="s">
        <v>3978</v>
      </c>
      <c r="C4344" s="1" t="str">
        <f>"66298937559232"</f>
        <v>66298937559232</v>
      </c>
      <c r="D4344" s="1" t="str">
        <f>"CR001"</f>
        <v>CR001</v>
      </c>
      <c r="E4344" s="1" t="s">
        <v>17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</row>
    <row r="4345" spans="1:11" ht="30" x14ac:dyDescent="0.2">
      <c r="A4345" s="1" t="s">
        <v>3887</v>
      </c>
      <c r="B4345" s="1" t="s">
        <v>3979</v>
      </c>
      <c r="C4345" s="1" t="str">
        <f>"66298937521143"</f>
        <v>66298937521143</v>
      </c>
      <c r="D4345" s="1" t="str">
        <f>"40J086"</f>
        <v>40J086</v>
      </c>
      <c r="E4345" s="1" t="s">
        <v>17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</row>
    <row r="4346" spans="1:11" ht="30" x14ac:dyDescent="0.2">
      <c r="A4346" s="1" t="s">
        <v>3887</v>
      </c>
      <c r="B4346" s="1" t="s">
        <v>3980</v>
      </c>
      <c r="C4346" s="1" t="str">
        <f>"66298937601133"</f>
        <v>66298937601133</v>
      </c>
      <c r="D4346" s="1" t="str">
        <f>"H1040"</f>
        <v>H1040</v>
      </c>
      <c r="E4346" s="1" t="s">
        <v>17</v>
      </c>
      <c r="F4346" s="1">
        <v>10</v>
      </c>
      <c r="G4346" s="1">
        <v>1390</v>
      </c>
      <c r="H4346" s="1">
        <v>13900</v>
      </c>
      <c r="I4346" s="1">
        <v>0</v>
      </c>
      <c r="J4346" s="1">
        <v>10</v>
      </c>
      <c r="K4346" s="1">
        <v>0</v>
      </c>
    </row>
    <row r="4347" spans="1:11" x14ac:dyDescent="0.2">
      <c r="A4347" s="1" t="s">
        <v>3887</v>
      </c>
      <c r="B4347" s="1" t="s">
        <v>3981</v>
      </c>
      <c r="C4347" s="1" t="str">
        <f>"66298937644977"</f>
        <v>66298937644977</v>
      </c>
      <c r="D4347" s="1" t="str">
        <f>"CR003"</f>
        <v>CR003</v>
      </c>
      <c r="E4347" s="1" t="s">
        <v>17</v>
      </c>
      <c r="F4347" s="1">
        <v>7</v>
      </c>
      <c r="G4347" s="1">
        <v>1237</v>
      </c>
      <c r="H4347" s="1">
        <v>8659</v>
      </c>
      <c r="I4347" s="1">
        <v>0</v>
      </c>
      <c r="J4347" s="1">
        <v>7</v>
      </c>
      <c r="K4347" s="1">
        <v>0</v>
      </c>
    </row>
    <row r="4348" spans="1:11" ht="30" x14ac:dyDescent="0.2">
      <c r="A4348" s="1" t="s">
        <v>3887</v>
      </c>
      <c r="B4348" s="1" t="s">
        <v>3982</v>
      </c>
      <c r="C4348" s="1" t="str">
        <f>"66298937695414"</f>
        <v>66298937695414</v>
      </c>
      <c r="D4348" s="1" t="str">
        <f>"40J052"</f>
        <v>40J052</v>
      </c>
      <c r="E4348" s="1" t="s">
        <v>17</v>
      </c>
      <c r="F4348" s="1">
        <v>1</v>
      </c>
      <c r="G4348" s="1">
        <v>3000</v>
      </c>
      <c r="H4348" s="1">
        <v>3000</v>
      </c>
      <c r="I4348" s="1">
        <v>0</v>
      </c>
      <c r="J4348" s="1">
        <v>1</v>
      </c>
      <c r="K4348" s="1">
        <v>0</v>
      </c>
    </row>
    <row r="4349" spans="1:11" ht="30" x14ac:dyDescent="0.2">
      <c r="A4349" s="1" t="s">
        <v>3887</v>
      </c>
      <c r="B4349" s="1" t="s">
        <v>3983</v>
      </c>
      <c r="C4349" s="1" t="str">
        <f>"66298937734176"</f>
        <v>66298937734176</v>
      </c>
      <c r="D4349" s="1" t="str">
        <f>"40J009"</f>
        <v>40J009</v>
      </c>
      <c r="E4349" s="1" t="s">
        <v>17</v>
      </c>
      <c r="F4349" s="1">
        <v>5</v>
      </c>
      <c r="G4349" s="1">
        <v>3504</v>
      </c>
      <c r="H4349" s="1">
        <v>17520</v>
      </c>
      <c r="I4349" s="1">
        <v>0</v>
      </c>
      <c r="J4349" s="1">
        <v>5</v>
      </c>
      <c r="K4349" s="1">
        <v>0</v>
      </c>
    </row>
    <row r="4350" spans="1:11" ht="30" x14ac:dyDescent="0.2">
      <c r="A4350" s="1" t="s">
        <v>3887</v>
      </c>
      <c r="B4350" s="1" t="s">
        <v>3984</v>
      </c>
      <c r="C4350" s="1" t="str">
        <f>"CR010"</f>
        <v>CR010</v>
      </c>
      <c r="D4350" s="1" t="str">
        <f>"CR010"</f>
        <v>CR010</v>
      </c>
      <c r="E4350" s="1" t="s">
        <v>17</v>
      </c>
      <c r="F4350" s="1">
        <v>1</v>
      </c>
      <c r="G4350" s="1">
        <v>1008</v>
      </c>
      <c r="H4350" s="1">
        <v>1008</v>
      </c>
      <c r="I4350" s="1">
        <v>0</v>
      </c>
      <c r="J4350" s="1">
        <v>1</v>
      </c>
      <c r="K4350" s="1">
        <v>0</v>
      </c>
    </row>
    <row r="4351" spans="1:11" ht="30" x14ac:dyDescent="0.2">
      <c r="A4351" s="1" t="s">
        <v>3887</v>
      </c>
      <c r="B4351" s="1" t="s">
        <v>3985</v>
      </c>
      <c r="C4351" s="1" t="str">
        <f>"66298937775346"</f>
        <v>66298937775346</v>
      </c>
      <c r="D4351" s="1" t="str">
        <f>"40J065"</f>
        <v>40J065</v>
      </c>
      <c r="E4351" s="1" t="s">
        <v>17</v>
      </c>
      <c r="F4351" s="1">
        <v>6</v>
      </c>
      <c r="G4351" s="1">
        <v>3000</v>
      </c>
      <c r="H4351" s="1">
        <v>18000</v>
      </c>
      <c r="I4351" s="1">
        <v>0</v>
      </c>
      <c r="J4351" s="1">
        <v>6</v>
      </c>
      <c r="K4351" s="1">
        <v>0</v>
      </c>
    </row>
    <row r="4352" spans="1:11" ht="30" x14ac:dyDescent="0.2">
      <c r="A4352" s="1" t="s">
        <v>3887</v>
      </c>
      <c r="B4352" s="1" t="s">
        <v>3986</v>
      </c>
      <c r="C4352" s="1" t="str">
        <f>"CR005"</f>
        <v>CR005</v>
      </c>
      <c r="D4352" s="1" t="str">
        <f>"CR005"</f>
        <v>CR005</v>
      </c>
      <c r="E4352" s="1" t="s">
        <v>17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</row>
    <row r="4353" spans="1:11" ht="30" x14ac:dyDescent="0.2">
      <c r="A4353" s="1" t="s">
        <v>3887</v>
      </c>
      <c r="B4353" s="1" t="s">
        <v>3987</v>
      </c>
      <c r="C4353" s="1" t="str">
        <f>"66298937818462"</f>
        <v>66298937818462</v>
      </c>
      <c r="D4353" s="1" t="str">
        <f>"40J084"</f>
        <v>40J084</v>
      </c>
      <c r="E4353" s="1" t="s">
        <v>17</v>
      </c>
      <c r="F4353" s="1">
        <v>4</v>
      </c>
      <c r="G4353" s="1">
        <v>4513</v>
      </c>
      <c r="H4353" s="1">
        <v>18052</v>
      </c>
      <c r="I4353" s="1">
        <v>0</v>
      </c>
      <c r="J4353" s="1">
        <v>4</v>
      </c>
      <c r="K4353" s="1">
        <v>0</v>
      </c>
    </row>
    <row r="4354" spans="1:11" ht="30" x14ac:dyDescent="0.2">
      <c r="A4354" s="1" t="s">
        <v>3887</v>
      </c>
      <c r="B4354" s="1" t="s">
        <v>3988</v>
      </c>
      <c r="C4354" s="1" t="str">
        <f>"66298937861506"</f>
        <v>66298937861506</v>
      </c>
      <c r="D4354" s="1" t="str">
        <f>"40J085"</f>
        <v>40J085</v>
      </c>
      <c r="E4354" s="1" t="s">
        <v>17</v>
      </c>
      <c r="F4354" s="1">
        <v>1</v>
      </c>
      <c r="G4354" s="1">
        <v>4513</v>
      </c>
      <c r="H4354" s="1">
        <v>4513</v>
      </c>
      <c r="I4354" s="1">
        <v>0</v>
      </c>
      <c r="J4354" s="1">
        <v>1</v>
      </c>
      <c r="K4354" s="1">
        <v>0</v>
      </c>
    </row>
    <row r="4355" spans="1:11" ht="30" x14ac:dyDescent="0.2">
      <c r="A4355" s="1" t="s">
        <v>3887</v>
      </c>
      <c r="B4355" s="1" t="s">
        <v>3989</v>
      </c>
      <c r="C4355" s="1" t="str">
        <f>"66298937900335"</f>
        <v>66298937900335</v>
      </c>
      <c r="D4355" s="1" t="str">
        <f>"40J080"</f>
        <v>40J080</v>
      </c>
      <c r="E4355" s="1" t="s">
        <v>17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</row>
    <row r="4356" spans="1:11" x14ac:dyDescent="0.2">
      <c r="A4356" s="2" t="s">
        <v>1567</v>
      </c>
      <c r="B4356" s="1" t="s">
        <v>3990</v>
      </c>
      <c r="C4356" s="2" t="str">
        <f>"RO-3123"</f>
        <v>RO-3123</v>
      </c>
      <c r="D4356" s="2" t="str">
        <f>"RO-3123"</f>
        <v>RO-3123</v>
      </c>
      <c r="E4356" s="2" t="s">
        <v>17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</row>
    <row r="4357" spans="1:11" x14ac:dyDescent="0.2">
      <c r="A4357" s="2"/>
      <c r="B4357" s="1" t="s">
        <v>2557</v>
      </c>
      <c r="C4357" s="2"/>
      <c r="D4357" s="2"/>
      <c r="E4357" s="2"/>
      <c r="F4357" s="2"/>
      <c r="G4357" s="2"/>
      <c r="H4357" s="2"/>
      <c r="I4357" s="2"/>
      <c r="J4357" s="2"/>
      <c r="K4357" s="2"/>
    </row>
    <row r="4358" spans="1:11" x14ac:dyDescent="0.2">
      <c r="A4358" s="2"/>
      <c r="B4358" s="1" t="s">
        <v>3991</v>
      </c>
      <c r="C4358" s="2"/>
      <c r="D4358" s="2"/>
      <c r="E4358" s="2"/>
      <c r="F4358" s="2"/>
      <c r="G4358" s="2"/>
      <c r="H4358" s="2"/>
      <c r="I4358" s="2"/>
      <c r="J4358" s="2"/>
      <c r="K4358" s="2"/>
    </row>
    <row r="4359" spans="1:11" x14ac:dyDescent="0.2">
      <c r="A4359" s="2"/>
      <c r="B4359" s="1" t="s">
        <v>2544</v>
      </c>
      <c r="C4359" s="2"/>
      <c r="D4359" s="2"/>
      <c r="E4359" s="2"/>
      <c r="F4359" s="2"/>
      <c r="G4359" s="2"/>
      <c r="H4359" s="2"/>
      <c r="I4359" s="2"/>
      <c r="J4359" s="2"/>
      <c r="K4359" s="2"/>
    </row>
    <row r="4360" spans="1:11" x14ac:dyDescent="0.2">
      <c r="A4360" s="2"/>
      <c r="B4360" s="1" t="s">
        <v>2545</v>
      </c>
      <c r="C4360" s="2"/>
      <c r="D4360" s="2"/>
      <c r="E4360" s="2"/>
      <c r="F4360" s="2"/>
      <c r="G4360" s="2"/>
      <c r="H4360" s="2"/>
      <c r="I4360" s="2"/>
      <c r="J4360" s="2"/>
      <c r="K4360" s="2"/>
    </row>
    <row r="4361" spans="1:11" x14ac:dyDescent="0.2">
      <c r="A4361" s="2"/>
      <c r="B4361" s="1" t="s">
        <v>2546</v>
      </c>
      <c r="C4361" s="2"/>
      <c r="D4361" s="2"/>
      <c r="E4361" s="2"/>
      <c r="F4361" s="2"/>
      <c r="G4361" s="2"/>
      <c r="H4361" s="2"/>
      <c r="I4361" s="2"/>
      <c r="J4361" s="2"/>
      <c r="K4361" s="2"/>
    </row>
    <row r="4362" spans="1:11" x14ac:dyDescent="0.2">
      <c r="A4362" s="2"/>
      <c r="B4362" s="1" t="s">
        <v>1574</v>
      </c>
      <c r="C4362" s="2"/>
      <c r="D4362" s="2"/>
      <c r="E4362" s="2"/>
      <c r="F4362" s="2"/>
      <c r="G4362" s="2"/>
      <c r="H4362" s="2"/>
      <c r="I4362" s="2"/>
      <c r="J4362" s="2"/>
      <c r="K4362" s="2"/>
    </row>
    <row r="4363" spans="1:11" x14ac:dyDescent="0.2">
      <c r="A4363" s="2"/>
      <c r="B4363" s="1" t="s">
        <v>1575</v>
      </c>
      <c r="C4363" s="2"/>
      <c r="D4363" s="2"/>
      <c r="E4363" s="2"/>
      <c r="F4363" s="2"/>
      <c r="G4363" s="2"/>
      <c r="H4363" s="2"/>
      <c r="I4363" s="2"/>
      <c r="J4363" s="2"/>
      <c r="K4363" s="2"/>
    </row>
    <row r="4364" spans="1:11" x14ac:dyDescent="0.2">
      <c r="A4364" s="2"/>
      <c r="B4364" s="1" t="s">
        <v>3992</v>
      </c>
      <c r="C4364" s="2"/>
      <c r="D4364" s="2"/>
      <c r="E4364" s="2"/>
      <c r="F4364" s="2"/>
      <c r="G4364" s="2"/>
      <c r="H4364" s="2"/>
      <c r="I4364" s="2"/>
      <c r="J4364" s="2"/>
      <c r="K4364" s="2"/>
    </row>
    <row r="4365" spans="1:11" x14ac:dyDescent="0.2">
      <c r="A4365" s="2"/>
      <c r="B4365" s="1" t="s">
        <v>3993</v>
      </c>
      <c r="C4365" s="2"/>
      <c r="D4365" s="2"/>
      <c r="E4365" s="2"/>
      <c r="F4365" s="2"/>
      <c r="G4365" s="2"/>
      <c r="H4365" s="2"/>
      <c r="I4365" s="2"/>
      <c r="J4365" s="2"/>
      <c r="K4365" s="2"/>
    </row>
    <row r="4366" spans="1:11" x14ac:dyDescent="0.2">
      <c r="A4366" s="2" t="s">
        <v>1567</v>
      </c>
      <c r="B4366" s="1" t="s">
        <v>3990</v>
      </c>
      <c r="C4366" s="2" t="str">
        <f>"RO-3126"</f>
        <v>RO-3126</v>
      </c>
      <c r="D4366" s="2" t="str">
        <f>"RO-3126"</f>
        <v>RO-3126</v>
      </c>
      <c r="E4366" s="2" t="s">
        <v>17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</row>
    <row r="4367" spans="1:11" x14ac:dyDescent="0.2">
      <c r="A4367" s="2"/>
      <c r="B4367" s="1" t="s">
        <v>2557</v>
      </c>
      <c r="C4367" s="2"/>
      <c r="D4367" s="2"/>
      <c r="E4367" s="2"/>
      <c r="F4367" s="2"/>
      <c r="G4367" s="2"/>
      <c r="H4367" s="2"/>
      <c r="I4367" s="2"/>
      <c r="J4367" s="2"/>
      <c r="K4367" s="2"/>
    </row>
    <row r="4368" spans="1:11" x14ac:dyDescent="0.2">
      <c r="A4368" s="2"/>
      <c r="B4368" s="1" t="s">
        <v>3991</v>
      </c>
      <c r="C4368" s="2"/>
      <c r="D4368" s="2"/>
      <c r="E4368" s="2"/>
      <c r="F4368" s="2"/>
      <c r="G4368" s="2"/>
      <c r="H4368" s="2"/>
      <c r="I4368" s="2"/>
      <c r="J4368" s="2"/>
      <c r="K4368" s="2"/>
    </row>
    <row r="4369" spans="1:11" x14ac:dyDescent="0.2">
      <c r="A4369" s="2"/>
      <c r="B4369" s="1" t="s">
        <v>2544</v>
      </c>
      <c r="C4369" s="2"/>
      <c r="D4369" s="2"/>
      <c r="E4369" s="2"/>
      <c r="F4369" s="2"/>
      <c r="G4369" s="2"/>
      <c r="H4369" s="2"/>
      <c r="I4369" s="2"/>
      <c r="J4369" s="2"/>
      <c r="K4369" s="2"/>
    </row>
    <row r="4370" spans="1:11" x14ac:dyDescent="0.2">
      <c r="A4370" s="2"/>
      <c r="B4370" s="1" t="s">
        <v>2816</v>
      </c>
      <c r="C4370" s="2"/>
      <c r="D4370" s="2"/>
      <c r="E4370" s="2"/>
      <c r="F4370" s="2"/>
      <c r="G4370" s="2"/>
      <c r="H4370" s="2"/>
      <c r="I4370" s="2"/>
      <c r="J4370" s="2"/>
      <c r="K4370" s="2"/>
    </row>
    <row r="4371" spans="1:11" x14ac:dyDescent="0.2">
      <c r="A4371" s="2"/>
      <c r="B4371" s="1" t="s">
        <v>2546</v>
      </c>
      <c r="C4371" s="2"/>
      <c r="D4371" s="2"/>
      <c r="E4371" s="2"/>
      <c r="F4371" s="2"/>
      <c r="G4371" s="2"/>
      <c r="H4371" s="2"/>
      <c r="I4371" s="2"/>
      <c r="J4371" s="2"/>
      <c r="K4371" s="2"/>
    </row>
    <row r="4372" spans="1:11" x14ac:dyDescent="0.2">
      <c r="A4372" s="2"/>
      <c r="B4372" s="1" t="s">
        <v>1574</v>
      </c>
      <c r="C4372" s="2"/>
      <c r="D4372" s="2"/>
      <c r="E4372" s="2"/>
      <c r="F4372" s="2"/>
      <c r="G4372" s="2"/>
      <c r="H4372" s="2"/>
      <c r="I4372" s="2"/>
      <c r="J4372" s="2"/>
      <c r="K4372" s="2"/>
    </row>
    <row r="4373" spans="1:11" x14ac:dyDescent="0.2">
      <c r="A4373" s="2"/>
      <c r="B4373" s="1" t="s">
        <v>1575</v>
      </c>
      <c r="C4373" s="2"/>
      <c r="D4373" s="2"/>
      <c r="E4373" s="2"/>
      <c r="F4373" s="2"/>
      <c r="G4373" s="2"/>
      <c r="H4373" s="2"/>
      <c r="I4373" s="2"/>
      <c r="J4373" s="2"/>
      <c r="K4373" s="2"/>
    </row>
    <row r="4374" spans="1:11" x14ac:dyDescent="0.2">
      <c r="A4374" s="2"/>
      <c r="B4374" s="1" t="s">
        <v>3994</v>
      </c>
      <c r="C4374" s="2"/>
      <c r="D4374" s="2"/>
      <c r="E4374" s="2"/>
      <c r="F4374" s="2"/>
      <c r="G4374" s="2"/>
      <c r="H4374" s="2"/>
      <c r="I4374" s="2"/>
      <c r="J4374" s="2"/>
      <c r="K4374" s="2"/>
    </row>
    <row r="4375" spans="1:11" x14ac:dyDescent="0.2">
      <c r="A4375" s="2"/>
      <c r="B4375" s="1" t="s">
        <v>3995</v>
      </c>
      <c r="C4375" s="2"/>
      <c r="D4375" s="2"/>
      <c r="E4375" s="2"/>
      <c r="F4375" s="2"/>
      <c r="G4375" s="2"/>
      <c r="H4375" s="2"/>
      <c r="I4375" s="2"/>
      <c r="J4375" s="2"/>
      <c r="K4375" s="2"/>
    </row>
    <row r="4376" spans="1:11" x14ac:dyDescent="0.2">
      <c r="A4376" s="2" t="s">
        <v>1567</v>
      </c>
      <c r="B4376" s="1" t="s">
        <v>3990</v>
      </c>
      <c r="C4376" s="2" t="str">
        <f>"RO-3177"</f>
        <v>RO-3177</v>
      </c>
      <c r="D4376" s="2" t="str">
        <f>"RO-3177"</f>
        <v>RO-3177</v>
      </c>
      <c r="E4376" s="2" t="s">
        <v>17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</row>
    <row r="4377" spans="1:11" x14ac:dyDescent="0.2">
      <c r="A4377" s="2"/>
      <c r="B4377" s="1" t="s">
        <v>2557</v>
      </c>
      <c r="C4377" s="2"/>
      <c r="D4377" s="2"/>
      <c r="E4377" s="2"/>
      <c r="F4377" s="2"/>
      <c r="G4377" s="2"/>
      <c r="H4377" s="2"/>
      <c r="I4377" s="2"/>
      <c r="J4377" s="2"/>
      <c r="K4377" s="2"/>
    </row>
    <row r="4378" spans="1:11" x14ac:dyDescent="0.2">
      <c r="A4378" s="2"/>
      <c r="B4378" s="1" t="s">
        <v>3991</v>
      </c>
      <c r="C4378" s="2"/>
      <c r="D4378" s="2"/>
      <c r="E4378" s="2"/>
      <c r="F4378" s="2"/>
      <c r="G4378" s="2"/>
      <c r="H4378" s="2"/>
      <c r="I4378" s="2"/>
      <c r="J4378" s="2"/>
      <c r="K4378" s="2"/>
    </row>
    <row r="4379" spans="1:11" x14ac:dyDescent="0.2">
      <c r="A4379" s="2"/>
      <c r="B4379" s="1" t="s">
        <v>2544</v>
      </c>
      <c r="C4379" s="2"/>
      <c r="D4379" s="2"/>
      <c r="E4379" s="2"/>
      <c r="F4379" s="2"/>
      <c r="G4379" s="2"/>
      <c r="H4379" s="2"/>
      <c r="I4379" s="2"/>
      <c r="J4379" s="2"/>
      <c r="K4379" s="2"/>
    </row>
    <row r="4380" spans="1:11" x14ac:dyDescent="0.2">
      <c r="A4380" s="2"/>
      <c r="B4380" s="1" t="s">
        <v>2816</v>
      </c>
      <c r="C4380" s="2"/>
      <c r="D4380" s="2"/>
      <c r="E4380" s="2"/>
      <c r="F4380" s="2"/>
      <c r="G4380" s="2"/>
      <c r="H4380" s="2"/>
      <c r="I4380" s="2"/>
      <c r="J4380" s="2"/>
      <c r="K4380" s="2"/>
    </row>
    <row r="4381" spans="1:11" x14ac:dyDescent="0.2">
      <c r="A4381" s="2"/>
      <c r="B4381" s="1" t="s">
        <v>2546</v>
      </c>
      <c r="C4381" s="2"/>
      <c r="D4381" s="2"/>
      <c r="E4381" s="2"/>
      <c r="F4381" s="2"/>
      <c r="G4381" s="2"/>
      <c r="H4381" s="2"/>
      <c r="I4381" s="2"/>
      <c r="J4381" s="2"/>
      <c r="K4381" s="2"/>
    </row>
    <row r="4382" spans="1:11" x14ac:dyDescent="0.2">
      <c r="A4382" s="2"/>
      <c r="B4382" s="1" t="s">
        <v>1574</v>
      </c>
      <c r="C4382" s="2"/>
      <c r="D4382" s="2"/>
      <c r="E4382" s="2"/>
      <c r="F4382" s="2"/>
      <c r="G4382" s="2"/>
      <c r="H4382" s="2"/>
      <c r="I4382" s="2"/>
      <c r="J4382" s="2"/>
      <c r="K4382" s="2"/>
    </row>
    <row r="4383" spans="1:11" x14ac:dyDescent="0.2">
      <c r="A4383" s="2"/>
      <c r="B4383" s="1" t="s">
        <v>1575</v>
      </c>
      <c r="C4383" s="2"/>
      <c r="D4383" s="2"/>
      <c r="E4383" s="2"/>
      <c r="F4383" s="2"/>
      <c r="G4383" s="2"/>
      <c r="H4383" s="2"/>
      <c r="I4383" s="2"/>
      <c r="J4383" s="2"/>
      <c r="K4383" s="2"/>
    </row>
    <row r="4384" spans="1:11" x14ac:dyDescent="0.2">
      <c r="A4384" s="2"/>
      <c r="B4384" s="1" t="s">
        <v>3996</v>
      </c>
      <c r="C4384" s="2"/>
      <c r="D4384" s="2"/>
      <c r="E4384" s="2"/>
      <c r="F4384" s="2"/>
      <c r="G4384" s="2"/>
      <c r="H4384" s="2"/>
      <c r="I4384" s="2"/>
      <c r="J4384" s="2"/>
      <c r="K4384" s="2"/>
    </row>
    <row r="4385" spans="1:11" x14ac:dyDescent="0.2">
      <c r="A4385" s="2"/>
      <c r="B4385" s="1" t="s">
        <v>3997</v>
      </c>
      <c r="C4385" s="2"/>
      <c r="D4385" s="2"/>
      <c r="E4385" s="2"/>
      <c r="F4385" s="2"/>
      <c r="G4385" s="2"/>
      <c r="H4385" s="2"/>
      <c r="I4385" s="2"/>
      <c r="J4385" s="2"/>
      <c r="K4385" s="2"/>
    </row>
    <row r="4386" spans="1:11" x14ac:dyDescent="0.2">
      <c r="A4386" s="2" t="s">
        <v>1567</v>
      </c>
      <c r="B4386" s="1" t="s">
        <v>3990</v>
      </c>
      <c r="C4386" s="2" t="str">
        <f>"RO-3125"</f>
        <v>RO-3125</v>
      </c>
      <c r="D4386" s="2" t="str">
        <f>"RO-3125"</f>
        <v>RO-3125</v>
      </c>
      <c r="E4386" s="2" t="s">
        <v>17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</row>
    <row r="4387" spans="1:11" x14ac:dyDescent="0.2">
      <c r="A4387" s="2"/>
      <c r="B4387" s="1" t="s">
        <v>2557</v>
      </c>
      <c r="C4387" s="2"/>
      <c r="D4387" s="2"/>
      <c r="E4387" s="2"/>
      <c r="F4387" s="2"/>
      <c r="G4387" s="2"/>
      <c r="H4387" s="2"/>
      <c r="I4387" s="2"/>
      <c r="J4387" s="2"/>
      <c r="K4387" s="2"/>
    </row>
    <row r="4388" spans="1:11" x14ac:dyDescent="0.2">
      <c r="A4388" s="2"/>
      <c r="B4388" s="1" t="s">
        <v>3991</v>
      </c>
      <c r="C4388" s="2"/>
      <c r="D4388" s="2"/>
      <c r="E4388" s="2"/>
      <c r="F4388" s="2"/>
      <c r="G4388" s="2"/>
      <c r="H4388" s="2"/>
      <c r="I4388" s="2"/>
      <c r="J4388" s="2"/>
      <c r="K4388" s="2"/>
    </row>
    <row r="4389" spans="1:11" x14ac:dyDescent="0.2">
      <c r="A4389" s="2"/>
      <c r="B4389" s="1" t="s">
        <v>2544</v>
      </c>
      <c r="C4389" s="2"/>
      <c r="D4389" s="2"/>
      <c r="E4389" s="2"/>
      <c r="F4389" s="2"/>
      <c r="G4389" s="2"/>
      <c r="H4389" s="2"/>
      <c r="I4389" s="2"/>
      <c r="J4389" s="2"/>
      <c r="K4389" s="2"/>
    </row>
    <row r="4390" spans="1:11" x14ac:dyDescent="0.2">
      <c r="A4390" s="2"/>
      <c r="B4390" s="1" t="s">
        <v>2816</v>
      </c>
      <c r="C4390" s="2"/>
      <c r="D4390" s="2"/>
      <c r="E4390" s="2"/>
      <c r="F4390" s="2"/>
      <c r="G4390" s="2"/>
      <c r="H4390" s="2"/>
      <c r="I4390" s="2"/>
      <c r="J4390" s="2"/>
      <c r="K4390" s="2"/>
    </row>
    <row r="4391" spans="1:11" x14ac:dyDescent="0.2">
      <c r="A4391" s="2"/>
      <c r="B4391" s="1" t="s">
        <v>2546</v>
      </c>
      <c r="C4391" s="2"/>
      <c r="D4391" s="2"/>
      <c r="E4391" s="2"/>
      <c r="F4391" s="2"/>
      <c r="G4391" s="2"/>
      <c r="H4391" s="2"/>
      <c r="I4391" s="2"/>
      <c r="J4391" s="2"/>
      <c r="K4391" s="2"/>
    </row>
    <row r="4392" spans="1:11" x14ac:dyDescent="0.2">
      <c r="A4392" s="2"/>
      <c r="B4392" s="1" t="s">
        <v>1574</v>
      </c>
      <c r="C4392" s="2"/>
      <c r="D4392" s="2"/>
      <c r="E4392" s="2"/>
      <c r="F4392" s="2"/>
      <c r="G4392" s="2"/>
      <c r="H4392" s="2"/>
      <c r="I4392" s="2"/>
      <c r="J4392" s="2"/>
      <c r="K4392" s="2"/>
    </row>
    <row r="4393" spans="1:11" x14ac:dyDescent="0.2">
      <c r="A4393" s="2"/>
      <c r="B4393" s="1" t="s">
        <v>1575</v>
      </c>
      <c r="C4393" s="2"/>
      <c r="D4393" s="2"/>
      <c r="E4393" s="2"/>
      <c r="F4393" s="2"/>
      <c r="G4393" s="2"/>
      <c r="H4393" s="2"/>
      <c r="I4393" s="2"/>
      <c r="J4393" s="2"/>
      <c r="K4393" s="2"/>
    </row>
    <row r="4394" spans="1:11" x14ac:dyDescent="0.2">
      <c r="A4394" s="2"/>
      <c r="B4394" s="1" t="s">
        <v>3998</v>
      </c>
      <c r="C4394" s="2"/>
      <c r="D4394" s="2"/>
      <c r="E4394" s="2"/>
      <c r="F4394" s="2"/>
      <c r="G4394" s="2"/>
      <c r="H4394" s="2"/>
      <c r="I4394" s="2"/>
      <c r="J4394" s="2"/>
      <c r="K4394" s="2"/>
    </row>
    <row r="4395" spans="1:11" x14ac:dyDescent="0.2">
      <c r="A4395" s="2"/>
      <c r="B4395" s="1" t="s">
        <v>3999</v>
      </c>
      <c r="C4395" s="2"/>
      <c r="D4395" s="2"/>
      <c r="E4395" s="2"/>
      <c r="F4395" s="2"/>
      <c r="G4395" s="2"/>
      <c r="H4395" s="2"/>
      <c r="I4395" s="2"/>
      <c r="J4395" s="2"/>
      <c r="K4395" s="2"/>
    </row>
    <row r="4396" spans="1:11" x14ac:dyDescent="0.2">
      <c r="A4396" s="1" t="s">
        <v>4000</v>
      </c>
      <c r="B4396" s="1" t="s">
        <v>4001</v>
      </c>
      <c r="C4396" s="1" t="str">
        <f>"626-2RS"</f>
        <v>626-2RS</v>
      </c>
      <c r="D4396" s="1" t="str">
        <f>"626-2RS"</f>
        <v>626-2RS</v>
      </c>
      <c r="E4396" s="1" t="s">
        <v>17</v>
      </c>
      <c r="F4396" s="1">
        <v>4</v>
      </c>
      <c r="G4396" s="1">
        <v>261</v>
      </c>
      <c r="H4396" s="1">
        <v>1044</v>
      </c>
      <c r="I4396" s="1">
        <v>0</v>
      </c>
      <c r="J4396" s="1">
        <v>4</v>
      </c>
      <c r="K4396" s="1">
        <v>0</v>
      </c>
    </row>
    <row r="4397" spans="1:11" x14ac:dyDescent="0.2">
      <c r="A4397" s="1" t="s">
        <v>4000</v>
      </c>
      <c r="B4397" s="1" t="s">
        <v>4002</v>
      </c>
      <c r="C4397" s="1" t="str">
        <f>"607-2RS-CN"</f>
        <v>607-2RS-CN</v>
      </c>
      <c r="D4397" s="1" t="str">
        <f>"607-2RS-CN"</f>
        <v>607-2RS-CN</v>
      </c>
      <c r="E4397" s="1" t="s">
        <v>17</v>
      </c>
      <c r="F4397" s="1">
        <v>4</v>
      </c>
      <c r="G4397" s="1">
        <v>261</v>
      </c>
      <c r="H4397" s="1">
        <v>1044</v>
      </c>
      <c r="I4397" s="1">
        <v>0</v>
      </c>
      <c r="J4397" s="1">
        <v>4</v>
      </c>
      <c r="K4397" s="1">
        <v>0</v>
      </c>
    </row>
    <row r="4398" spans="1:11" x14ac:dyDescent="0.2">
      <c r="A4398" s="1" t="s">
        <v>4000</v>
      </c>
      <c r="B4398" s="1" t="s">
        <v>4003</v>
      </c>
      <c r="C4398" s="1" t="str">
        <f>"608-2RS-CN"</f>
        <v>608-2RS-CN</v>
      </c>
      <c r="D4398" s="1" t="str">
        <f>"608-2RS-CN"</f>
        <v>608-2RS-CN</v>
      </c>
      <c r="E4398" s="1" t="s">
        <v>17</v>
      </c>
      <c r="F4398" s="1">
        <v>4</v>
      </c>
      <c r="G4398" s="1">
        <v>297</v>
      </c>
      <c r="H4398" s="1">
        <v>1188</v>
      </c>
      <c r="I4398" s="1">
        <v>0</v>
      </c>
      <c r="J4398" s="1">
        <v>4</v>
      </c>
      <c r="K4398" s="1">
        <v>0</v>
      </c>
    </row>
    <row r="4399" spans="1:11" x14ac:dyDescent="0.2">
      <c r="A4399" s="1" t="s">
        <v>4000</v>
      </c>
      <c r="B4399" s="1" t="s">
        <v>4004</v>
      </c>
      <c r="C4399" s="1" t="str">
        <f>"66298937982492"</f>
        <v>66298937982492</v>
      </c>
      <c r="D4399" s="1" t="str">
        <f>"628-2NSE"</f>
        <v>628-2NSE</v>
      </c>
      <c r="E4399" s="1" t="s">
        <v>17</v>
      </c>
      <c r="F4399" s="1">
        <v>2</v>
      </c>
      <c r="G4399" s="1">
        <v>424</v>
      </c>
      <c r="H4399" s="1">
        <v>848</v>
      </c>
      <c r="I4399" s="1">
        <v>0</v>
      </c>
      <c r="J4399" s="1">
        <v>2</v>
      </c>
      <c r="K4399" s="1">
        <v>0</v>
      </c>
    </row>
    <row r="4400" spans="1:11" x14ac:dyDescent="0.2">
      <c r="A4400" s="1" t="s">
        <v>4000</v>
      </c>
      <c r="B4400" s="1" t="s">
        <v>4005</v>
      </c>
      <c r="C4400" s="1" t="str">
        <f>"609-2RS-CN"</f>
        <v>609-2RS-CN</v>
      </c>
      <c r="D4400" s="1" t="str">
        <f>"609-2RS-CN"</f>
        <v>609-2RS-CN</v>
      </c>
      <c r="E4400" s="1" t="s">
        <v>17</v>
      </c>
      <c r="F4400" s="1">
        <v>4</v>
      </c>
      <c r="G4400" s="1">
        <v>324</v>
      </c>
      <c r="H4400" s="1">
        <v>1296</v>
      </c>
      <c r="I4400" s="1">
        <v>0</v>
      </c>
      <c r="J4400" s="1">
        <v>4</v>
      </c>
      <c r="K4400" s="1">
        <v>0</v>
      </c>
    </row>
    <row r="4401" spans="1:11" x14ac:dyDescent="0.2">
      <c r="A4401" s="1" t="s">
        <v>4000</v>
      </c>
      <c r="B4401" s="1" t="s">
        <v>4006</v>
      </c>
      <c r="C4401" s="1" t="str">
        <f>"66298938022995"</f>
        <v>66298938022995</v>
      </c>
      <c r="D4401" s="1" t="str">
        <f>"6000-2RS-CN"</f>
        <v>6000-2RS-CN</v>
      </c>
      <c r="E4401" s="1" t="s">
        <v>17</v>
      </c>
      <c r="F4401" s="1">
        <v>7</v>
      </c>
      <c r="G4401" s="1">
        <v>549</v>
      </c>
      <c r="H4401" s="1">
        <v>3843</v>
      </c>
      <c r="I4401" s="1">
        <v>0</v>
      </c>
      <c r="J4401" s="1">
        <v>7</v>
      </c>
      <c r="K4401" s="1">
        <v>0</v>
      </c>
    </row>
    <row r="4402" spans="1:11" x14ac:dyDescent="0.2">
      <c r="A4402" s="1" t="s">
        <v>4000</v>
      </c>
      <c r="B4402" s="1" t="s">
        <v>4007</v>
      </c>
      <c r="C4402" s="1" t="str">
        <f>"66298938062840"</f>
        <v>66298938062840</v>
      </c>
      <c r="D4402" s="1" t="str">
        <f>"6000-2RS"</f>
        <v>6000-2RS</v>
      </c>
      <c r="E4402" s="1" t="s">
        <v>17</v>
      </c>
      <c r="F4402" s="1">
        <v>9</v>
      </c>
      <c r="G4402" s="1">
        <v>1819</v>
      </c>
      <c r="H4402" s="1">
        <v>16371</v>
      </c>
      <c r="I4402" s="1">
        <v>0</v>
      </c>
      <c r="J4402" s="1">
        <v>9</v>
      </c>
      <c r="K4402" s="1">
        <v>0</v>
      </c>
    </row>
    <row r="4403" spans="1:11" x14ac:dyDescent="0.2">
      <c r="A4403" s="1" t="s">
        <v>4000</v>
      </c>
      <c r="B4403" s="1" t="s">
        <v>4008</v>
      </c>
      <c r="C4403" s="1" t="str">
        <f>"66298938101959"</f>
        <v>66298938101959</v>
      </c>
      <c r="D4403" s="1" t="str">
        <f>"6200-2RS"</f>
        <v>6200-2RS</v>
      </c>
      <c r="E4403" s="1" t="s">
        <v>17</v>
      </c>
      <c r="F4403" s="1">
        <v>13</v>
      </c>
      <c r="G4403" s="1">
        <v>1820</v>
      </c>
      <c r="H4403" s="1">
        <v>23660</v>
      </c>
      <c r="I4403" s="1">
        <v>0</v>
      </c>
      <c r="J4403" s="1">
        <v>13</v>
      </c>
      <c r="K4403" s="1">
        <v>0</v>
      </c>
    </row>
    <row r="4404" spans="1:11" x14ac:dyDescent="0.2">
      <c r="A4404" s="1" t="s">
        <v>4000</v>
      </c>
      <c r="B4404" s="1" t="s">
        <v>4009</v>
      </c>
      <c r="C4404" s="1" t="str">
        <f>"66298938143284"</f>
        <v>66298938143284</v>
      </c>
      <c r="D4404" s="1" t="str">
        <f>"6300-2RS-CN"</f>
        <v>6300-2RS-CN</v>
      </c>
      <c r="E4404" s="1" t="s">
        <v>17</v>
      </c>
      <c r="F4404" s="1">
        <v>6</v>
      </c>
      <c r="G4404" s="1">
        <v>539</v>
      </c>
      <c r="H4404" s="1">
        <v>3234</v>
      </c>
      <c r="I4404" s="1">
        <v>0</v>
      </c>
      <c r="J4404" s="1">
        <v>6</v>
      </c>
      <c r="K4404" s="1">
        <v>0</v>
      </c>
    </row>
    <row r="4405" spans="1:11" x14ac:dyDescent="0.2">
      <c r="A4405" s="1" t="s">
        <v>4000</v>
      </c>
      <c r="B4405" s="1" t="s">
        <v>4010</v>
      </c>
      <c r="C4405" s="1" t="str">
        <f>"66298938184004"</f>
        <v>66298938184004</v>
      </c>
      <c r="D4405" s="1" t="str">
        <f>"6300-ICHBN"</f>
        <v>6300-ICHBN</v>
      </c>
      <c r="E4405" s="1" t="s">
        <v>17</v>
      </c>
      <c r="F4405" s="1">
        <v>4</v>
      </c>
      <c r="G4405" s="1">
        <v>812</v>
      </c>
      <c r="H4405" s="1">
        <v>3248</v>
      </c>
      <c r="I4405" s="1">
        <v>0</v>
      </c>
      <c r="J4405" s="1">
        <v>4</v>
      </c>
      <c r="K4405" s="1">
        <v>0</v>
      </c>
    </row>
    <row r="4406" spans="1:11" x14ac:dyDescent="0.2">
      <c r="A4406" s="1" t="s">
        <v>4000</v>
      </c>
      <c r="B4406" s="1" t="s">
        <v>4011</v>
      </c>
      <c r="C4406" s="1" t="str">
        <f>"66298938222385"</f>
        <v>66298938222385</v>
      </c>
      <c r="D4406" s="1" t="str">
        <f>"6001-2RS-CN"</f>
        <v>6001-2RS-CN</v>
      </c>
      <c r="E4406" s="1" t="s">
        <v>17</v>
      </c>
      <c r="F4406" s="1">
        <v>7</v>
      </c>
      <c r="G4406" s="1">
        <v>409</v>
      </c>
      <c r="H4406" s="1">
        <v>2863</v>
      </c>
      <c r="I4406" s="1">
        <v>0</v>
      </c>
      <c r="J4406" s="1">
        <v>7</v>
      </c>
      <c r="K4406" s="1">
        <v>0</v>
      </c>
    </row>
    <row r="4407" spans="1:11" x14ac:dyDescent="0.2">
      <c r="A4407" s="1" t="s">
        <v>4000</v>
      </c>
      <c r="B4407" s="1" t="s">
        <v>4012</v>
      </c>
      <c r="C4407" s="1" t="str">
        <f>"66298938265362"</f>
        <v>66298938265362</v>
      </c>
      <c r="D4407" s="1" t="str">
        <f>"6001-2NSE-ICHBN"</f>
        <v>6001-2NSE-ICHBN</v>
      </c>
      <c r="E4407" s="1" t="s">
        <v>17</v>
      </c>
      <c r="F4407" s="1">
        <v>14</v>
      </c>
      <c r="G4407" s="1">
        <v>560</v>
      </c>
      <c r="H4407" s="1">
        <v>7840</v>
      </c>
      <c r="I4407" s="1">
        <v>0</v>
      </c>
      <c r="J4407" s="1">
        <v>14</v>
      </c>
      <c r="K4407" s="1">
        <v>0</v>
      </c>
    </row>
    <row r="4408" spans="1:11" x14ac:dyDescent="0.2">
      <c r="A4408" s="1" t="s">
        <v>4000</v>
      </c>
      <c r="B4408" s="1" t="s">
        <v>4013</v>
      </c>
      <c r="C4408" s="1" t="str">
        <f>"66298938305060"</f>
        <v>66298938305060</v>
      </c>
      <c r="D4408" s="1" t="str">
        <f>"6001-2RS"</f>
        <v>6001-2RS</v>
      </c>
      <c r="E4408" s="1" t="s">
        <v>17</v>
      </c>
      <c r="F4408" s="1">
        <v>1</v>
      </c>
      <c r="G4408" s="1">
        <v>1750</v>
      </c>
      <c r="H4408" s="1">
        <v>1750</v>
      </c>
      <c r="I4408" s="1">
        <v>0</v>
      </c>
      <c r="J4408" s="1">
        <v>1</v>
      </c>
      <c r="K4408" s="1">
        <v>0</v>
      </c>
    </row>
    <row r="4409" spans="1:11" x14ac:dyDescent="0.2">
      <c r="A4409" s="1" t="s">
        <v>4000</v>
      </c>
      <c r="B4409" s="1" t="s">
        <v>4014</v>
      </c>
      <c r="C4409" s="1" t="str">
        <f>"66298938346012"</f>
        <v>66298938346012</v>
      </c>
      <c r="D4409" s="1" t="str">
        <f>"6001-2RS-SKF"</f>
        <v>6001-2RS-SKF</v>
      </c>
      <c r="E4409" s="1" t="s">
        <v>17</v>
      </c>
      <c r="F4409" s="1">
        <v>4</v>
      </c>
      <c r="G4409" s="1">
        <v>1747</v>
      </c>
      <c r="H4409" s="1">
        <v>6988</v>
      </c>
      <c r="I4409" s="1">
        <v>0</v>
      </c>
      <c r="J4409" s="1">
        <v>4</v>
      </c>
      <c r="K4409" s="1">
        <v>0</v>
      </c>
    </row>
    <row r="4410" spans="1:11" x14ac:dyDescent="0.2">
      <c r="A4410" s="1" t="s">
        <v>4000</v>
      </c>
      <c r="B4410" s="1" t="s">
        <v>4015</v>
      </c>
      <c r="C4410" s="1" t="str">
        <f>"66298938426078"</f>
        <v>66298938426078</v>
      </c>
      <c r="D4410" s="1" t="str">
        <f>"6201-2RS-CN"</f>
        <v>6201-2RS-CN</v>
      </c>
      <c r="E4410" s="1" t="s">
        <v>17</v>
      </c>
      <c r="F4410" s="1">
        <v>6</v>
      </c>
      <c r="G4410" s="1">
        <v>513</v>
      </c>
      <c r="H4410" s="1">
        <v>3078</v>
      </c>
      <c r="I4410" s="1">
        <v>0</v>
      </c>
      <c r="J4410" s="1">
        <v>6</v>
      </c>
      <c r="K4410" s="1">
        <v>0</v>
      </c>
    </row>
    <row r="4411" spans="1:11" x14ac:dyDescent="0.2">
      <c r="A4411" s="1" t="s">
        <v>4000</v>
      </c>
      <c r="B4411" s="1" t="s">
        <v>4016</v>
      </c>
      <c r="C4411" s="1" t="str">
        <f>"66298938465809"</f>
        <v>66298938465809</v>
      </c>
      <c r="D4411" s="1" t="str">
        <f>"6201-2RS"</f>
        <v>6201-2RS</v>
      </c>
      <c r="E4411" s="1" t="s">
        <v>17</v>
      </c>
      <c r="F4411" s="1">
        <v>3</v>
      </c>
      <c r="G4411" s="1">
        <v>1680</v>
      </c>
      <c r="H4411" s="1">
        <v>5040</v>
      </c>
      <c r="I4411" s="1">
        <v>0</v>
      </c>
      <c r="J4411" s="1">
        <v>3</v>
      </c>
      <c r="K4411" s="1">
        <v>0</v>
      </c>
    </row>
    <row r="4412" spans="1:11" x14ac:dyDescent="0.2">
      <c r="A4412" s="1" t="s">
        <v>4000</v>
      </c>
      <c r="B4412" s="1" t="s">
        <v>4017</v>
      </c>
      <c r="C4412" s="1" t="str">
        <f>"66298938385832"</f>
        <v>66298938385832</v>
      </c>
      <c r="D4412" s="1" t="str">
        <f>"6201-2RSCN"</f>
        <v>6201-2RSCN</v>
      </c>
      <c r="E4412" s="1" t="s">
        <v>17</v>
      </c>
      <c r="F4412" s="1">
        <v>1</v>
      </c>
      <c r="G4412" s="1">
        <v>484</v>
      </c>
      <c r="H4412" s="1">
        <v>484</v>
      </c>
      <c r="I4412" s="1">
        <v>0</v>
      </c>
      <c r="J4412" s="1">
        <v>1</v>
      </c>
      <c r="K4412" s="1">
        <v>0</v>
      </c>
    </row>
    <row r="4413" spans="1:11" x14ac:dyDescent="0.2">
      <c r="A4413" s="1" t="s">
        <v>4000</v>
      </c>
      <c r="B4413" s="1" t="s">
        <v>4018</v>
      </c>
      <c r="C4413" s="1" t="str">
        <f>"66298938507365"</f>
        <v>66298938507365</v>
      </c>
      <c r="D4413" s="1" t="str">
        <f>"6301-2RSCN"</f>
        <v>6301-2RSCN</v>
      </c>
      <c r="E4413" s="1" t="s">
        <v>17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</row>
    <row r="4414" spans="1:11" x14ac:dyDescent="0.2">
      <c r="A4414" s="1" t="s">
        <v>4000</v>
      </c>
      <c r="B4414" s="1" t="s">
        <v>4019</v>
      </c>
      <c r="C4414" s="1" t="str">
        <f>"66298940529629"</f>
        <v>66298940529629</v>
      </c>
      <c r="D4414" s="1" t="str">
        <f>"91006-KK0-771GH"</f>
        <v>91006-KK0-771GH</v>
      </c>
      <c r="E4414" s="1" t="s">
        <v>17</v>
      </c>
      <c r="F4414" s="1">
        <v>1</v>
      </c>
      <c r="G4414" s="1">
        <v>10833</v>
      </c>
      <c r="H4414" s="1">
        <v>10833</v>
      </c>
      <c r="I4414" s="1">
        <v>0</v>
      </c>
      <c r="J4414" s="1">
        <v>1</v>
      </c>
      <c r="K4414" s="1">
        <v>0</v>
      </c>
    </row>
    <row r="4415" spans="1:11" x14ac:dyDescent="0.2">
      <c r="A4415" s="1" t="s">
        <v>4000</v>
      </c>
      <c r="B4415" s="1" t="s">
        <v>4020</v>
      </c>
      <c r="C4415" s="1" t="str">
        <f>"66298938548859"</f>
        <v>66298938548859</v>
      </c>
      <c r="D4415" s="1" t="str">
        <f>"6902-2RS"</f>
        <v>6902-2RS</v>
      </c>
      <c r="E4415" s="1" t="s">
        <v>17</v>
      </c>
      <c r="F4415" s="1">
        <v>1</v>
      </c>
      <c r="G4415" s="1">
        <v>4420</v>
      </c>
      <c r="H4415" s="1">
        <v>4420</v>
      </c>
      <c r="I4415" s="1">
        <v>0</v>
      </c>
      <c r="J4415" s="1">
        <v>1</v>
      </c>
      <c r="K4415" s="1">
        <v>0</v>
      </c>
    </row>
    <row r="4416" spans="1:11" x14ac:dyDescent="0.2">
      <c r="A4416" s="1" t="s">
        <v>4000</v>
      </c>
      <c r="B4416" s="1" t="s">
        <v>4021</v>
      </c>
      <c r="C4416" s="1" t="str">
        <f>"66298938590621"</f>
        <v>66298938590621</v>
      </c>
      <c r="D4416" s="1" t="str">
        <f>"6002-2RS-CN"</f>
        <v>6002-2RS-CN</v>
      </c>
      <c r="E4416" s="1" t="s">
        <v>17</v>
      </c>
      <c r="F4416" s="1">
        <v>6</v>
      </c>
      <c r="G4416" s="1">
        <v>493</v>
      </c>
      <c r="H4416" s="1">
        <v>2958</v>
      </c>
      <c r="I4416" s="1">
        <v>0</v>
      </c>
      <c r="J4416" s="1">
        <v>6</v>
      </c>
      <c r="K4416" s="1">
        <v>0</v>
      </c>
    </row>
    <row r="4417" spans="1:11" x14ac:dyDescent="0.2">
      <c r="A4417" s="1" t="s">
        <v>4000</v>
      </c>
      <c r="B4417" s="1" t="s">
        <v>4022</v>
      </c>
      <c r="C4417" s="1" t="str">
        <f>"66298938633905"</f>
        <v>66298938633905</v>
      </c>
      <c r="D4417" s="1" t="str">
        <f>"6002-2RS/C3"</f>
        <v>6002-2RS/C3</v>
      </c>
      <c r="E4417" s="1" t="s">
        <v>17</v>
      </c>
      <c r="F4417" s="1">
        <v>7</v>
      </c>
      <c r="G4417" s="1">
        <v>3000</v>
      </c>
      <c r="H4417" s="1">
        <v>21000</v>
      </c>
      <c r="I4417" s="1">
        <v>0</v>
      </c>
      <c r="J4417" s="1">
        <v>7</v>
      </c>
      <c r="K4417" s="1">
        <v>0</v>
      </c>
    </row>
    <row r="4418" spans="1:11" x14ac:dyDescent="0.2">
      <c r="A4418" s="1" t="s">
        <v>4000</v>
      </c>
      <c r="B4418" s="1" t="s">
        <v>4023</v>
      </c>
      <c r="C4418" s="1" t="str">
        <f>"6202-2RS-CN"</f>
        <v>6202-2RS-CN</v>
      </c>
      <c r="D4418" s="1" t="str">
        <f>"6202-2RS-CN"</f>
        <v>6202-2RS-CN</v>
      </c>
      <c r="E4418" s="1" t="s">
        <v>17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</row>
    <row r="4419" spans="1:11" x14ac:dyDescent="0.2">
      <c r="A4419" s="1" t="s">
        <v>4000</v>
      </c>
      <c r="B4419" s="1" t="s">
        <v>4024</v>
      </c>
      <c r="C4419" s="1" t="str">
        <f>"6302-2RS-CN"</f>
        <v>6302-2RS-CN</v>
      </c>
      <c r="D4419" s="1" t="str">
        <f>"6302-2RS-CN"</f>
        <v>6302-2RS-CN</v>
      </c>
      <c r="E4419" s="1" t="s">
        <v>17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</row>
    <row r="4420" spans="1:11" x14ac:dyDescent="0.2">
      <c r="A4420" s="1" t="s">
        <v>4000</v>
      </c>
      <c r="B4420" s="1" t="s">
        <v>4025</v>
      </c>
      <c r="C4420" s="1" t="str">
        <f>"6903-2RS-CN"</f>
        <v>6903-2RS-CN</v>
      </c>
      <c r="D4420" s="1" t="str">
        <f>"6903-2RS-CN"</f>
        <v>6903-2RS-CN</v>
      </c>
      <c r="E4420" s="1" t="s">
        <v>17</v>
      </c>
      <c r="F4420" s="1">
        <v>4</v>
      </c>
      <c r="G4420" s="1">
        <v>423</v>
      </c>
      <c r="H4420" s="1">
        <v>1692</v>
      </c>
      <c r="I4420" s="1">
        <v>0</v>
      </c>
      <c r="J4420" s="1">
        <v>4</v>
      </c>
      <c r="K4420" s="1">
        <v>0</v>
      </c>
    </row>
    <row r="4421" spans="1:11" x14ac:dyDescent="0.2">
      <c r="A4421" s="1" t="s">
        <v>4000</v>
      </c>
      <c r="B4421" s="1" t="s">
        <v>4026</v>
      </c>
      <c r="C4421" s="1" t="str">
        <f>"66298938678488"</f>
        <v>66298938678488</v>
      </c>
      <c r="D4421" s="1" t="str">
        <f>"6003-2RS-CN"</f>
        <v>6003-2RS-CN</v>
      </c>
      <c r="E4421" s="1" t="s">
        <v>17</v>
      </c>
      <c r="F4421" s="1">
        <v>4</v>
      </c>
      <c r="G4421" s="1">
        <v>702</v>
      </c>
      <c r="H4421" s="1">
        <v>2808</v>
      </c>
      <c r="I4421" s="1">
        <v>0</v>
      </c>
      <c r="J4421" s="1">
        <v>4</v>
      </c>
      <c r="K4421" s="1">
        <v>0</v>
      </c>
    </row>
    <row r="4422" spans="1:11" x14ac:dyDescent="0.2">
      <c r="A4422" s="1" t="s">
        <v>4000</v>
      </c>
      <c r="B4422" s="1" t="s">
        <v>4027</v>
      </c>
      <c r="C4422" s="1" t="str">
        <f>"66298938720857"</f>
        <v>66298938720857</v>
      </c>
      <c r="D4422" s="1" t="str">
        <f>"6003-2NSE-ICHBN"</f>
        <v>6003-2NSE-ICHBN</v>
      </c>
      <c r="E4422" s="1" t="s">
        <v>17</v>
      </c>
      <c r="F4422" s="1">
        <v>2</v>
      </c>
      <c r="G4422" s="1">
        <v>1005</v>
      </c>
      <c r="H4422" s="1">
        <v>2010</v>
      </c>
      <c r="I4422" s="1">
        <v>0</v>
      </c>
      <c r="J4422" s="1">
        <v>2</v>
      </c>
      <c r="K4422" s="1">
        <v>0</v>
      </c>
    </row>
    <row r="4423" spans="1:11" x14ac:dyDescent="0.2">
      <c r="A4423" s="1" t="s">
        <v>4000</v>
      </c>
      <c r="B4423" s="1" t="s">
        <v>4028</v>
      </c>
      <c r="C4423" s="1" t="str">
        <f>"66298938763678"</f>
        <v>66298938763678</v>
      </c>
      <c r="D4423" s="1" t="str">
        <f>"6003-2RS"</f>
        <v>6003-2RS</v>
      </c>
      <c r="E4423" s="1" t="s">
        <v>17</v>
      </c>
      <c r="F4423" s="1">
        <v>6</v>
      </c>
      <c r="G4423" s="1">
        <v>2240</v>
      </c>
      <c r="H4423" s="1">
        <v>13440</v>
      </c>
      <c r="I4423" s="1">
        <v>0</v>
      </c>
      <c r="J4423" s="1">
        <v>6</v>
      </c>
      <c r="K4423" s="1">
        <v>0</v>
      </c>
    </row>
    <row r="4424" spans="1:11" x14ac:dyDescent="0.2">
      <c r="A4424" s="1" t="s">
        <v>4000</v>
      </c>
      <c r="B4424" s="1" t="s">
        <v>4029</v>
      </c>
      <c r="C4424" s="1" t="str">
        <f>"6203-2RS"</f>
        <v>6203-2RS</v>
      </c>
      <c r="D4424" s="1" t="str">
        <f>"6203-2RS"</f>
        <v>6203-2RS</v>
      </c>
      <c r="E4424" s="1" t="s">
        <v>17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</row>
    <row r="4425" spans="1:11" x14ac:dyDescent="0.2">
      <c r="A4425" s="1" t="s">
        <v>4000</v>
      </c>
      <c r="B4425" s="1" t="s">
        <v>4030</v>
      </c>
      <c r="C4425" s="1" t="str">
        <f>"66298938811101"</f>
        <v>66298938811101</v>
      </c>
      <c r="D4425" s="1" t="str">
        <f>"6303-2RS-ICHBN"</f>
        <v>6303-2RS-ICHBN</v>
      </c>
      <c r="E4425" s="1" t="s">
        <v>17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</row>
    <row r="4426" spans="1:11" x14ac:dyDescent="0.2">
      <c r="A4426" s="1" t="s">
        <v>4000</v>
      </c>
      <c r="B4426" s="1" t="s">
        <v>4031</v>
      </c>
      <c r="C4426" s="1" t="str">
        <f>"66298938875416"</f>
        <v>66298938875416</v>
      </c>
      <c r="D4426" s="1" t="str">
        <f>"6303-2RS"</f>
        <v>6303-2RS</v>
      </c>
      <c r="E4426" s="1" t="s">
        <v>17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</row>
    <row r="4427" spans="1:11" x14ac:dyDescent="0.2">
      <c r="A4427" s="1" t="s">
        <v>4000</v>
      </c>
      <c r="B4427" s="1" t="s">
        <v>4032</v>
      </c>
      <c r="C4427" s="1" t="str">
        <f>"66298940703815"</f>
        <v>66298940703815</v>
      </c>
      <c r="D4427" s="1" t="str">
        <f>"91002-MN1-671GH"</f>
        <v>91002-MN1-671GH</v>
      </c>
      <c r="E4427" s="1" t="s">
        <v>17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</row>
    <row r="4428" spans="1:11" x14ac:dyDescent="0.2">
      <c r="A4428" s="1" t="s">
        <v>4000</v>
      </c>
      <c r="B4428" s="1" t="s">
        <v>4033</v>
      </c>
      <c r="C4428" s="1" t="str">
        <f>"6904-2RS-CN"</f>
        <v>6904-2RS-CN</v>
      </c>
      <c r="D4428" s="1" t="str">
        <f>"6904-2RS-CN"</f>
        <v>6904-2RS-CN</v>
      </c>
      <c r="E4428" s="1" t="s">
        <v>17</v>
      </c>
      <c r="F4428" s="1">
        <v>4</v>
      </c>
      <c r="G4428" s="1">
        <v>567</v>
      </c>
      <c r="H4428" s="1">
        <v>2268</v>
      </c>
      <c r="I4428" s="1">
        <v>0</v>
      </c>
      <c r="J4428" s="1">
        <v>4</v>
      </c>
      <c r="K4428" s="1">
        <v>0</v>
      </c>
    </row>
    <row r="4429" spans="1:11" x14ac:dyDescent="0.2">
      <c r="A4429" s="1" t="s">
        <v>4000</v>
      </c>
      <c r="B4429" s="1" t="s">
        <v>4034</v>
      </c>
      <c r="C4429" s="1" t="str">
        <f>"66298938915480"</f>
        <v>66298938915480</v>
      </c>
      <c r="D4429" s="1" t="str">
        <f>"6004-2RS-CN"</f>
        <v>6004-2RS-CN</v>
      </c>
      <c r="E4429" s="1" t="s">
        <v>17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</row>
    <row r="4430" spans="1:11" x14ac:dyDescent="0.2">
      <c r="A4430" s="1" t="s">
        <v>4000</v>
      </c>
      <c r="B4430" s="1" t="s">
        <v>4035</v>
      </c>
      <c r="C4430" s="1" t="str">
        <f>"66298938955939"</f>
        <v>66298938955939</v>
      </c>
      <c r="D4430" s="1" t="str">
        <f>"6004-ZZ"</f>
        <v>6004-ZZ</v>
      </c>
      <c r="E4430" s="1" t="s">
        <v>17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</row>
    <row r="4431" spans="1:11" x14ac:dyDescent="0.2">
      <c r="A4431" s="1" t="s">
        <v>4000</v>
      </c>
      <c r="B4431" s="1" t="s">
        <v>4036</v>
      </c>
      <c r="C4431" s="1" t="str">
        <f>"66298938997317"</f>
        <v>66298938997317</v>
      </c>
      <c r="D4431" s="1" t="str">
        <f>"6204-2RS-CN"</f>
        <v>6204-2RS-CN</v>
      </c>
      <c r="E4431" s="1" t="s">
        <v>17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</row>
    <row r="4432" spans="1:11" x14ac:dyDescent="0.2">
      <c r="A4432" s="1" t="s">
        <v>4000</v>
      </c>
      <c r="B4432" s="1" t="s">
        <v>4037</v>
      </c>
      <c r="C4432" s="1" t="str">
        <f>"66298939039884"</f>
        <v>66298939039884</v>
      </c>
      <c r="D4432" s="1" t="str">
        <f>"6204-ICHBN"</f>
        <v>6204-ICHBN</v>
      </c>
      <c r="E4432" s="1" t="s">
        <v>17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</row>
    <row r="4433" spans="1:11" x14ac:dyDescent="0.2">
      <c r="A4433" s="1" t="s">
        <v>4000</v>
      </c>
      <c r="B4433" s="1" t="s">
        <v>4038</v>
      </c>
      <c r="C4433" s="1" t="str">
        <f>"66298939079767"</f>
        <v>66298939079767</v>
      </c>
      <c r="D4433" s="1" t="str">
        <f>"62204-2RS-CN"</f>
        <v>62204-2RS-CN</v>
      </c>
      <c r="E4433" s="1" t="s">
        <v>17</v>
      </c>
      <c r="F4433" s="1">
        <v>6</v>
      </c>
      <c r="G4433" s="1">
        <v>1278</v>
      </c>
      <c r="H4433" s="1">
        <v>7668</v>
      </c>
      <c r="I4433" s="1">
        <v>0</v>
      </c>
      <c r="J4433" s="1">
        <v>6</v>
      </c>
      <c r="K4433" s="1">
        <v>0</v>
      </c>
    </row>
    <row r="4434" spans="1:11" x14ac:dyDescent="0.2">
      <c r="A4434" s="1" t="s">
        <v>4000</v>
      </c>
      <c r="B4434" s="1" t="s">
        <v>4039</v>
      </c>
      <c r="C4434" s="1" t="str">
        <f>"66298939121786"</f>
        <v>66298939121786</v>
      </c>
      <c r="D4434" s="1" t="str">
        <f>"6304-2RS-ICH"</f>
        <v>6304-2RS-ICH</v>
      </c>
      <c r="E4434" s="1" t="s">
        <v>17</v>
      </c>
      <c r="F4434" s="1">
        <v>8</v>
      </c>
      <c r="G4434" s="1">
        <v>1263</v>
      </c>
      <c r="H4434" s="1">
        <v>10104</v>
      </c>
      <c r="I4434" s="1">
        <v>0</v>
      </c>
      <c r="J4434" s="1">
        <v>8</v>
      </c>
      <c r="K4434" s="1">
        <v>0</v>
      </c>
    </row>
    <row r="4435" spans="1:11" x14ac:dyDescent="0.2">
      <c r="A4435" s="1" t="s">
        <v>4000</v>
      </c>
      <c r="B4435" s="1" t="s">
        <v>4040</v>
      </c>
      <c r="C4435" s="1" t="str">
        <f>"66298939164175"</f>
        <v>66298939164175</v>
      </c>
      <c r="D4435" s="1" t="str">
        <f>"6304-2RS"</f>
        <v>6304-2RS</v>
      </c>
      <c r="E4435" s="1" t="s">
        <v>17</v>
      </c>
      <c r="F4435" s="1">
        <v>17</v>
      </c>
      <c r="G4435" s="1">
        <v>3893</v>
      </c>
      <c r="H4435" s="1">
        <v>66181</v>
      </c>
      <c r="I4435" s="1">
        <v>0</v>
      </c>
      <c r="J4435" s="1">
        <v>17</v>
      </c>
      <c r="K4435" s="1">
        <v>0</v>
      </c>
    </row>
    <row r="4436" spans="1:11" x14ac:dyDescent="0.2">
      <c r="A4436" s="1" t="s">
        <v>4000</v>
      </c>
      <c r="B4436" s="1" t="s">
        <v>4041</v>
      </c>
      <c r="C4436" s="1" t="str">
        <f>"66298939207556"</f>
        <v>66298939207556</v>
      </c>
      <c r="D4436" s="1" t="str">
        <f>"60/22-2RS"</f>
        <v>60/22-2RS</v>
      </c>
      <c r="E4436" s="1" t="s">
        <v>17</v>
      </c>
      <c r="F4436" s="1">
        <v>1</v>
      </c>
      <c r="G4436" s="1">
        <v>1805</v>
      </c>
      <c r="H4436" s="1">
        <v>1805</v>
      </c>
      <c r="I4436" s="1">
        <v>0</v>
      </c>
      <c r="J4436" s="1">
        <v>1</v>
      </c>
      <c r="K4436" s="1">
        <v>0</v>
      </c>
    </row>
    <row r="4437" spans="1:11" x14ac:dyDescent="0.2">
      <c r="A4437" s="1" t="s">
        <v>4000</v>
      </c>
      <c r="B4437" s="1" t="s">
        <v>4042</v>
      </c>
      <c r="C4437" s="1" t="str">
        <f>"66298939251553"</f>
        <v>66298939251553</v>
      </c>
      <c r="D4437" s="1" t="str">
        <f>"62/22C3"</f>
        <v>62/22C3</v>
      </c>
      <c r="E4437" s="1" t="s">
        <v>17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</row>
    <row r="4438" spans="1:11" x14ac:dyDescent="0.2">
      <c r="A4438" s="1" t="s">
        <v>4000</v>
      </c>
      <c r="B4438" s="1" t="s">
        <v>4042</v>
      </c>
      <c r="C4438" s="1" t="str">
        <f>"66298939257286"</f>
        <v>66298939257286</v>
      </c>
      <c r="D4438" s="1" t="str">
        <f>"62/22-2RS"</f>
        <v>62/22-2RS</v>
      </c>
      <c r="E4438" s="1" t="s">
        <v>17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</row>
    <row r="4439" spans="1:11" x14ac:dyDescent="0.2">
      <c r="A4439" s="1" t="s">
        <v>4000</v>
      </c>
      <c r="B4439" s="1" t="s">
        <v>4043</v>
      </c>
      <c r="C4439" s="1" t="str">
        <f>"66298939311110"</f>
        <v>66298939311110</v>
      </c>
      <c r="D4439" s="1" t="str">
        <f>"6905-2RS"</f>
        <v>6905-2RS</v>
      </c>
      <c r="E4439" s="1" t="s">
        <v>17</v>
      </c>
      <c r="F4439" s="1">
        <v>4</v>
      </c>
      <c r="G4439" s="1">
        <v>8526</v>
      </c>
      <c r="H4439" s="1">
        <v>34104</v>
      </c>
      <c r="I4439" s="1">
        <v>0</v>
      </c>
      <c r="J4439" s="1">
        <v>4</v>
      </c>
      <c r="K4439" s="1">
        <v>0</v>
      </c>
    </row>
    <row r="4440" spans="1:11" x14ac:dyDescent="0.2">
      <c r="A4440" s="1" t="s">
        <v>4000</v>
      </c>
      <c r="B4440" s="1" t="s">
        <v>4044</v>
      </c>
      <c r="C4440" s="1" t="str">
        <f>"66298939357248"</f>
        <v>66298939357248</v>
      </c>
      <c r="D4440" s="1" t="str">
        <f>"6005-2RS-CN"</f>
        <v>6005-2RS-CN</v>
      </c>
      <c r="E4440" s="1" t="s">
        <v>17</v>
      </c>
      <c r="F4440" s="1">
        <v>5</v>
      </c>
      <c r="G4440" s="1">
        <v>818</v>
      </c>
      <c r="H4440" s="1">
        <v>4090</v>
      </c>
      <c r="I4440" s="1">
        <v>0</v>
      </c>
      <c r="J4440" s="1">
        <v>5</v>
      </c>
      <c r="K4440" s="1">
        <v>0</v>
      </c>
    </row>
    <row r="4441" spans="1:11" x14ac:dyDescent="0.2">
      <c r="A4441" s="1" t="s">
        <v>4000</v>
      </c>
      <c r="B4441" s="1" t="s">
        <v>4045</v>
      </c>
      <c r="C4441" s="1" t="str">
        <f>"66298939402022"</f>
        <v>66298939402022</v>
      </c>
      <c r="D4441" s="1" t="str">
        <f>"6005-2RSICHB"</f>
        <v>6005-2RSICHB</v>
      </c>
      <c r="E4441" s="1" t="s">
        <v>17</v>
      </c>
      <c r="F4441" s="1">
        <v>6</v>
      </c>
      <c r="G4441" s="1">
        <v>1184</v>
      </c>
      <c r="H4441" s="1">
        <v>7104</v>
      </c>
      <c r="I4441" s="1">
        <v>0</v>
      </c>
      <c r="J4441" s="1">
        <v>6</v>
      </c>
      <c r="K4441" s="1">
        <v>0</v>
      </c>
    </row>
    <row r="4442" spans="1:11" x14ac:dyDescent="0.2">
      <c r="A4442" s="1" t="s">
        <v>4000</v>
      </c>
      <c r="B4442" s="1" t="s">
        <v>4046</v>
      </c>
      <c r="C4442" s="1" t="str">
        <f>"66298939442931"</f>
        <v>66298939442931</v>
      </c>
      <c r="D4442" s="1" t="str">
        <f>"6005-2RS"</f>
        <v>6005-2RS</v>
      </c>
      <c r="E4442" s="1" t="s">
        <v>17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</row>
    <row r="4443" spans="1:11" x14ac:dyDescent="0.2">
      <c r="A4443" s="1" t="s">
        <v>4000</v>
      </c>
      <c r="B4443" s="1" t="s">
        <v>4047</v>
      </c>
      <c r="C4443" s="1" t="str">
        <f>"32005-CN"</f>
        <v>32005-CN</v>
      </c>
      <c r="D4443" s="1" t="str">
        <f>"32005-CN"</f>
        <v>32005-CN</v>
      </c>
      <c r="E4443" s="1" t="s">
        <v>17</v>
      </c>
      <c r="F4443" s="1">
        <v>3</v>
      </c>
      <c r="G4443" s="1">
        <v>1305</v>
      </c>
      <c r="H4443" s="1">
        <v>3915</v>
      </c>
      <c r="I4443" s="1">
        <v>0</v>
      </c>
      <c r="J4443" s="1">
        <v>3</v>
      </c>
      <c r="K4443" s="1">
        <v>0</v>
      </c>
    </row>
    <row r="4444" spans="1:11" x14ac:dyDescent="0.2">
      <c r="A4444" s="1" t="s">
        <v>4000</v>
      </c>
      <c r="B4444" s="1" t="s">
        <v>4048</v>
      </c>
      <c r="C4444" s="1" t="str">
        <f>"66298939482967"</f>
        <v>66298939482967</v>
      </c>
      <c r="D4444" s="1" t="str">
        <f>"30205-CN"</f>
        <v>30205-CN</v>
      </c>
      <c r="E4444" s="1" t="s">
        <v>17</v>
      </c>
      <c r="F4444" s="1">
        <v>16</v>
      </c>
      <c r="G4444" s="1">
        <v>1572</v>
      </c>
      <c r="H4444" s="1">
        <v>25152</v>
      </c>
      <c r="I4444" s="1">
        <v>0</v>
      </c>
      <c r="J4444" s="1">
        <v>16</v>
      </c>
      <c r="K4444" s="1">
        <v>0</v>
      </c>
    </row>
    <row r="4445" spans="1:11" x14ac:dyDescent="0.2">
      <c r="A4445" s="1" t="s">
        <v>4000</v>
      </c>
      <c r="B4445" s="1" t="s">
        <v>4049</v>
      </c>
      <c r="C4445" s="1" t="str">
        <f>"6205-2RS-CN"</f>
        <v>6205-2RS-CN</v>
      </c>
      <c r="D4445" s="1" t="str">
        <f>"6205-2RS-CN"</f>
        <v>6205-2RS-CN</v>
      </c>
      <c r="E4445" s="1" t="s">
        <v>17</v>
      </c>
      <c r="F4445" s="1">
        <v>3</v>
      </c>
      <c r="G4445" s="1">
        <v>873</v>
      </c>
      <c r="H4445" s="1">
        <v>2619</v>
      </c>
      <c r="I4445" s="1">
        <v>0</v>
      </c>
      <c r="J4445" s="1">
        <v>3</v>
      </c>
      <c r="K4445" s="1">
        <v>0</v>
      </c>
    </row>
    <row r="4446" spans="1:11" x14ac:dyDescent="0.2">
      <c r="A4446" s="1" t="s">
        <v>4000</v>
      </c>
      <c r="B4446" s="1" t="s">
        <v>4050</v>
      </c>
      <c r="C4446" s="1" t="str">
        <f>"66298940486883"</f>
        <v>66298940486883</v>
      </c>
      <c r="D4446" s="1" t="str">
        <f>"98305AC4"</f>
        <v>98305AC4</v>
      </c>
      <c r="E4446" s="1" t="s">
        <v>17</v>
      </c>
      <c r="F4446" s="1">
        <v>1</v>
      </c>
      <c r="G4446" s="1">
        <v>861</v>
      </c>
      <c r="H4446" s="1">
        <v>861</v>
      </c>
      <c r="I4446" s="1">
        <v>0</v>
      </c>
      <c r="J4446" s="1">
        <v>1</v>
      </c>
      <c r="K4446" s="1">
        <v>0</v>
      </c>
    </row>
    <row r="4447" spans="1:11" x14ac:dyDescent="0.2">
      <c r="A4447" s="1" t="s">
        <v>4000</v>
      </c>
      <c r="B4447" s="1" t="s">
        <v>4051</v>
      </c>
      <c r="C4447" s="1" t="str">
        <f>"66298940309931"</f>
        <v>66298940309931</v>
      </c>
      <c r="D4447" s="1" t="str">
        <f>"6305RI"</f>
        <v>6305RI</v>
      </c>
      <c r="E4447" s="1" t="s">
        <v>17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</row>
    <row r="4448" spans="1:11" x14ac:dyDescent="0.2">
      <c r="A4448" s="1" t="s">
        <v>4000</v>
      </c>
      <c r="B4448" s="1" t="s">
        <v>4052</v>
      </c>
      <c r="C4448" s="1" t="str">
        <f>"6305-2RS-CN"</f>
        <v>6305-2RS-CN</v>
      </c>
      <c r="D4448" s="1" t="str">
        <f>"6305-2RS-CN"</f>
        <v>6305-2RS-CN</v>
      </c>
      <c r="E4448" s="1" t="s">
        <v>17</v>
      </c>
      <c r="F4448" s="1">
        <v>3</v>
      </c>
      <c r="G4448" s="1">
        <v>1233</v>
      </c>
      <c r="H4448" s="1">
        <v>3699</v>
      </c>
      <c r="I4448" s="1">
        <v>0</v>
      </c>
      <c r="J4448" s="1">
        <v>3</v>
      </c>
      <c r="K4448" s="1">
        <v>0</v>
      </c>
    </row>
    <row r="4449" spans="1:11" x14ac:dyDescent="0.2">
      <c r="A4449" s="1" t="s">
        <v>4000</v>
      </c>
      <c r="B4449" s="1" t="s">
        <v>4053</v>
      </c>
      <c r="C4449" s="1" t="str">
        <f>"66298939525939"</f>
        <v>66298939525939</v>
      </c>
      <c r="D4449" s="1" t="str">
        <f>"6305-2NSE-ICHBN"</f>
        <v>6305-2NSE-ICHBN</v>
      </c>
      <c r="E4449" s="1" t="s">
        <v>17</v>
      </c>
      <c r="F4449" s="1">
        <v>1</v>
      </c>
      <c r="G4449" s="1">
        <v>1188</v>
      </c>
      <c r="H4449" s="1">
        <v>1188</v>
      </c>
      <c r="I4449" s="1">
        <v>0</v>
      </c>
      <c r="J4449" s="1">
        <v>1</v>
      </c>
      <c r="K4449" s="1">
        <v>0</v>
      </c>
    </row>
    <row r="4450" spans="1:11" x14ac:dyDescent="0.2">
      <c r="A4450" s="1" t="s">
        <v>4000</v>
      </c>
      <c r="B4450" s="1" t="s">
        <v>4054</v>
      </c>
      <c r="C4450" s="1" t="str">
        <f>"66298939568596"</f>
        <v>66298939568596</v>
      </c>
      <c r="D4450" s="1" t="str">
        <f>"6305-2RS"</f>
        <v>6305-2RS</v>
      </c>
      <c r="E4450" s="1" t="s">
        <v>17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</row>
    <row r="4451" spans="1:11" x14ac:dyDescent="0.2">
      <c r="A4451" s="1" t="s">
        <v>4000</v>
      </c>
      <c r="B4451" s="1" t="s">
        <v>4055</v>
      </c>
      <c r="C4451" s="1" t="str">
        <f>"66298940572433"</f>
        <v>66298940572433</v>
      </c>
      <c r="D4451" s="1" t="str">
        <f>"SAC2647-1"</f>
        <v>SAC2647-1</v>
      </c>
      <c r="E4451" s="1" t="s">
        <v>17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</row>
    <row r="4452" spans="1:11" x14ac:dyDescent="0.2">
      <c r="A4452" s="1" t="s">
        <v>4000</v>
      </c>
      <c r="B4452" s="1" t="s">
        <v>4056</v>
      </c>
      <c r="C4452" s="1" t="str">
        <f>"66298940616884"</f>
        <v>66298940616884</v>
      </c>
      <c r="D4452" s="1" t="str">
        <f>"1070"</f>
        <v>1070</v>
      </c>
      <c r="E4452" s="1" t="s">
        <v>17</v>
      </c>
      <c r="F4452" s="1">
        <v>1</v>
      </c>
      <c r="G4452" s="1">
        <v>8789</v>
      </c>
      <c r="H4452" s="1">
        <v>8789</v>
      </c>
      <c r="I4452" s="1">
        <v>0</v>
      </c>
      <c r="J4452" s="1">
        <v>1</v>
      </c>
      <c r="K4452" s="1">
        <v>0</v>
      </c>
    </row>
    <row r="4453" spans="1:11" x14ac:dyDescent="0.2">
      <c r="A4453" s="1" t="s">
        <v>4000</v>
      </c>
      <c r="B4453" s="1" t="s">
        <v>4057</v>
      </c>
      <c r="C4453" s="1" t="str">
        <f>"66298939608431"</f>
        <v>66298939608431</v>
      </c>
      <c r="D4453" s="1" t="str">
        <f>"62/28-2RS"</f>
        <v>62/28-2RS</v>
      </c>
      <c r="E4453" s="1" t="s">
        <v>17</v>
      </c>
      <c r="F4453" s="1">
        <v>2</v>
      </c>
      <c r="G4453" s="1">
        <v>5248</v>
      </c>
      <c r="H4453" s="1">
        <v>10496</v>
      </c>
      <c r="I4453" s="1">
        <v>0</v>
      </c>
      <c r="J4453" s="1">
        <v>2</v>
      </c>
      <c r="K4453" s="1">
        <v>0</v>
      </c>
    </row>
    <row r="4454" spans="1:11" x14ac:dyDescent="0.2">
      <c r="A4454" s="1" t="s">
        <v>4000</v>
      </c>
      <c r="B4454" s="1" t="s">
        <v>4058</v>
      </c>
      <c r="C4454" s="1" t="str">
        <f>"66298939653043"</f>
        <v>66298939653043</v>
      </c>
      <c r="D4454" s="1" t="str">
        <f>"83024"</f>
        <v>83024</v>
      </c>
      <c r="E4454" s="1" t="s">
        <v>17</v>
      </c>
      <c r="F4454" s="1">
        <v>1</v>
      </c>
      <c r="G4454" s="1">
        <v>1197</v>
      </c>
      <c r="H4454" s="1">
        <v>1197</v>
      </c>
      <c r="I4454" s="1">
        <v>0</v>
      </c>
      <c r="J4454" s="1">
        <v>1</v>
      </c>
      <c r="K4454" s="1">
        <v>0</v>
      </c>
    </row>
    <row r="4455" spans="1:11" x14ac:dyDescent="0.2">
      <c r="A4455" s="1" t="s">
        <v>4000</v>
      </c>
      <c r="B4455" s="1" t="s">
        <v>4059</v>
      </c>
      <c r="C4455" s="1" t="str">
        <f>"66298940386029"</f>
        <v>66298940386029</v>
      </c>
      <c r="D4455" s="1" t="str">
        <f>"28BCS15NSL2"</f>
        <v>28BCS15NSL2</v>
      </c>
      <c r="E4455" s="1" t="s">
        <v>17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</row>
    <row r="4456" spans="1:11" ht="30" x14ac:dyDescent="0.2">
      <c r="A4456" s="1" t="s">
        <v>4000</v>
      </c>
      <c r="B4456" s="1" t="s">
        <v>4060</v>
      </c>
      <c r="C4456" s="1" t="str">
        <f>"66300304170647"</f>
        <v>66300304170647</v>
      </c>
      <c r="D4456" s="1" t="str">
        <f>"91001-KPF-901GH"</f>
        <v>91001-KPF-901GH</v>
      </c>
      <c r="E4456" s="1" t="s">
        <v>17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</row>
    <row r="4457" spans="1:11" x14ac:dyDescent="0.2">
      <c r="A4457" s="1" t="s">
        <v>4000</v>
      </c>
      <c r="B4457" s="1" t="s">
        <v>4061</v>
      </c>
      <c r="C4457" s="1" t="str">
        <f>"66298939695933"</f>
        <v>66298939695933</v>
      </c>
      <c r="D4457" s="1" t="str">
        <f>"6906-2RS"</f>
        <v>6906-2RS</v>
      </c>
      <c r="E4457" s="1" t="s">
        <v>17</v>
      </c>
      <c r="F4457" s="1">
        <v>1</v>
      </c>
      <c r="G4457" s="1">
        <v>7497</v>
      </c>
      <c r="H4457" s="1">
        <v>7497</v>
      </c>
      <c r="I4457" s="1">
        <v>0</v>
      </c>
      <c r="J4457" s="1">
        <v>1</v>
      </c>
      <c r="K4457" s="1">
        <v>0</v>
      </c>
    </row>
    <row r="4458" spans="1:11" x14ac:dyDescent="0.2">
      <c r="A4458" s="1" t="s">
        <v>4000</v>
      </c>
      <c r="B4458" s="1" t="s">
        <v>4062</v>
      </c>
      <c r="C4458" s="1" t="str">
        <f>"6006-2RS-CN"</f>
        <v>6006-2RS-CN</v>
      </c>
      <c r="D4458" s="1" t="str">
        <f>"6006-2RS-CN"</f>
        <v>6006-2RS-CN</v>
      </c>
      <c r="E4458" s="1" t="s">
        <v>17</v>
      </c>
      <c r="F4458" s="1">
        <v>4</v>
      </c>
      <c r="G4458" s="1">
        <v>873</v>
      </c>
      <c r="H4458" s="1">
        <v>3492</v>
      </c>
      <c r="I4458" s="1">
        <v>0</v>
      </c>
      <c r="J4458" s="1">
        <v>4</v>
      </c>
      <c r="K4458" s="1">
        <v>0</v>
      </c>
    </row>
    <row r="4459" spans="1:11" x14ac:dyDescent="0.2">
      <c r="A4459" s="1" t="s">
        <v>4000</v>
      </c>
      <c r="B4459" s="1" t="s">
        <v>4063</v>
      </c>
      <c r="C4459" s="1" t="str">
        <f>"66298939738265"</f>
        <v>66298939738265</v>
      </c>
      <c r="D4459" s="1" t="str">
        <f>"6006-2RS"</f>
        <v>6006-2RS</v>
      </c>
      <c r="E4459" s="1" t="s">
        <v>17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</row>
    <row r="4460" spans="1:11" x14ac:dyDescent="0.2">
      <c r="A4460" s="1" t="s">
        <v>4000</v>
      </c>
      <c r="B4460" s="1" t="s">
        <v>4064</v>
      </c>
      <c r="C4460" s="1" t="str">
        <f>"66298939778267"</f>
        <v>66298939778267</v>
      </c>
      <c r="D4460" s="1" t="str">
        <f>"32006-CN"</f>
        <v>32006-CN</v>
      </c>
      <c r="E4460" s="1" t="s">
        <v>17</v>
      </c>
      <c r="F4460" s="1">
        <v>5</v>
      </c>
      <c r="G4460" s="1">
        <v>1572</v>
      </c>
      <c r="H4460" s="1">
        <v>7860</v>
      </c>
      <c r="I4460" s="1">
        <v>0</v>
      </c>
      <c r="J4460" s="1">
        <v>5</v>
      </c>
      <c r="K4460" s="1">
        <v>0</v>
      </c>
    </row>
    <row r="4461" spans="1:11" x14ac:dyDescent="0.2">
      <c r="A4461" s="1" t="s">
        <v>4000</v>
      </c>
      <c r="B4461" s="1" t="s">
        <v>4065</v>
      </c>
      <c r="C4461" s="1" t="str">
        <f>"66298940658463"</f>
        <v>66298940658463</v>
      </c>
      <c r="D4461" s="1" t="str">
        <f>"SAC-3055-1"</f>
        <v>SAC-3055-1</v>
      </c>
      <c r="E4461" s="1" t="s">
        <v>17</v>
      </c>
      <c r="F4461" s="1">
        <v>2</v>
      </c>
      <c r="G4461" s="1">
        <v>10333</v>
      </c>
      <c r="H4461" s="1">
        <v>20666</v>
      </c>
      <c r="I4461" s="1">
        <v>0</v>
      </c>
      <c r="J4461" s="1">
        <v>2</v>
      </c>
      <c r="K4461" s="1">
        <v>0</v>
      </c>
    </row>
    <row r="4462" spans="1:11" x14ac:dyDescent="0.2">
      <c r="A4462" s="1" t="s">
        <v>4000</v>
      </c>
      <c r="B4462" s="1" t="s">
        <v>4066</v>
      </c>
      <c r="C4462" s="1" t="str">
        <f>"66298939825999"</f>
        <v>66298939825999</v>
      </c>
      <c r="D4462" s="1" t="str">
        <f>"6206-ZZ-ICHBN"</f>
        <v>6206-ZZ-ICHBN</v>
      </c>
      <c r="E4462" s="1" t="s">
        <v>17</v>
      </c>
      <c r="F4462" s="1">
        <v>2</v>
      </c>
      <c r="G4462" s="1">
        <v>1048</v>
      </c>
      <c r="H4462" s="1">
        <v>2096</v>
      </c>
      <c r="I4462" s="1">
        <v>0</v>
      </c>
      <c r="J4462" s="1">
        <v>2</v>
      </c>
      <c r="K4462" s="1">
        <v>0</v>
      </c>
    </row>
    <row r="4463" spans="1:11" x14ac:dyDescent="0.2">
      <c r="A4463" s="1" t="s">
        <v>4000</v>
      </c>
      <c r="B4463" s="1" t="s">
        <v>4066</v>
      </c>
      <c r="C4463" s="1" t="str">
        <f>"66298939833181"</f>
        <v>66298939833181</v>
      </c>
      <c r="D4463" s="1" t="str">
        <f>"6206-2RS-ICHBN"</f>
        <v>6206-2RS-ICHBN</v>
      </c>
      <c r="E4463" s="1" t="s">
        <v>17</v>
      </c>
      <c r="F4463" s="1">
        <v>8</v>
      </c>
      <c r="G4463" s="1">
        <v>1684</v>
      </c>
      <c r="H4463" s="1">
        <v>13472</v>
      </c>
      <c r="I4463" s="1">
        <v>0</v>
      </c>
      <c r="J4463" s="1">
        <v>8</v>
      </c>
      <c r="K4463" s="1">
        <v>0</v>
      </c>
    </row>
    <row r="4464" spans="1:11" x14ac:dyDescent="0.2">
      <c r="A4464" s="1" t="s">
        <v>4000</v>
      </c>
      <c r="B4464" s="1" t="s">
        <v>4067</v>
      </c>
      <c r="C4464" s="1" t="str">
        <f>"66298939885613"</f>
        <v>66298939885613</v>
      </c>
      <c r="D4464" s="1" t="str">
        <f>"6306/17-2RS"</f>
        <v>6306/17-2RS</v>
      </c>
      <c r="E4464" s="1" t="s">
        <v>17</v>
      </c>
      <c r="F4464" s="1">
        <v>1</v>
      </c>
      <c r="G4464" s="1">
        <v>4550</v>
      </c>
      <c r="H4464" s="1">
        <v>4550</v>
      </c>
      <c r="I4464" s="1">
        <v>0</v>
      </c>
      <c r="J4464" s="1">
        <v>1</v>
      </c>
      <c r="K4464" s="1">
        <v>0</v>
      </c>
    </row>
    <row r="4465" spans="1:11" x14ac:dyDescent="0.2">
      <c r="A4465" s="1" t="s">
        <v>4000</v>
      </c>
      <c r="B4465" s="1" t="s">
        <v>4068</v>
      </c>
      <c r="C4465" s="1" t="str">
        <f>"66298939925063"</f>
        <v>66298939925063</v>
      </c>
      <c r="D4465" s="1" t="str">
        <f>"6306-ZNR-ICH"</f>
        <v>6306-ZNR-ICH</v>
      </c>
      <c r="E4465" s="1" t="s">
        <v>17</v>
      </c>
      <c r="F4465" s="1">
        <v>2</v>
      </c>
      <c r="G4465" s="1">
        <v>2097</v>
      </c>
      <c r="H4465" s="1">
        <v>4194</v>
      </c>
      <c r="I4465" s="1">
        <v>0</v>
      </c>
      <c r="J4465" s="1">
        <v>2</v>
      </c>
      <c r="K4465" s="1">
        <v>0</v>
      </c>
    </row>
    <row r="4466" spans="1:11" x14ac:dyDescent="0.2">
      <c r="A4466" s="1" t="s">
        <v>4000</v>
      </c>
      <c r="B4466" s="1" t="s">
        <v>4069</v>
      </c>
      <c r="C4466" s="1" t="str">
        <f>"6207-C3-KOYO"</f>
        <v>6207-C3-KOYO</v>
      </c>
      <c r="D4466" s="1" t="str">
        <f>"6207-C3-KOYO"</f>
        <v>6207-C3-KOYO</v>
      </c>
      <c r="E4466" s="1" t="s">
        <v>17</v>
      </c>
      <c r="F4466" s="1">
        <v>3</v>
      </c>
      <c r="G4466" s="1">
        <v>6331.5</v>
      </c>
      <c r="H4466" s="1">
        <v>18995</v>
      </c>
      <c r="I4466" s="1">
        <v>0</v>
      </c>
      <c r="J4466" s="1">
        <v>3</v>
      </c>
      <c r="K4466" s="1">
        <v>0</v>
      </c>
    </row>
    <row r="4467" spans="1:11" x14ac:dyDescent="0.2">
      <c r="A4467" s="1" t="s">
        <v>4000</v>
      </c>
      <c r="B4467" s="1" t="s">
        <v>4070</v>
      </c>
      <c r="C4467" s="1" t="str">
        <f>"6007-2RS-CN"</f>
        <v>6007-2RS-CN</v>
      </c>
      <c r="D4467" s="1" t="str">
        <f>"6007-2RS-CN"</f>
        <v>6007-2RS-CN</v>
      </c>
      <c r="E4467" s="1" t="s">
        <v>17</v>
      </c>
      <c r="F4467" s="1">
        <v>4</v>
      </c>
      <c r="G4467" s="1">
        <v>1233</v>
      </c>
      <c r="H4467" s="1">
        <v>4932</v>
      </c>
      <c r="I4467" s="1">
        <v>0</v>
      </c>
      <c r="J4467" s="1">
        <v>4</v>
      </c>
      <c r="K4467" s="1">
        <v>0</v>
      </c>
    </row>
    <row r="4468" spans="1:11" x14ac:dyDescent="0.2">
      <c r="A4468" s="1" t="s">
        <v>4000</v>
      </c>
      <c r="B4468" s="1" t="s">
        <v>4071</v>
      </c>
      <c r="C4468" s="1" t="str">
        <f>"66298939967055"</f>
        <v>66298939967055</v>
      </c>
      <c r="D4468" s="1" t="str">
        <f>"6207-2RSC3"</f>
        <v>6207-2RSC3</v>
      </c>
      <c r="E4468" s="1" t="s">
        <v>17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</row>
    <row r="4469" spans="1:11" x14ac:dyDescent="0.2">
      <c r="A4469" s="1" t="s">
        <v>4000</v>
      </c>
      <c r="B4469" s="1" t="s">
        <v>4072</v>
      </c>
      <c r="C4469" s="1" t="str">
        <f>"66298940439238"</f>
        <v>66298940439238</v>
      </c>
      <c r="D4469" s="1" t="str">
        <f>"6207-C3"</f>
        <v>6207-C3</v>
      </c>
      <c r="E4469" s="1" t="s">
        <v>17</v>
      </c>
      <c r="F4469" s="1">
        <v>3</v>
      </c>
      <c r="G4469" s="1">
        <v>2234</v>
      </c>
      <c r="H4469" s="1">
        <v>6702</v>
      </c>
      <c r="I4469" s="1">
        <v>0</v>
      </c>
      <c r="J4469" s="1">
        <v>3</v>
      </c>
      <c r="K4469" s="1">
        <v>0</v>
      </c>
    </row>
    <row r="4470" spans="1:11" x14ac:dyDescent="0.2">
      <c r="A4470" s="1" t="s">
        <v>4000</v>
      </c>
      <c r="B4470" s="1" t="s">
        <v>4073</v>
      </c>
      <c r="C4470" s="1" t="str">
        <f>"66298940019351"</f>
        <v>66298940019351</v>
      </c>
      <c r="D4470" s="1" t="str">
        <f>"6307-ZNR-ICHBN"</f>
        <v>6307-ZNR-ICHBN</v>
      </c>
      <c r="E4470" s="1" t="s">
        <v>17</v>
      </c>
      <c r="F4470" s="1">
        <v>1</v>
      </c>
      <c r="G4470" s="1">
        <v>2402</v>
      </c>
      <c r="H4470" s="1">
        <v>2402</v>
      </c>
      <c r="I4470" s="1">
        <v>0</v>
      </c>
      <c r="J4470" s="1">
        <v>1</v>
      </c>
      <c r="K4470" s="1">
        <v>0</v>
      </c>
    </row>
    <row r="4471" spans="1:11" x14ac:dyDescent="0.2">
      <c r="A4471" s="1" t="s">
        <v>4000</v>
      </c>
      <c r="B4471" s="1" t="s">
        <v>4074</v>
      </c>
      <c r="C4471" s="1" t="str">
        <f>"6908ZZCM"</f>
        <v>6908ZZCM</v>
      </c>
      <c r="D4471" s="1" t="str">
        <f>"6908ZZCM"</f>
        <v>6908ZZCM</v>
      </c>
      <c r="E4471" s="1" t="s">
        <v>17</v>
      </c>
      <c r="F4471" s="1">
        <v>1</v>
      </c>
      <c r="G4471" s="1">
        <v>8658</v>
      </c>
      <c r="H4471" s="1">
        <v>8658</v>
      </c>
      <c r="I4471" s="1">
        <v>0</v>
      </c>
      <c r="J4471" s="1">
        <v>1</v>
      </c>
      <c r="K4471" s="1">
        <v>0</v>
      </c>
    </row>
    <row r="4472" spans="1:11" x14ac:dyDescent="0.2">
      <c r="A4472" s="1" t="s">
        <v>4000</v>
      </c>
      <c r="B4472" s="1" t="s">
        <v>4075</v>
      </c>
      <c r="C4472" s="1" t="str">
        <f>"6008-2RS"</f>
        <v>6008-2RS</v>
      </c>
      <c r="D4472" s="1" t="str">
        <f>"6008-2RS"</f>
        <v>6008-2RS</v>
      </c>
      <c r="E4472" s="1" t="s">
        <v>17</v>
      </c>
      <c r="F4472" s="1">
        <v>4</v>
      </c>
      <c r="G4472" s="1">
        <v>1305.01</v>
      </c>
      <c r="H4472" s="1">
        <v>5220</v>
      </c>
      <c r="I4472" s="1">
        <v>0</v>
      </c>
      <c r="J4472" s="1">
        <v>4</v>
      </c>
      <c r="K4472" s="1">
        <v>0</v>
      </c>
    </row>
    <row r="4473" spans="1:11" x14ac:dyDescent="0.2">
      <c r="A4473" s="1" t="s">
        <v>4000</v>
      </c>
      <c r="B4473" s="1" t="s">
        <v>4076</v>
      </c>
      <c r="C4473" s="1" t="str">
        <f>"66298940101219"</f>
        <v>66298940101219</v>
      </c>
      <c r="D4473" s="1" t="str">
        <f>"DG-4070-A"</f>
        <v>DG-4070-A</v>
      </c>
      <c r="E4473" s="1" t="s">
        <v>17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</row>
    <row r="4474" spans="1:11" x14ac:dyDescent="0.2">
      <c r="A4474" s="1" t="s">
        <v>4000</v>
      </c>
      <c r="B4474" s="1" t="s">
        <v>4077</v>
      </c>
      <c r="C4474" s="1" t="str">
        <f>"66298940188147"</f>
        <v>66298940188147</v>
      </c>
      <c r="D4474" s="1" t="str">
        <f>"30208-CN"</f>
        <v>30208-CN</v>
      </c>
      <c r="E4474" s="1" t="s">
        <v>17</v>
      </c>
      <c r="F4474" s="1">
        <v>10</v>
      </c>
      <c r="G4474" s="1">
        <v>2771</v>
      </c>
      <c r="H4474" s="1">
        <v>27710</v>
      </c>
      <c r="I4474" s="1">
        <v>0</v>
      </c>
      <c r="J4474" s="1">
        <v>10</v>
      </c>
      <c r="K4474" s="1">
        <v>0</v>
      </c>
    </row>
    <row r="4475" spans="1:11" x14ac:dyDescent="0.2">
      <c r="A4475" s="1" t="s">
        <v>18</v>
      </c>
      <c r="B4475" s="1" t="s">
        <v>4078</v>
      </c>
      <c r="C4475" s="1" t="str">
        <f>"66298940829368"</f>
        <v>66298940829368</v>
      </c>
      <c r="D4475" s="1" t="str">
        <f>"817"</f>
        <v>817</v>
      </c>
      <c r="E4475" s="1" t="s">
        <v>17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</row>
    <row r="4476" spans="1:11" x14ac:dyDescent="0.2">
      <c r="A4476" s="1" t="s">
        <v>18</v>
      </c>
      <c r="B4476" s="1" t="s">
        <v>4079</v>
      </c>
      <c r="C4476" s="1" t="str">
        <f>"66298940874552"</f>
        <v>66298940874552</v>
      </c>
      <c r="D4476" s="1" t="str">
        <f>"1382"</f>
        <v>1382</v>
      </c>
      <c r="E4476" s="1" t="s">
        <v>17</v>
      </c>
      <c r="F4476" s="1">
        <v>17</v>
      </c>
      <c r="G4476" s="1">
        <v>7395</v>
      </c>
      <c r="H4476" s="1">
        <v>125715</v>
      </c>
      <c r="I4476" s="1">
        <v>0</v>
      </c>
      <c r="J4476" s="1">
        <v>17</v>
      </c>
      <c r="K4476" s="1">
        <v>0</v>
      </c>
    </row>
    <row r="4477" spans="1:11" x14ac:dyDescent="0.2">
      <c r="A4477" s="1" t="s">
        <v>18</v>
      </c>
      <c r="B4477" s="1" t="s">
        <v>4080</v>
      </c>
      <c r="C4477" s="1" t="str">
        <f>"66298940922228"</f>
        <v>66298940922228</v>
      </c>
      <c r="D4477" s="1" t="str">
        <f>"4158"</f>
        <v>4158</v>
      </c>
      <c r="E4477" s="1" t="s">
        <v>17</v>
      </c>
      <c r="F4477" s="1">
        <v>13</v>
      </c>
      <c r="G4477" s="1">
        <v>10504</v>
      </c>
      <c r="H4477" s="1">
        <v>136552</v>
      </c>
      <c r="I4477" s="1">
        <v>0</v>
      </c>
      <c r="J4477" s="1">
        <v>13</v>
      </c>
      <c r="K4477" s="1">
        <v>0</v>
      </c>
    </row>
    <row r="4478" spans="1:11" x14ac:dyDescent="0.2">
      <c r="A4478" s="1" t="s">
        <v>18</v>
      </c>
      <c r="B4478" s="1" t="s">
        <v>4080</v>
      </c>
      <c r="C4478" s="1" t="str">
        <f>"WA032"</f>
        <v>WA032</v>
      </c>
      <c r="D4478" s="1" t="str">
        <f>"WA032"</f>
        <v>WA032</v>
      </c>
      <c r="E4478" s="1" t="s">
        <v>17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</row>
    <row r="4479" spans="1:11" x14ac:dyDescent="0.2">
      <c r="A4479" s="1" t="s">
        <v>18</v>
      </c>
      <c r="B4479" s="1" t="s">
        <v>4081</v>
      </c>
      <c r="C4479" s="1" t="str">
        <f>"66298940787514"</f>
        <v>66298940787514</v>
      </c>
      <c r="D4479" s="1" t="str">
        <f>"1365"</f>
        <v>1365</v>
      </c>
      <c r="E4479" s="1" t="s">
        <v>17</v>
      </c>
      <c r="F4479" s="1">
        <v>1</v>
      </c>
      <c r="G4479" s="1">
        <v>6302.52</v>
      </c>
      <c r="H4479" s="1">
        <v>6303</v>
      </c>
      <c r="I4479" s="1">
        <v>0</v>
      </c>
      <c r="J4479" s="1">
        <v>1</v>
      </c>
      <c r="K4479" s="1">
        <v>0</v>
      </c>
    </row>
    <row r="4480" spans="1:11" x14ac:dyDescent="0.2">
      <c r="A4480" s="1" t="s">
        <v>18</v>
      </c>
      <c r="B4480" s="1" t="s">
        <v>4082</v>
      </c>
      <c r="C4480" s="1" t="str">
        <f>"66298940962453"</f>
        <v>66298940962453</v>
      </c>
      <c r="D4480" s="1" t="str">
        <f>"WA055-AMARILLO"</f>
        <v>WA055-AMARILLO</v>
      </c>
      <c r="E4480" s="1" t="s">
        <v>17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</row>
    <row r="4481" spans="1:11" x14ac:dyDescent="0.2">
      <c r="A4481" s="1" t="s">
        <v>18</v>
      </c>
      <c r="B4481" s="1" t="s">
        <v>4083</v>
      </c>
      <c r="C4481" s="1" t="str">
        <f>"66298941005248"</f>
        <v>66298941005248</v>
      </c>
      <c r="D4481" s="1" t="str">
        <f>"WA055-BLANCO"</f>
        <v>WA055-BLANCO</v>
      </c>
      <c r="E4481" s="1" t="s">
        <v>17</v>
      </c>
      <c r="F4481" s="1">
        <v>1</v>
      </c>
      <c r="G4481" s="1">
        <v>25408</v>
      </c>
      <c r="H4481" s="1">
        <v>25408</v>
      </c>
      <c r="I4481" s="1">
        <v>0</v>
      </c>
      <c r="J4481" s="1">
        <v>1</v>
      </c>
      <c r="K4481" s="1">
        <v>0</v>
      </c>
    </row>
    <row r="4482" spans="1:11" x14ac:dyDescent="0.2">
      <c r="A4482" s="1" t="s">
        <v>18</v>
      </c>
      <c r="B4482" s="1" t="s">
        <v>4084</v>
      </c>
      <c r="C4482" s="1" t="str">
        <f>"66298941044965"</f>
        <v>66298941044965</v>
      </c>
      <c r="D4482" s="1" t="str">
        <f>"WA055-CELESTE"</f>
        <v>WA055-CELESTE</v>
      </c>
      <c r="E4482" s="1" t="s">
        <v>17</v>
      </c>
      <c r="F4482" s="1">
        <v>2</v>
      </c>
      <c r="G4482" s="1">
        <v>25408</v>
      </c>
      <c r="H4482" s="1">
        <v>50816</v>
      </c>
      <c r="I4482" s="1">
        <v>0</v>
      </c>
      <c r="J4482" s="1">
        <v>2</v>
      </c>
      <c r="K4482" s="1">
        <v>0</v>
      </c>
    </row>
    <row r="4483" spans="1:11" x14ac:dyDescent="0.2">
      <c r="A4483" s="1" t="s">
        <v>98</v>
      </c>
      <c r="B4483" s="1" t="s">
        <v>4085</v>
      </c>
      <c r="C4483" s="1" t="str">
        <f>"66298941087470"</f>
        <v>66298941087470</v>
      </c>
      <c r="D4483" s="1" t="str">
        <f>"400769"</f>
        <v>400769</v>
      </c>
      <c r="E4483" s="1" t="s">
        <v>17</v>
      </c>
      <c r="F4483" s="1">
        <v>47</v>
      </c>
      <c r="G4483" s="1">
        <v>1228</v>
      </c>
      <c r="H4483" s="1">
        <v>57716</v>
      </c>
      <c r="I4483" s="1">
        <v>0</v>
      </c>
      <c r="J4483" s="1">
        <v>47</v>
      </c>
      <c r="K4483" s="1">
        <v>0</v>
      </c>
    </row>
    <row r="4484" spans="1:11" x14ac:dyDescent="0.2">
      <c r="A4484" s="1" t="s">
        <v>98</v>
      </c>
      <c r="B4484" s="1" t="s">
        <v>4086</v>
      </c>
      <c r="C4484" s="1" t="str">
        <f>"66298941132041"</f>
        <v>66298941132041</v>
      </c>
      <c r="D4484" s="1" t="str">
        <f>"B095B"</f>
        <v>B095B</v>
      </c>
      <c r="E4484" s="1" t="s">
        <v>17</v>
      </c>
      <c r="F4484" s="1">
        <v>6</v>
      </c>
      <c r="G4484" s="1">
        <v>1490</v>
      </c>
      <c r="H4484" s="1">
        <v>8940</v>
      </c>
      <c r="I4484" s="1">
        <v>0</v>
      </c>
      <c r="J4484" s="1">
        <v>6</v>
      </c>
      <c r="K4484" s="1">
        <v>0</v>
      </c>
    </row>
    <row r="4485" spans="1:11" x14ac:dyDescent="0.2">
      <c r="A4485" s="1" t="s">
        <v>98</v>
      </c>
      <c r="B4485" s="1" t="s">
        <v>4087</v>
      </c>
      <c r="C4485" s="1" t="str">
        <f>"B095"</f>
        <v>B095</v>
      </c>
      <c r="D4485" s="1" t="str">
        <f>"B095"</f>
        <v>B095</v>
      </c>
      <c r="E4485" s="1" t="s">
        <v>17</v>
      </c>
      <c r="F4485" s="1">
        <v>1</v>
      </c>
      <c r="G4485" s="1">
        <v>1490</v>
      </c>
      <c r="H4485" s="1">
        <v>1490</v>
      </c>
      <c r="I4485" s="1">
        <v>0</v>
      </c>
      <c r="J4485" s="1">
        <v>1</v>
      </c>
      <c r="K4485" s="1">
        <v>0</v>
      </c>
    </row>
    <row r="4486" spans="1:11" x14ac:dyDescent="0.2">
      <c r="A4486" s="1" t="s">
        <v>98</v>
      </c>
      <c r="B4486" s="1" t="s">
        <v>4088</v>
      </c>
      <c r="C4486" s="1" t="str">
        <f>"66298941223294"</f>
        <v>66298941223294</v>
      </c>
      <c r="D4486" s="1" t="str">
        <f>"400768"</f>
        <v>400768</v>
      </c>
      <c r="E4486" s="1" t="s">
        <v>17</v>
      </c>
      <c r="F4486" s="1">
        <v>44</v>
      </c>
      <c r="G4486" s="1">
        <v>936</v>
      </c>
      <c r="H4486" s="1">
        <v>41184</v>
      </c>
      <c r="I4486" s="1">
        <v>0</v>
      </c>
      <c r="J4486" s="1">
        <v>44</v>
      </c>
      <c r="K4486" s="1">
        <v>0</v>
      </c>
    </row>
    <row r="4487" spans="1:11" x14ac:dyDescent="0.2">
      <c r="A4487" s="1" t="s">
        <v>98</v>
      </c>
      <c r="B4487" s="1" t="s">
        <v>4089</v>
      </c>
      <c r="C4487" s="1" t="str">
        <f>"66298941264145"</f>
        <v>66298941264145</v>
      </c>
      <c r="D4487" s="1" t="str">
        <f>"CP013"</f>
        <v>CP013</v>
      </c>
      <c r="E4487" s="1" t="s">
        <v>17</v>
      </c>
      <c r="F4487" s="1">
        <v>2</v>
      </c>
      <c r="G4487" s="1">
        <v>2781</v>
      </c>
      <c r="H4487" s="1">
        <v>5562</v>
      </c>
      <c r="I4487" s="1">
        <v>0</v>
      </c>
      <c r="J4487" s="1">
        <v>2</v>
      </c>
      <c r="K4487" s="1">
        <v>0</v>
      </c>
    </row>
    <row r="4488" spans="1:11" x14ac:dyDescent="0.2">
      <c r="A4488" s="1" t="s">
        <v>4090</v>
      </c>
      <c r="B4488" s="1" t="s">
        <v>4091</v>
      </c>
      <c r="C4488" s="1" t="str">
        <f>"CMST2201-0331"</f>
        <v>CMST2201-0331</v>
      </c>
      <c r="D4488" s="1" t="str">
        <f>"CMST2201-0331"</f>
        <v>CMST2201-0331</v>
      </c>
      <c r="E4488" s="1" t="s">
        <v>17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</row>
    <row r="4489" spans="1:11" x14ac:dyDescent="0.2">
      <c r="A4489" s="1" t="s">
        <v>4092</v>
      </c>
      <c r="B4489" s="1" t="s">
        <v>4093</v>
      </c>
      <c r="C4489" s="1" t="str">
        <f>"NB007"</f>
        <v>NB007</v>
      </c>
      <c r="D4489" s="1" t="str">
        <f>"NB007"</f>
        <v>NB007</v>
      </c>
      <c r="E4489" s="1" t="s">
        <v>17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</row>
    <row r="4490" spans="1:11" ht="30" x14ac:dyDescent="0.2">
      <c r="A4490" s="1" t="s">
        <v>98</v>
      </c>
      <c r="B4490" s="1" t="s">
        <v>4094</v>
      </c>
      <c r="C4490" s="1" t="str">
        <f>"66298941302631"</f>
        <v>66298941302631</v>
      </c>
      <c r="D4490" s="1" t="str">
        <f>"NB009"</f>
        <v>NB009</v>
      </c>
      <c r="E4490" s="1" t="s">
        <v>17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</row>
    <row r="4491" spans="1:11" x14ac:dyDescent="0.2">
      <c r="A4491" s="1" t="s">
        <v>98</v>
      </c>
      <c r="B4491" s="1" t="s">
        <v>4095</v>
      </c>
      <c r="C4491" s="1" t="str">
        <f>"66298941348939"</f>
        <v>66298941348939</v>
      </c>
      <c r="D4491" s="1" t="str">
        <f>"84905"</f>
        <v>84905</v>
      </c>
      <c r="E4491" s="1" t="s">
        <v>17</v>
      </c>
      <c r="F4491" s="1">
        <v>36</v>
      </c>
      <c r="G4491" s="1">
        <v>59</v>
      </c>
      <c r="H4491" s="1">
        <v>2124</v>
      </c>
      <c r="I4491" s="1">
        <v>0</v>
      </c>
      <c r="J4491" s="1">
        <v>36</v>
      </c>
      <c r="K4491" s="1">
        <v>0</v>
      </c>
    </row>
    <row r="4492" spans="1:11" x14ac:dyDescent="0.2">
      <c r="A4492" s="1" t="s">
        <v>98</v>
      </c>
      <c r="B4492" s="1" t="s">
        <v>4096</v>
      </c>
      <c r="C4492" s="1" t="str">
        <f>"66298941399997"</f>
        <v>66298941399997</v>
      </c>
      <c r="D4492" s="1" t="str">
        <f>"NB001"</f>
        <v>NB001</v>
      </c>
      <c r="E4492" s="1" t="s">
        <v>17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</row>
    <row r="4493" spans="1:11" x14ac:dyDescent="0.2">
      <c r="A4493" s="1" t="s">
        <v>4092</v>
      </c>
      <c r="B4493" s="1" t="s">
        <v>4096</v>
      </c>
      <c r="C4493" s="1" t="str">
        <f>"NB006"</f>
        <v>NB006</v>
      </c>
      <c r="D4493" s="1" t="str">
        <f>"NB006"</f>
        <v>NB006</v>
      </c>
      <c r="E4493" s="1" t="s">
        <v>17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</row>
    <row r="4494" spans="1:11" x14ac:dyDescent="0.2">
      <c r="A4494" s="1" t="s">
        <v>98</v>
      </c>
      <c r="B4494" s="1" t="s">
        <v>4097</v>
      </c>
      <c r="C4494" s="1" t="str">
        <f>"66298941439805"</f>
        <v>66298941439805</v>
      </c>
      <c r="D4494" s="1" t="str">
        <f>"23802-KAE-870BR"</f>
        <v>23802-KAE-870BR</v>
      </c>
      <c r="E4494" s="1" t="s">
        <v>17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</row>
    <row r="4495" spans="1:11" x14ac:dyDescent="0.2">
      <c r="A4495" s="1" t="s">
        <v>98</v>
      </c>
      <c r="B4495" s="1" t="s">
        <v>4098</v>
      </c>
      <c r="C4495" s="1" t="str">
        <f>"66298941482242"</f>
        <v>66298941482242</v>
      </c>
      <c r="D4495" s="1" t="str">
        <f>"NB002"</f>
        <v>NB002</v>
      </c>
      <c r="E4495" s="1" t="s">
        <v>17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</row>
    <row r="4496" spans="1:11" x14ac:dyDescent="0.2">
      <c r="A4496" s="1" t="s">
        <v>4092</v>
      </c>
      <c r="B4496" s="1" t="s">
        <v>4099</v>
      </c>
      <c r="C4496" s="1" t="str">
        <f>"BR470.16"</f>
        <v>BR470.16</v>
      </c>
      <c r="D4496" s="1" t="str">
        <f>"BR470.16"</f>
        <v>BR470.16</v>
      </c>
      <c r="E4496" s="1" t="s">
        <v>17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</row>
    <row r="4497" spans="1:11" x14ac:dyDescent="0.2">
      <c r="A4497" s="1" t="s">
        <v>98</v>
      </c>
      <c r="B4497" s="1" t="s">
        <v>4100</v>
      </c>
      <c r="C4497" s="1" t="str">
        <f>"66298941523654"</f>
        <v>66298941523654</v>
      </c>
      <c r="D4497" s="1" t="str">
        <f>"NB008"</f>
        <v>NB008</v>
      </c>
      <c r="E4497" s="1" t="s">
        <v>17</v>
      </c>
      <c r="F4497" s="1">
        <v>70</v>
      </c>
      <c r="G4497" s="1">
        <v>108</v>
      </c>
      <c r="H4497" s="1">
        <v>7560</v>
      </c>
      <c r="I4497" s="1">
        <v>0</v>
      </c>
      <c r="J4497" s="1">
        <v>70</v>
      </c>
      <c r="K4497" s="1">
        <v>0</v>
      </c>
    </row>
    <row r="4498" spans="1:11" x14ac:dyDescent="0.2">
      <c r="A4498" s="1" t="s">
        <v>4092</v>
      </c>
      <c r="B4498" s="1" t="s">
        <v>4101</v>
      </c>
      <c r="C4498" s="1" t="str">
        <f>"49CC75"</f>
        <v>49CC75</v>
      </c>
      <c r="D4498" s="1" t="str">
        <f>"49CC75"</f>
        <v>49CC75</v>
      </c>
      <c r="E4498" s="1" t="s">
        <v>17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</row>
    <row r="4499" spans="1:11" x14ac:dyDescent="0.2">
      <c r="A4499" s="1" t="s">
        <v>98</v>
      </c>
      <c r="B4499" s="1" t="s">
        <v>4102</v>
      </c>
      <c r="C4499" s="1" t="str">
        <f>"66298941566597"</f>
        <v>66298941566597</v>
      </c>
      <c r="D4499" s="1" t="str">
        <f>"83028"</f>
        <v>83028</v>
      </c>
      <c r="E4499" s="1" t="s">
        <v>17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</row>
    <row r="4500" spans="1:11" x14ac:dyDescent="0.2">
      <c r="A4500" s="1" t="s">
        <v>98</v>
      </c>
      <c r="B4500" s="1" t="s">
        <v>4103</v>
      </c>
      <c r="C4500" s="1" t="str">
        <f>"66298941608595"</f>
        <v>66298941608595</v>
      </c>
      <c r="D4500" s="1" t="str">
        <f>"S-500"</f>
        <v>S-500</v>
      </c>
      <c r="E4500" s="1" t="s">
        <v>17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</row>
    <row r="4501" spans="1:11" x14ac:dyDescent="0.2">
      <c r="A4501" s="1" t="s">
        <v>3887</v>
      </c>
      <c r="B4501" s="1" t="s">
        <v>4104</v>
      </c>
      <c r="C4501" s="1" t="str">
        <f>"38BE211900JP"</f>
        <v>38BE211900JP</v>
      </c>
      <c r="D4501" s="1" t="str">
        <f>"38BE211900JP"</f>
        <v>38BE211900JP</v>
      </c>
      <c r="E4501" s="1" t="s">
        <v>17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</row>
    <row r="4502" spans="1:11" x14ac:dyDescent="0.2">
      <c r="A4502" s="1" t="s">
        <v>98</v>
      </c>
      <c r="B4502" s="1" t="s">
        <v>4105</v>
      </c>
      <c r="C4502" s="1" t="str">
        <f>"66298941656387"</f>
        <v>66298941656387</v>
      </c>
      <c r="D4502" s="1" t="str">
        <f>"5H0-12119-00JP"</f>
        <v>5H0-12119-00JP</v>
      </c>
      <c r="E4502" s="1" t="s">
        <v>17</v>
      </c>
      <c r="F4502" s="1">
        <v>17</v>
      </c>
      <c r="G4502" s="1">
        <v>267</v>
      </c>
      <c r="H4502" s="1">
        <v>4539</v>
      </c>
      <c r="I4502" s="1">
        <v>0</v>
      </c>
      <c r="J4502" s="1">
        <v>17</v>
      </c>
      <c r="K4502" s="1">
        <v>0</v>
      </c>
    </row>
    <row r="4503" spans="1:11" x14ac:dyDescent="0.2">
      <c r="A4503" s="1" t="s">
        <v>98</v>
      </c>
      <c r="B4503" s="1" t="s">
        <v>4106</v>
      </c>
      <c r="C4503" s="1" t="str">
        <f>"66298941700772"</f>
        <v>66298941700772</v>
      </c>
      <c r="D4503" s="1" t="str">
        <f>"12208-413-003JP"</f>
        <v>12208-413-003JP</v>
      </c>
      <c r="E4503" s="1" t="s">
        <v>17</v>
      </c>
      <c r="F4503" s="1">
        <v>1</v>
      </c>
      <c r="G4503" s="1">
        <v>287</v>
      </c>
      <c r="H4503" s="1">
        <v>287</v>
      </c>
      <c r="I4503" s="1">
        <v>0</v>
      </c>
      <c r="J4503" s="1">
        <v>1</v>
      </c>
      <c r="K4503" s="1">
        <v>0</v>
      </c>
    </row>
    <row r="4504" spans="1:11" x14ac:dyDescent="0.2">
      <c r="A4504" s="1" t="s">
        <v>4107</v>
      </c>
      <c r="B4504" s="1" t="s">
        <v>4106</v>
      </c>
      <c r="C4504" s="1" t="str">
        <f>"CR008-A"</f>
        <v>CR008-A</v>
      </c>
      <c r="D4504" s="1" t="str">
        <f>"CR008-A"</f>
        <v>CR008-A</v>
      </c>
      <c r="E4504" s="1" t="s">
        <v>17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</row>
    <row r="4505" spans="1:11" x14ac:dyDescent="0.2">
      <c r="A4505" s="1" t="s">
        <v>98</v>
      </c>
      <c r="B4505" s="1" t="s">
        <v>4108</v>
      </c>
      <c r="C4505" s="1" t="str">
        <f>"66298941741496"</f>
        <v>66298941741496</v>
      </c>
      <c r="D4505" s="1" t="str">
        <f>"5ER-E2119-00JP"</f>
        <v>5ER-E2119-00JP</v>
      </c>
      <c r="E4505" s="1" t="s">
        <v>17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</row>
    <row r="4506" spans="1:11" x14ac:dyDescent="0.2">
      <c r="A4506" s="1" t="s">
        <v>98</v>
      </c>
      <c r="B4506" s="1" t="s">
        <v>4109</v>
      </c>
      <c r="C4506" s="1" t="str">
        <f>"66298941833931"</f>
        <v>66298941833931</v>
      </c>
      <c r="D4506" s="1" t="str">
        <f>"09289-05015JP"</f>
        <v>09289-05015JP</v>
      </c>
      <c r="E4506" s="1" t="s">
        <v>17</v>
      </c>
      <c r="F4506" s="1">
        <v>1</v>
      </c>
      <c r="G4506" s="1">
        <v>425</v>
      </c>
      <c r="H4506" s="1">
        <v>425</v>
      </c>
      <c r="I4506" s="1">
        <v>0</v>
      </c>
      <c r="J4506" s="1">
        <v>1</v>
      </c>
      <c r="K4506" s="1">
        <v>0</v>
      </c>
    </row>
    <row r="4507" spans="1:11" x14ac:dyDescent="0.2">
      <c r="A4507" s="1" t="s">
        <v>3887</v>
      </c>
      <c r="B4507" s="1" t="s">
        <v>4110</v>
      </c>
      <c r="C4507" s="1" t="str">
        <f>"66298941785269"</f>
        <v>66298941785269</v>
      </c>
      <c r="D4507" s="1" t="str">
        <f>"09289-05011JP"</f>
        <v>09289-05011JP</v>
      </c>
      <c r="E4507" s="1" t="s">
        <v>17</v>
      </c>
      <c r="F4507" s="1">
        <v>11</v>
      </c>
      <c r="G4507" s="1">
        <v>296</v>
      </c>
      <c r="H4507" s="1">
        <v>3256</v>
      </c>
      <c r="I4507" s="1">
        <v>0</v>
      </c>
      <c r="J4507" s="1">
        <v>11</v>
      </c>
      <c r="K4507" s="1">
        <v>0</v>
      </c>
    </row>
    <row r="4508" spans="1:11" x14ac:dyDescent="0.2">
      <c r="A4508" s="1" t="s">
        <v>98</v>
      </c>
      <c r="B4508" s="1" t="s">
        <v>4111</v>
      </c>
      <c r="C4508" s="1" t="str">
        <f>"66298941873932"</f>
        <v>66298941873932</v>
      </c>
      <c r="D4508" s="1" t="str">
        <f>"39-2017-19"</f>
        <v>39-2017-19</v>
      </c>
      <c r="E4508" s="1" t="s">
        <v>17</v>
      </c>
      <c r="F4508" s="1">
        <v>5</v>
      </c>
      <c r="G4508" s="1">
        <v>319</v>
      </c>
      <c r="H4508" s="1">
        <v>1595</v>
      </c>
      <c r="I4508" s="1">
        <v>0</v>
      </c>
      <c r="J4508" s="1">
        <v>5</v>
      </c>
      <c r="K4508" s="1">
        <v>0</v>
      </c>
    </row>
    <row r="4509" spans="1:11" x14ac:dyDescent="0.2">
      <c r="A4509" s="1" t="s">
        <v>98</v>
      </c>
      <c r="B4509" s="1" t="s">
        <v>4112</v>
      </c>
      <c r="C4509" s="1" t="str">
        <f>"66298941915655"</f>
        <v>66298941915655</v>
      </c>
      <c r="D4509" s="1" t="str">
        <f>"33M-12119-00GY"</f>
        <v>33M-12119-00GY</v>
      </c>
      <c r="E4509" s="1" t="s">
        <v>17</v>
      </c>
      <c r="F4509" s="1">
        <v>2</v>
      </c>
      <c r="G4509" s="1">
        <v>1203</v>
      </c>
      <c r="H4509" s="1">
        <v>2406</v>
      </c>
      <c r="I4509" s="1">
        <v>0</v>
      </c>
      <c r="J4509" s="1">
        <v>2</v>
      </c>
      <c r="K4509" s="1">
        <v>0</v>
      </c>
    </row>
    <row r="4510" spans="1:11" x14ac:dyDescent="0.2">
      <c r="A4510" s="1" t="s">
        <v>98</v>
      </c>
      <c r="B4510" s="1" t="s">
        <v>4113</v>
      </c>
      <c r="C4510" s="1" t="str">
        <f>"66298941963736"</f>
        <v>66298941963736</v>
      </c>
      <c r="D4510" s="1" t="str">
        <f>"12209-GB4-681JP"</f>
        <v>12209-GB4-681JP</v>
      </c>
      <c r="E4510" s="1" t="s">
        <v>17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</row>
    <row r="4511" spans="1:11" x14ac:dyDescent="0.2">
      <c r="A4511" s="1" t="s">
        <v>98</v>
      </c>
      <c r="B4511" s="1" t="s">
        <v>4114</v>
      </c>
      <c r="C4511" s="1" t="str">
        <f>"66298942014364"</f>
        <v>66298942014364</v>
      </c>
      <c r="D4511" s="1" t="str">
        <f>"12209-MN1-671JP"</f>
        <v>12209-MN1-671JP</v>
      </c>
      <c r="E4511" s="1" t="s">
        <v>17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</row>
    <row r="4512" spans="1:11" ht="30" x14ac:dyDescent="0.2">
      <c r="A4512" s="1" t="s">
        <v>98</v>
      </c>
      <c r="B4512" s="1" t="s">
        <v>4115</v>
      </c>
      <c r="C4512" s="1" t="str">
        <f>"66298942056942"</f>
        <v>66298942056942</v>
      </c>
      <c r="D4512" s="1" t="str">
        <f>"4LS-E2119-00JP"</f>
        <v>4LS-E2119-00JP</v>
      </c>
      <c r="E4512" s="1" t="s">
        <v>17</v>
      </c>
      <c r="F4512" s="1">
        <v>6</v>
      </c>
      <c r="G4512" s="1">
        <v>256</v>
      </c>
      <c r="H4512" s="1">
        <v>1536</v>
      </c>
      <c r="I4512" s="1">
        <v>0</v>
      </c>
      <c r="J4512" s="1">
        <v>6</v>
      </c>
      <c r="K4512" s="1">
        <v>0</v>
      </c>
    </row>
    <row r="4513" spans="1:11" x14ac:dyDescent="0.2">
      <c r="A4513" s="1" t="s">
        <v>4107</v>
      </c>
      <c r="B4513" s="1" t="s">
        <v>4116</v>
      </c>
      <c r="C4513" s="1" t="str">
        <f>"44BBN-J"</f>
        <v>44BBN-J</v>
      </c>
      <c r="D4513" s="1" t="str">
        <f>"44BBN-J"</f>
        <v>44BBN-J</v>
      </c>
      <c r="E4513" s="1" t="s">
        <v>17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</row>
    <row r="4514" spans="1:11" x14ac:dyDescent="0.2">
      <c r="A4514" s="1" t="s">
        <v>98</v>
      </c>
      <c r="B4514" s="1" t="s">
        <v>4117</v>
      </c>
      <c r="C4514" s="1" t="str">
        <f>"66298942100278"</f>
        <v>66298942100278</v>
      </c>
      <c r="D4514" s="1" t="str">
        <f>"LX180-F7-9"</f>
        <v>LX180-F7-9</v>
      </c>
      <c r="E4514" s="1" t="s">
        <v>17</v>
      </c>
      <c r="F4514" s="1">
        <v>1</v>
      </c>
      <c r="G4514" s="1">
        <v>4848</v>
      </c>
      <c r="H4514" s="1">
        <v>4848</v>
      </c>
      <c r="I4514" s="1">
        <v>0</v>
      </c>
      <c r="J4514" s="1">
        <v>1</v>
      </c>
      <c r="K4514" s="1">
        <v>0</v>
      </c>
    </row>
    <row r="4515" spans="1:11" x14ac:dyDescent="0.2">
      <c r="A4515" s="1" t="s">
        <v>98</v>
      </c>
      <c r="B4515" s="1" t="s">
        <v>4118</v>
      </c>
      <c r="C4515" s="1" t="str">
        <f>"66298942145949"</f>
        <v>66298942145949</v>
      </c>
      <c r="D4515" s="1" t="str">
        <f>"CD002"</f>
        <v>CD002</v>
      </c>
      <c r="E4515" s="1" t="s">
        <v>17</v>
      </c>
      <c r="F4515" s="1">
        <v>1</v>
      </c>
      <c r="G4515" s="1">
        <v>735</v>
      </c>
      <c r="H4515" s="1">
        <v>735</v>
      </c>
      <c r="I4515" s="1">
        <v>0</v>
      </c>
      <c r="J4515" s="1">
        <v>1</v>
      </c>
      <c r="K4515" s="1">
        <v>0</v>
      </c>
    </row>
    <row r="4516" spans="1:11" x14ac:dyDescent="0.2">
      <c r="A4516" s="1" t="s">
        <v>98</v>
      </c>
      <c r="B4516" s="1" t="s">
        <v>4119</v>
      </c>
      <c r="C4516" s="1" t="str">
        <f>"66298942185031"</f>
        <v>66298942185031</v>
      </c>
      <c r="D4516" s="1" t="str">
        <f>"83034"</f>
        <v>83034</v>
      </c>
      <c r="E4516" s="1" t="s">
        <v>17</v>
      </c>
      <c r="F4516" s="1">
        <v>6</v>
      </c>
      <c r="G4516" s="1">
        <v>548</v>
      </c>
      <c r="H4516" s="1">
        <v>3288</v>
      </c>
      <c r="I4516" s="1">
        <v>0</v>
      </c>
      <c r="J4516" s="1">
        <v>6</v>
      </c>
      <c r="K4516" s="1">
        <v>0</v>
      </c>
    </row>
    <row r="4517" spans="1:11" x14ac:dyDescent="0.2">
      <c r="A4517" s="1" t="s">
        <v>98</v>
      </c>
      <c r="B4517" s="1" t="s">
        <v>4120</v>
      </c>
      <c r="C4517" s="1" t="str">
        <f>"66298942224288"</f>
        <v>66298942224288</v>
      </c>
      <c r="D4517" s="1" t="str">
        <f>"84912"</f>
        <v>84912</v>
      </c>
      <c r="E4517" s="1" t="s">
        <v>17</v>
      </c>
      <c r="F4517" s="1">
        <v>12</v>
      </c>
      <c r="G4517" s="1">
        <v>664</v>
      </c>
      <c r="H4517" s="1">
        <v>7968</v>
      </c>
      <c r="I4517" s="1">
        <v>0</v>
      </c>
      <c r="J4517" s="1">
        <v>12</v>
      </c>
      <c r="K4517" s="1">
        <v>0</v>
      </c>
    </row>
    <row r="4518" spans="1:11" x14ac:dyDescent="0.2">
      <c r="A4518" s="1" t="s">
        <v>15</v>
      </c>
      <c r="B4518" s="1" t="s">
        <v>4121</v>
      </c>
      <c r="C4518" s="1" t="str">
        <f>"10503"</f>
        <v>10503</v>
      </c>
      <c r="D4518" s="1" t="str">
        <f>"10503"</f>
        <v>10503</v>
      </c>
      <c r="E4518" s="1" t="s">
        <v>17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</row>
    <row r="4519" spans="1:11" x14ac:dyDescent="0.2">
      <c r="A4519" s="1" t="s">
        <v>15</v>
      </c>
      <c r="B4519" s="1" t="s">
        <v>4122</v>
      </c>
      <c r="C4519" s="1" t="str">
        <f>"66298942265594"</f>
        <v>66298942265594</v>
      </c>
      <c r="D4519" s="1" t="str">
        <f>"H177"</f>
        <v>H177</v>
      </c>
      <c r="E4519" s="1" t="s">
        <v>17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</row>
    <row r="4520" spans="1:11" x14ac:dyDescent="0.2">
      <c r="A4520" s="1" t="s">
        <v>15</v>
      </c>
      <c r="B4520" s="1" t="s">
        <v>4123</v>
      </c>
      <c r="C4520" s="1" t="str">
        <f>"999"</f>
        <v>999</v>
      </c>
      <c r="D4520" s="1" t="str">
        <f>"999"</f>
        <v>999</v>
      </c>
      <c r="E4520" s="1" t="s">
        <v>17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</row>
    <row r="4521" spans="1:11" x14ac:dyDescent="0.2">
      <c r="A4521" s="1" t="s">
        <v>15</v>
      </c>
      <c r="B4521" s="1" t="s">
        <v>4124</v>
      </c>
      <c r="C4521" s="1" t="str">
        <f>"11738"</f>
        <v>11738</v>
      </c>
      <c r="D4521" s="1" t="str">
        <f>"11738"</f>
        <v>11738</v>
      </c>
      <c r="E4521" s="1" t="s">
        <v>17</v>
      </c>
      <c r="F4521" s="1">
        <v>37</v>
      </c>
      <c r="G4521" s="1">
        <v>2194</v>
      </c>
      <c r="H4521" s="1">
        <v>81178</v>
      </c>
      <c r="I4521" s="1">
        <v>0</v>
      </c>
      <c r="J4521" s="1">
        <v>37</v>
      </c>
      <c r="K4521" s="1">
        <v>0</v>
      </c>
    </row>
    <row r="4522" spans="1:11" x14ac:dyDescent="0.2">
      <c r="A4522" s="1" t="s">
        <v>15</v>
      </c>
      <c r="B4522" s="1" t="s">
        <v>4125</v>
      </c>
      <c r="C4522" s="1" t="str">
        <f>"11739"</f>
        <v>11739</v>
      </c>
      <c r="D4522" s="1" t="str">
        <f>"11739"</f>
        <v>11739</v>
      </c>
      <c r="E4522" s="1" t="s">
        <v>17</v>
      </c>
      <c r="F4522" s="1">
        <v>7</v>
      </c>
      <c r="G4522" s="1">
        <v>2184</v>
      </c>
      <c r="H4522" s="1">
        <v>15288</v>
      </c>
      <c r="I4522" s="1">
        <v>0</v>
      </c>
      <c r="J4522" s="1">
        <v>7</v>
      </c>
      <c r="K4522" s="1">
        <v>0</v>
      </c>
    </row>
    <row r="4523" spans="1:11" x14ac:dyDescent="0.2">
      <c r="A4523" s="1" t="s">
        <v>98</v>
      </c>
      <c r="B4523" s="1" t="s">
        <v>4126</v>
      </c>
      <c r="C4523" s="1" t="str">
        <f>"66298942304165"</f>
        <v>66298942304165</v>
      </c>
      <c r="D4523" s="1" t="str">
        <f>"569"</f>
        <v>569</v>
      </c>
      <c r="E4523" s="1" t="s">
        <v>17</v>
      </c>
      <c r="F4523" s="1">
        <v>8</v>
      </c>
      <c r="G4523" s="1">
        <v>1425</v>
      </c>
      <c r="H4523" s="1">
        <v>11400</v>
      </c>
      <c r="I4523" s="1">
        <v>0</v>
      </c>
      <c r="J4523" s="1">
        <v>8</v>
      </c>
      <c r="K4523" s="1">
        <v>0</v>
      </c>
    </row>
    <row r="4524" spans="1:11" x14ac:dyDescent="0.2">
      <c r="A4524" s="1" t="s">
        <v>98</v>
      </c>
      <c r="B4524" s="1" t="s">
        <v>4127</v>
      </c>
      <c r="C4524" s="1" t="str">
        <f>"66298942344793"</f>
        <v>66298942344793</v>
      </c>
      <c r="D4524" s="1" t="str">
        <f>"QB007"</f>
        <v>QB007</v>
      </c>
      <c r="E4524" s="1" t="s">
        <v>17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</row>
    <row r="4525" spans="1:11" x14ac:dyDescent="0.2">
      <c r="A4525" s="1" t="s">
        <v>98</v>
      </c>
      <c r="B4525" s="1" t="s">
        <v>4128</v>
      </c>
      <c r="C4525" s="1" t="str">
        <f>"66298942385060"</f>
        <v>66298942385060</v>
      </c>
      <c r="D4525" s="1" t="str">
        <f>"R035-B"</f>
        <v>R035-B</v>
      </c>
      <c r="E4525" s="1" t="s">
        <v>17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</row>
    <row r="4526" spans="1:11" x14ac:dyDescent="0.2">
      <c r="A4526" s="1" t="s">
        <v>204</v>
      </c>
      <c r="B4526" s="1" t="s">
        <v>4129</v>
      </c>
      <c r="C4526" s="1" t="str">
        <f>"66298942428893"</f>
        <v>66298942428893</v>
      </c>
      <c r="D4526" s="1" t="str">
        <f>"400974"</f>
        <v>400974</v>
      </c>
      <c r="E4526" s="1" t="s">
        <v>17</v>
      </c>
      <c r="F4526" s="1">
        <v>2</v>
      </c>
      <c r="G4526" s="1">
        <v>12899</v>
      </c>
      <c r="H4526" s="1">
        <v>25798</v>
      </c>
      <c r="I4526" s="1">
        <v>0</v>
      </c>
      <c r="J4526" s="1">
        <v>2</v>
      </c>
      <c r="K4526" s="1">
        <v>0</v>
      </c>
    </row>
    <row r="4527" spans="1:11" x14ac:dyDescent="0.2">
      <c r="A4527" s="1" t="s">
        <v>204</v>
      </c>
      <c r="B4527" s="1" t="s">
        <v>4130</v>
      </c>
      <c r="C4527" s="1" t="str">
        <f>"66298942536211"</f>
        <v>66298942536211</v>
      </c>
      <c r="D4527" s="1" t="str">
        <f>"400975"</f>
        <v>400975</v>
      </c>
      <c r="E4527" s="1" t="s">
        <v>17</v>
      </c>
      <c r="F4527" s="1">
        <v>19</v>
      </c>
      <c r="G4527" s="1">
        <v>2934</v>
      </c>
      <c r="H4527" s="1">
        <v>55746</v>
      </c>
      <c r="I4527" s="1">
        <v>0</v>
      </c>
      <c r="J4527" s="1">
        <v>19</v>
      </c>
      <c r="K4527" s="1">
        <v>0</v>
      </c>
    </row>
    <row r="4528" spans="1:11" x14ac:dyDescent="0.2">
      <c r="A4528" s="1" t="s">
        <v>204</v>
      </c>
      <c r="B4528" s="1" t="s">
        <v>4131</v>
      </c>
      <c r="C4528" s="1" t="str">
        <f>"66298942473027"</f>
        <v>66298942473027</v>
      </c>
      <c r="D4528" s="1" t="str">
        <f>"PP-30105-999"</f>
        <v>PP-30105-999</v>
      </c>
      <c r="E4528" s="1" t="s">
        <v>17</v>
      </c>
      <c r="F4528" s="1">
        <v>4</v>
      </c>
      <c r="G4528" s="1">
        <v>9217</v>
      </c>
      <c r="H4528" s="1">
        <v>36868</v>
      </c>
      <c r="I4528" s="1">
        <v>0</v>
      </c>
      <c r="J4528" s="1">
        <v>4</v>
      </c>
      <c r="K4528" s="1">
        <v>0</v>
      </c>
    </row>
    <row r="4529" spans="1:11" x14ac:dyDescent="0.2">
      <c r="A4529" s="1" t="s">
        <v>204</v>
      </c>
      <c r="B4529" s="1" t="s">
        <v>4131</v>
      </c>
      <c r="C4529" s="1" t="str">
        <f>"66298942478951"</f>
        <v>66298942478951</v>
      </c>
      <c r="D4529" s="1" t="str">
        <f>"M112"</f>
        <v>M112</v>
      </c>
      <c r="E4529" s="1" t="s">
        <v>17</v>
      </c>
      <c r="F4529" s="1">
        <v>9</v>
      </c>
      <c r="G4529" s="1">
        <v>4000</v>
      </c>
      <c r="H4529" s="1">
        <v>36000</v>
      </c>
      <c r="I4529" s="1">
        <v>0</v>
      </c>
      <c r="J4529" s="1">
        <v>9</v>
      </c>
      <c r="K4529" s="1">
        <v>0</v>
      </c>
    </row>
    <row r="4530" spans="1:11" x14ac:dyDescent="0.2">
      <c r="A4530" s="1" t="s">
        <v>204</v>
      </c>
      <c r="B4530" s="1" t="s">
        <v>4132</v>
      </c>
      <c r="C4530" s="1" t="str">
        <f>"66298942578586"</f>
        <v>66298942578586</v>
      </c>
      <c r="D4530" s="1" t="str">
        <f>"400976"</f>
        <v>400976</v>
      </c>
      <c r="E4530" s="1" t="s">
        <v>17</v>
      </c>
      <c r="F4530" s="1">
        <v>6</v>
      </c>
      <c r="G4530" s="1">
        <v>3647</v>
      </c>
      <c r="H4530" s="1">
        <v>21882</v>
      </c>
      <c r="I4530" s="1">
        <v>0</v>
      </c>
      <c r="J4530" s="1">
        <v>6</v>
      </c>
      <c r="K4530" s="1">
        <v>0</v>
      </c>
    </row>
    <row r="4531" spans="1:11" x14ac:dyDescent="0.2">
      <c r="A4531" s="1" t="s">
        <v>2291</v>
      </c>
      <c r="B4531" s="1" t="s">
        <v>4133</v>
      </c>
      <c r="C4531" s="1" t="str">
        <f>"66298942618895"</f>
        <v>66298942618895</v>
      </c>
      <c r="D4531" s="1" t="str">
        <f>"R019"</f>
        <v>R019</v>
      </c>
      <c r="E4531" s="1" t="s">
        <v>17</v>
      </c>
      <c r="F4531" s="1">
        <v>5</v>
      </c>
      <c r="G4531" s="1">
        <v>1349</v>
      </c>
      <c r="H4531" s="1">
        <v>6745</v>
      </c>
      <c r="I4531" s="1">
        <v>0</v>
      </c>
      <c r="J4531" s="1">
        <v>5</v>
      </c>
      <c r="K4531" s="1">
        <v>0</v>
      </c>
    </row>
    <row r="4532" spans="1:11" x14ac:dyDescent="0.2">
      <c r="A4532" s="1" t="s">
        <v>18</v>
      </c>
      <c r="B4532" s="1" t="s">
        <v>4134</v>
      </c>
      <c r="C4532" s="1" t="str">
        <f>"2513"</f>
        <v>2513</v>
      </c>
      <c r="D4532" s="1" t="str">
        <f>"2513"</f>
        <v>2513</v>
      </c>
      <c r="E4532" s="1" t="s">
        <v>17</v>
      </c>
      <c r="F4532" s="1">
        <v>18</v>
      </c>
      <c r="G4532" s="1">
        <v>1827.5</v>
      </c>
      <c r="H4532" s="1">
        <v>32895</v>
      </c>
      <c r="I4532" s="1">
        <v>0</v>
      </c>
      <c r="J4532" s="1">
        <v>18</v>
      </c>
      <c r="K4532" s="1">
        <v>0</v>
      </c>
    </row>
    <row r="4533" spans="1:11" x14ac:dyDescent="0.2">
      <c r="A4533" s="1" t="s">
        <v>3441</v>
      </c>
      <c r="B4533" s="1" t="s">
        <v>4135</v>
      </c>
      <c r="C4533" s="1" t="str">
        <f>"66298942660722"</f>
        <v>66298942660722</v>
      </c>
      <c r="D4533" s="1" t="str">
        <f>"80909"</f>
        <v>80909</v>
      </c>
      <c r="E4533" s="1" t="s">
        <v>17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</row>
    <row r="4534" spans="1:11" x14ac:dyDescent="0.2">
      <c r="A4534" s="1" t="s">
        <v>1413</v>
      </c>
      <c r="B4534" s="1" t="s">
        <v>4136</v>
      </c>
      <c r="C4534" s="1" t="str">
        <f>"B97F1640000"</f>
        <v>B97F1640000</v>
      </c>
      <c r="D4534" s="1" t="str">
        <f>"B97F1640000"</f>
        <v>B97F1640000</v>
      </c>
      <c r="E4534" s="1" t="s">
        <v>17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</row>
    <row r="4535" spans="1:11" x14ac:dyDescent="0.2">
      <c r="A4535" s="1" t="s">
        <v>98</v>
      </c>
      <c r="B4535" s="1" t="s">
        <v>4137</v>
      </c>
      <c r="C4535" s="1" t="str">
        <f>"66298942707037"</f>
        <v>66298942707037</v>
      </c>
      <c r="D4535" s="1" t="str">
        <f>"Y295"</f>
        <v>Y295</v>
      </c>
      <c r="E4535" s="1" t="s">
        <v>17</v>
      </c>
      <c r="F4535" s="1">
        <v>4</v>
      </c>
      <c r="G4535" s="1">
        <v>3555</v>
      </c>
      <c r="H4535" s="1">
        <v>14220</v>
      </c>
      <c r="I4535" s="1">
        <v>0</v>
      </c>
      <c r="J4535" s="1">
        <v>4</v>
      </c>
      <c r="K4535" s="1">
        <v>0</v>
      </c>
    </row>
    <row r="4536" spans="1:11" x14ac:dyDescent="0.2">
      <c r="A4536" s="1" t="s">
        <v>3441</v>
      </c>
      <c r="B4536" s="1" t="s">
        <v>4138</v>
      </c>
      <c r="C4536" s="1" t="str">
        <f>"66298942747220"</f>
        <v>66298942747220</v>
      </c>
      <c r="D4536" s="1" t="str">
        <f>"84898"</f>
        <v>84898</v>
      </c>
      <c r="E4536" s="1" t="s">
        <v>17</v>
      </c>
      <c r="F4536" s="1">
        <v>1</v>
      </c>
      <c r="G4536" s="1">
        <v>5410</v>
      </c>
      <c r="H4536" s="1">
        <v>5410</v>
      </c>
      <c r="I4536" s="1">
        <v>0</v>
      </c>
      <c r="J4536" s="1">
        <v>1</v>
      </c>
      <c r="K4536" s="1">
        <v>0</v>
      </c>
    </row>
    <row r="4537" spans="1:11" x14ac:dyDescent="0.2">
      <c r="A4537" s="1" t="s">
        <v>15</v>
      </c>
      <c r="B4537" s="1" t="s">
        <v>4139</v>
      </c>
      <c r="C4537" s="1" t="str">
        <f>"66298942788554"</f>
        <v>66298942788554</v>
      </c>
      <c r="D4537" s="1" t="str">
        <f>"7836"</f>
        <v>7836</v>
      </c>
      <c r="E4537" s="1" t="s">
        <v>17</v>
      </c>
      <c r="F4537" s="1">
        <v>4</v>
      </c>
      <c r="G4537" s="1">
        <v>1</v>
      </c>
      <c r="H4537" s="1">
        <v>4</v>
      </c>
      <c r="I4537" s="1">
        <v>0</v>
      </c>
      <c r="J4537" s="1">
        <v>4</v>
      </c>
      <c r="K4537" s="1">
        <v>0</v>
      </c>
    </row>
    <row r="4538" spans="1:11" x14ac:dyDescent="0.2">
      <c r="A4538" s="1" t="s">
        <v>15</v>
      </c>
      <c r="B4538" s="1" t="s">
        <v>4140</v>
      </c>
      <c r="C4538" s="1" t="str">
        <f>"66298942834150"</f>
        <v>66298942834150</v>
      </c>
      <c r="D4538" s="1" t="str">
        <f>"1612"</f>
        <v>1612</v>
      </c>
      <c r="E4538" s="1" t="s">
        <v>17</v>
      </c>
      <c r="F4538" s="1">
        <v>8</v>
      </c>
      <c r="G4538" s="1">
        <v>1</v>
      </c>
      <c r="H4538" s="1">
        <v>8</v>
      </c>
      <c r="I4538" s="1">
        <v>0</v>
      </c>
      <c r="J4538" s="1">
        <v>8</v>
      </c>
      <c r="K4538" s="1">
        <v>0</v>
      </c>
    </row>
    <row r="4539" spans="1:11" x14ac:dyDescent="0.2">
      <c r="A4539" s="1" t="s">
        <v>15</v>
      </c>
      <c r="B4539" s="1" t="s">
        <v>4141</v>
      </c>
      <c r="C4539" s="1" t="str">
        <f>"11630"</f>
        <v>11630</v>
      </c>
      <c r="D4539" s="1" t="str">
        <f>"11630"</f>
        <v>11630</v>
      </c>
      <c r="E4539" s="1" t="s">
        <v>17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</row>
    <row r="4540" spans="1:11" x14ac:dyDescent="0.2">
      <c r="A4540" s="1" t="s">
        <v>15</v>
      </c>
      <c r="B4540" s="1" t="s">
        <v>4142</v>
      </c>
      <c r="C4540" s="1" t="str">
        <f>"800649"</f>
        <v>800649</v>
      </c>
      <c r="D4540" s="1" t="str">
        <f>"800649"</f>
        <v>800649</v>
      </c>
      <c r="E4540" s="1" t="s">
        <v>17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</row>
    <row r="4541" spans="1:11" x14ac:dyDescent="0.2">
      <c r="A4541" s="1" t="s">
        <v>15</v>
      </c>
      <c r="B4541" s="1" t="s">
        <v>4143</v>
      </c>
      <c r="C4541" s="1" t="str">
        <f>"66298942873927"</f>
        <v>66298942873927</v>
      </c>
      <c r="D4541" s="1" t="str">
        <f>"1602"</f>
        <v>1602</v>
      </c>
      <c r="E4541" s="1" t="s">
        <v>17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</row>
    <row r="4542" spans="1:11" x14ac:dyDescent="0.2">
      <c r="A4542" s="1" t="s">
        <v>15</v>
      </c>
      <c r="B4542" s="1" t="s">
        <v>4144</v>
      </c>
      <c r="C4542" s="1" t="str">
        <f>"RPP9007ZPC"</f>
        <v>RPP9007ZPC</v>
      </c>
      <c r="D4542" s="1" t="str">
        <f>"RPP9007ZPC"</f>
        <v>RPP9007ZPC</v>
      </c>
      <c r="E4542" s="1" t="s">
        <v>17</v>
      </c>
      <c r="F4542" s="1">
        <v>5</v>
      </c>
      <c r="G4542" s="1">
        <v>4064.25</v>
      </c>
      <c r="H4542" s="1">
        <v>20321</v>
      </c>
      <c r="I4542" s="1">
        <v>0</v>
      </c>
      <c r="J4542" s="1">
        <v>5</v>
      </c>
      <c r="K4542" s="1">
        <v>0</v>
      </c>
    </row>
    <row r="4543" spans="1:11" x14ac:dyDescent="0.2">
      <c r="A4543" s="1" t="s">
        <v>15</v>
      </c>
      <c r="B4543" s="1" t="s">
        <v>4145</v>
      </c>
      <c r="C4543" s="1" t="str">
        <f>"66298942914550"</f>
        <v>66298942914550</v>
      </c>
      <c r="D4543" s="1" t="str">
        <f>"716C98"</f>
        <v>716C98</v>
      </c>
      <c r="E4543" s="1" t="s">
        <v>17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</row>
    <row r="4544" spans="1:11" x14ac:dyDescent="0.2">
      <c r="A4544" s="1" t="s">
        <v>15</v>
      </c>
      <c r="B4544" s="1" t="s">
        <v>4146</v>
      </c>
      <c r="C4544" s="1" t="str">
        <f>"12147"</f>
        <v>12147</v>
      </c>
      <c r="D4544" s="1" t="str">
        <f>"12147"</f>
        <v>12147</v>
      </c>
      <c r="E4544" s="1" t="s">
        <v>17</v>
      </c>
      <c r="F4544" s="1">
        <v>4</v>
      </c>
      <c r="G4544" s="1">
        <v>2114</v>
      </c>
      <c r="H4544" s="1">
        <v>8456</v>
      </c>
      <c r="I4544" s="1">
        <v>0</v>
      </c>
      <c r="J4544" s="1">
        <v>4</v>
      </c>
      <c r="K4544" s="1">
        <v>0</v>
      </c>
    </row>
    <row r="4545" spans="1:11" x14ac:dyDescent="0.2">
      <c r="A4545" s="1" t="s">
        <v>15</v>
      </c>
      <c r="B4545" s="1" t="s">
        <v>4147</v>
      </c>
      <c r="C4545" s="1" t="str">
        <f>"H047"</f>
        <v>H047</v>
      </c>
      <c r="D4545" s="1" t="str">
        <f>"H047"</f>
        <v>H047</v>
      </c>
      <c r="E4545" s="1" t="s">
        <v>17</v>
      </c>
      <c r="F4545" s="1">
        <v>6</v>
      </c>
      <c r="G4545" s="1">
        <v>1598.4</v>
      </c>
      <c r="H4545" s="1">
        <v>9590</v>
      </c>
      <c r="I4545" s="1">
        <v>0</v>
      </c>
      <c r="J4545" s="1">
        <v>6</v>
      </c>
      <c r="K4545" s="1">
        <v>0</v>
      </c>
    </row>
    <row r="4546" spans="1:11" x14ac:dyDescent="0.2">
      <c r="A4546" s="1" t="s">
        <v>15</v>
      </c>
      <c r="B4546" s="1" t="s">
        <v>4148</v>
      </c>
      <c r="C4546" s="1" t="str">
        <f>"66298942958238"</f>
        <v>66298942958238</v>
      </c>
      <c r="D4546" s="1" t="str">
        <f>"702003"</f>
        <v>702003</v>
      </c>
      <c r="E4546" s="1" t="s">
        <v>17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</row>
    <row r="4547" spans="1:11" x14ac:dyDescent="0.2">
      <c r="A4547" s="1" t="s">
        <v>15</v>
      </c>
      <c r="B4547" s="1" t="s">
        <v>4149</v>
      </c>
      <c r="C4547" s="1" t="str">
        <f>"66298942997297"</f>
        <v>66298942997297</v>
      </c>
      <c r="D4547" s="1" t="str">
        <f>"3394"</f>
        <v>3394</v>
      </c>
      <c r="E4547" s="1" t="s">
        <v>17</v>
      </c>
      <c r="F4547" s="1">
        <v>9</v>
      </c>
      <c r="G4547" s="1">
        <v>1990</v>
      </c>
      <c r="H4547" s="1">
        <v>17910</v>
      </c>
      <c r="I4547" s="1">
        <v>0</v>
      </c>
      <c r="J4547" s="1">
        <v>9</v>
      </c>
      <c r="K4547" s="1">
        <v>0</v>
      </c>
    </row>
    <row r="4548" spans="1:11" x14ac:dyDescent="0.2">
      <c r="A4548" s="1" t="s">
        <v>15</v>
      </c>
      <c r="B4548" s="1" t="s">
        <v>4150</v>
      </c>
      <c r="C4548" s="1" t="str">
        <f>"11609"</f>
        <v>11609</v>
      </c>
      <c r="D4548" s="1" t="str">
        <f>"11609"</f>
        <v>11609</v>
      </c>
      <c r="E4548" s="1" t="s">
        <v>17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</row>
    <row r="4549" spans="1:11" x14ac:dyDescent="0.2">
      <c r="A4549" s="1" t="s">
        <v>15</v>
      </c>
      <c r="B4549" s="1" t="s">
        <v>4151</v>
      </c>
      <c r="C4549" s="1" t="str">
        <f>"11962"</f>
        <v>11962</v>
      </c>
      <c r="D4549" s="1" t="str">
        <f>"11962"</f>
        <v>11962</v>
      </c>
      <c r="E4549" s="1" t="s">
        <v>17</v>
      </c>
      <c r="F4549" s="1">
        <v>11</v>
      </c>
      <c r="G4549" s="1">
        <v>3880</v>
      </c>
      <c r="H4549" s="1">
        <v>42680</v>
      </c>
      <c r="I4549" s="1">
        <v>0</v>
      </c>
      <c r="J4549" s="1">
        <v>11</v>
      </c>
      <c r="K4549" s="1">
        <v>0</v>
      </c>
    </row>
    <row r="4550" spans="1:11" x14ac:dyDescent="0.2">
      <c r="A4550" s="1" t="s">
        <v>15</v>
      </c>
      <c r="B4550" s="1" t="s">
        <v>4152</v>
      </c>
      <c r="C4550" s="1" t="str">
        <f>"66298943038571"</f>
        <v>66298943038571</v>
      </c>
      <c r="D4550" s="1" t="str">
        <f>"800657"</f>
        <v>800657</v>
      </c>
      <c r="E4550" s="1" t="s">
        <v>17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</row>
    <row r="4551" spans="1:11" x14ac:dyDescent="0.2">
      <c r="A4551" s="1" t="s">
        <v>15</v>
      </c>
      <c r="B4551" s="1" t="s">
        <v>4153</v>
      </c>
      <c r="C4551" s="1" t="str">
        <f>"66298943078471"</f>
        <v>66298943078471</v>
      </c>
      <c r="D4551" s="1" t="str">
        <f>"1579"</f>
        <v>1579</v>
      </c>
      <c r="E4551" s="1" t="s">
        <v>17</v>
      </c>
      <c r="F4551" s="1">
        <v>12</v>
      </c>
      <c r="G4551" s="1">
        <v>11571</v>
      </c>
      <c r="H4551" s="1">
        <v>138852</v>
      </c>
      <c r="I4551" s="1">
        <v>0</v>
      </c>
      <c r="J4551" s="1">
        <v>12</v>
      </c>
      <c r="K4551" s="1">
        <v>0</v>
      </c>
    </row>
    <row r="4552" spans="1:11" x14ac:dyDescent="0.2">
      <c r="A4552" s="1" t="s">
        <v>15</v>
      </c>
      <c r="B4552" s="1" t="s">
        <v>4154</v>
      </c>
      <c r="C4552" s="1" t="str">
        <f>"11627"</f>
        <v>11627</v>
      </c>
      <c r="D4552" s="1" t="str">
        <f>"11627"</f>
        <v>11627</v>
      </c>
      <c r="E4552" s="1" t="s">
        <v>17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</row>
    <row r="4553" spans="1:11" x14ac:dyDescent="0.2">
      <c r="A4553" s="1" t="s">
        <v>15</v>
      </c>
      <c r="B4553" s="1" t="s">
        <v>4155</v>
      </c>
      <c r="C4553" s="1" t="str">
        <f>"18524"</f>
        <v>18524</v>
      </c>
      <c r="D4553" s="1" t="str">
        <f>"18524"</f>
        <v>18524</v>
      </c>
      <c r="E4553" s="1" t="s">
        <v>17</v>
      </c>
      <c r="F4553" s="1">
        <v>5</v>
      </c>
      <c r="G4553" s="1">
        <v>1799</v>
      </c>
      <c r="H4553" s="1">
        <v>8995</v>
      </c>
      <c r="I4553" s="1">
        <v>0</v>
      </c>
      <c r="J4553" s="1">
        <v>5</v>
      </c>
      <c r="K4553" s="1">
        <v>0</v>
      </c>
    </row>
    <row r="4554" spans="1:11" x14ac:dyDescent="0.2">
      <c r="A4554" s="1" t="s">
        <v>98</v>
      </c>
      <c r="B4554" s="1" t="s">
        <v>4156</v>
      </c>
      <c r="C4554" s="1" t="str">
        <f>"66298943120254"</f>
        <v>66298943120254</v>
      </c>
      <c r="D4554" s="1" t="str">
        <f>"81771"</f>
        <v>81771</v>
      </c>
      <c r="E4554" s="1" t="s">
        <v>17</v>
      </c>
      <c r="F4554" s="1">
        <v>16</v>
      </c>
      <c r="G4554" s="1">
        <v>113</v>
      </c>
      <c r="H4554" s="1">
        <v>1808</v>
      </c>
      <c r="I4554" s="1">
        <v>0</v>
      </c>
      <c r="J4554" s="1">
        <v>16</v>
      </c>
      <c r="K4554" s="1">
        <v>0</v>
      </c>
    </row>
    <row r="4555" spans="1:11" x14ac:dyDescent="0.2">
      <c r="A4555" s="1" t="s">
        <v>98</v>
      </c>
      <c r="B4555" s="1" t="s">
        <v>4157</v>
      </c>
      <c r="C4555" s="1" t="str">
        <f>"66298943172358"</f>
        <v>66298943172358</v>
      </c>
      <c r="D4555" s="1" t="str">
        <f>"QH002"</f>
        <v>QH002</v>
      </c>
      <c r="E4555" s="1" t="s">
        <v>17</v>
      </c>
      <c r="F4555" s="1">
        <v>6</v>
      </c>
      <c r="G4555" s="1">
        <v>270</v>
      </c>
      <c r="H4555" s="1">
        <v>1620</v>
      </c>
      <c r="I4555" s="1">
        <v>0</v>
      </c>
      <c r="J4555" s="1">
        <v>6</v>
      </c>
      <c r="K4555" s="1">
        <v>0</v>
      </c>
    </row>
    <row r="4556" spans="1:11" x14ac:dyDescent="0.2">
      <c r="A4556" s="1" t="s">
        <v>98</v>
      </c>
      <c r="B4556" s="1" t="s">
        <v>4158</v>
      </c>
      <c r="C4556" s="1" t="str">
        <f>"66298943228023"</f>
        <v>66298943228023</v>
      </c>
      <c r="D4556" s="1" t="str">
        <f>"2FB-H2917-00"</f>
        <v>2FB-H2917-00</v>
      </c>
      <c r="E4556" s="1" t="s">
        <v>17</v>
      </c>
      <c r="F4556" s="1">
        <v>1</v>
      </c>
      <c r="G4556" s="1">
        <v>2129</v>
      </c>
      <c r="H4556" s="1">
        <v>2129</v>
      </c>
      <c r="I4556" s="1">
        <v>0</v>
      </c>
      <c r="J4556" s="1">
        <v>1</v>
      </c>
      <c r="K4556" s="1">
        <v>0</v>
      </c>
    </row>
    <row r="4557" spans="1:11" x14ac:dyDescent="0.2">
      <c r="A4557" s="1" t="s">
        <v>98</v>
      </c>
      <c r="B4557" s="1" t="s">
        <v>4159</v>
      </c>
      <c r="C4557" s="1" t="str">
        <f>"66298943275647"</f>
        <v>66298943275647</v>
      </c>
      <c r="D4557" s="1" t="str">
        <f>"80310"</f>
        <v>80310</v>
      </c>
      <c r="E4557" s="1" t="s">
        <v>17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</row>
    <row r="4558" spans="1:11" x14ac:dyDescent="0.2">
      <c r="A4558" s="1" t="s">
        <v>98</v>
      </c>
      <c r="B4558" s="1" t="s">
        <v>4160</v>
      </c>
      <c r="C4558" s="1" t="str">
        <f>"66298943319692"</f>
        <v>66298943319692</v>
      </c>
      <c r="D4558" s="1" t="str">
        <f>"QH001"</f>
        <v>QH001</v>
      </c>
      <c r="E4558" s="1" t="s">
        <v>17</v>
      </c>
      <c r="F4558" s="1">
        <v>4</v>
      </c>
      <c r="G4558" s="1">
        <v>270</v>
      </c>
      <c r="H4558" s="1">
        <v>1080</v>
      </c>
      <c r="I4558" s="1">
        <v>0</v>
      </c>
      <c r="J4558" s="1">
        <v>4</v>
      </c>
      <c r="K4558" s="1">
        <v>0</v>
      </c>
    </row>
    <row r="4559" spans="1:11" x14ac:dyDescent="0.2">
      <c r="A4559" s="1" t="s">
        <v>98</v>
      </c>
      <c r="B4559" s="1" t="s">
        <v>4161</v>
      </c>
      <c r="C4559" s="1" t="str">
        <f>"66298943361183"</f>
        <v>66298943361183</v>
      </c>
      <c r="D4559" s="1" t="str">
        <f>"80312"</f>
        <v>80312</v>
      </c>
      <c r="E4559" s="1" t="s">
        <v>17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</row>
    <row r="4560" spans="1:11" x14ac:dyDescent="0.2">
      <c r="A4560" s="1" t="s">
        <v>98</v>
      </c>
      <c r="B4560" s="1" t="s">
        <v>4162</v>
      </c>
      <c r="C4560" s="1" t="str">
        <f>"66298943610666"</f>
        <v>66298943610666</v>
      </c>
      <c r="D4560" s="1" t="str">
        <f>"BG001"</f>
        <v>BG001</v>
      </c>
      <c r="E4560" s="1" t="s">
        <v>17</v>
      </c>
      <c r="F4560" s="1">
        <v>1</v>
      </c>
      <c r="G4560" s="1">
        <v>828</v>
      </c>
      <c r="H4560" s="1">
        <v>828</v>
      </c>
      <c r="I4560" s="1">
        <v>0</v>
      </c>
      <c r="J4560" s="1">
        <v>1</v>
      </c>
      <c r="K4560" s="1">
        <v>0</v>
      </c>
    </row>
    <row r="4561" spans="1:11" x14ac:dyDescent="0.2">
      <c r="A4561" s="1" t="s">
        <v>4163</v>
      </c>
      <c r="B4561" s="1" t="s">
        <v>4162</v>
      </c>
      <c r="C4561" s="1" t="str">
        <f>"QG007"</f>
        <v>QG007</v>
      </c>
      <c r="D4561" s="1" t="str">
        <f>"QG007"</f>
        <v>QG007</v>
      </c>
      <c r="E4561" s="1" t="s">
        <v>17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</row>
    <row r="4562" spans="1:11" x14ac:dyDescent="0.2">
      <c r="A4562" s="1" t="s">
        <v>98</v>
      </c>
      <c r="B4562" s="1" t="s">
        <v>4164</v>
      </c>
      <c r="C4562" s="1" t="str">
        <f>"66298943404653"</f>
        <v>66298943404653</v>
      </c>
      <c r="D4562" s="1" t="str">
        <f>"BG002"</f>
        <v>BG002</v>
      </c>
      <c r="E4562" s="1" t="s">
        <v>17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</row>
    <row r="4563" spans="1:11" x14ac:dyDescent="0.2">
      <c r="A4563" s="1" t="s">
        <v>98</v>
      </c>
      <c r="B4563" s="1" t="s">
        <v>4165</v>
      </c>
      <c r="C4563" s="1" t="str">
        <f>"66298943445925"</f>
        <v>66298943445925</v>
      </c>
      <c r="D4563" s="1" t="str">
        <f>"80313"</f>
        <v>80313</v>
      </c>
      <c r="E4563" s="1" t="s">
        <v>17</v>
      </c>
      <c r="F4563" s="1">
        <v>4</v>
      </c>
      <c r="G4563" s="1">
        <v>420</v>
      </c>
      <c r="H4563" s="1">
        <v>1680</v>
      </c>
      <c r="I4563" s="1">
        <v>0</v>
      </c>
      <c r="J4563" s="1">
        <v>4</v>
      </c>
      <c r="K4563" s="1">
        <v>0</v>
      </c>
    </row>
    <row r="4564" spans="1:11" x14ac:dyDescent="0.2">
      <c r="A4564" s="1" t="s">
        <v>98</v>
      </c>
      <c r="B4564" s="1" t="s">
        <v>4166</v>
      </c>
      <c r="C4564" s="1" t="str">
        <f>"66298943486698"</f>
        <v>66298943486698</v>
      </c>
      <c r="D4564" s="1" t="str">
        <f>"QH003"</f>
        <v>QH003</v>
      </c>
      <c r="E4564" s="1" t="s">
        <v>17</v>
      </c>
      <c r="F4564" s="1">
        <v>3</v>
      </c>
      <c r="G4564" s="1">
        <v>642</v>
      </c>
      <c r="H4564" s="1">
        <v>1926</v>
      </c>
      <c r="I4564" s="1">
        <v>0</v>
      </c>
      <c r="J4564" s="1">
        <v>3</v>
      </c>
      <c r="K4564" s="1">
        <v>0</v>
      </c>
    </row>
    <row r="4565" spans="1:11" x14ac:dyDescent="0.2">
      <c r="A4565" s="1" t="s">
        <v>98</v>
      </c>
      <c r="B4565" s="1" t="s">
        <v>4167</v>
      </c>
      <c r="C4565" s="1" t="str">
        <f>"66298943565420"</f>
        <v>66298943565420</v>
      </c>
      <c r="D4565" s="1" t="str">
        <f>"BG005"</f>
        <v>BG005</v>
      </c>
      <c r="E4565" s="1" t="s">
        <v>17</v>
      </c>
      <c r="F4565" s="1">
        <v>1</v>
      </c>
      <c r="G4565" s="1">
        <v>2316</v>
      </c>
      <c r="H4565" s="1">
        <v>2316</v>
      </c>
      <c r="I4565" s="1">
        <v>0</v>
      </c>
      <c r="J4565" s="1">
        <v>1</v>
      </c>
      <c r="K4565" s="1">
        <v>0</v>
      </c>
    </row>
    <row r="4566" spans="1:11" x14ac:dyDescent="0.2">
      <c r="A4566" s="1" t="s">
        <v>98</v>
      </c>
      <c r="B4566" s="1" t="s">
        <v>4168</v>
      </c>
      <c r="C4566" s="1" t="str">
        <f>"66298943522776"</f>
        <v>66298943522776</v>
      </c>
      <c r="D4566" s="1" t="str">
        <f>"BG006"</f>
        <v>BG006</v>
      </c>
      <c r="E4566" s="1" t="s">
        <v>17</v>
      </c>
      <c r="F4566" s="1">
        <v>2</v>
      </c>
      <c r="G4566" s="1">
        <v>2316</v>
      </c>
      <c r="H4566" s="1">
        <v>4632</v>
      </c>
      <c r="I4566" s="1">
        <v>0</v>
      </c>
      <c r="J4566" s="1">
        <v>2</v>
      </c>
      <c r="K4566" s="1">
        <v>0</v>
      </c>
    </row>
    <row r="4567" spans="1:11" x14ac:dyDescent="0.2">
      <c r="A4567" s="1" t="s">
        <v>4169</v>
      </c>
      <c r="B4567" s="1" t="s">
        <v>4170</v>
      </c>
      <c r="C4567" s="1" t="str">
        <f>"82852"</f>
        <v>82852</v>
      </c>
      <c r="D4567" s="1" t="str">
        <f>"82852"</f>
        <v>82852</v>
      </c>
      <c r="E4567" s="1" t="s">
        <v>17</v>
      </c>
      <c r="F4567" s="1">
        <v>3</v>
      </c>
      <c r="G4567" s="1">
        <v>576</v>
      </c>
      <c r="H4567" s="1">
        <v>1728</v>
      </c>
      <c r="I4567" s="1">
        <v>0</v>
      </c>
      <c r="J4567" s="1">
        <v>3</v>
      </c>
      <c r="K4567" s="1">
        <v>0</v>
      </c>
    </row>
    <row r="4568" spans="1:11" x14ac:dyDescent="0.2">
      <c r="A4568" s="1" t="s">
        <v>4169</v>
      </c>
      <c r="B4568" s="1" t="s">
        <v>4171</v>
      </c>
      <c r="C4568" s="1" t="str">
        <f>"SWITCH-CR"</f>
        <v>SWITCH-CR</v>
      </c>
      <c r="D4568" s="1" t="str">
        <f>"SWITCH-CR"</f>
        <v>SWITCH-CR</v>
      </c>
      <c r="E4568" s="1" t="s">
        <v>17</v>
      </c>
      <c r="F4568" s="1">
        <v>19</v>
      </c>
      <c r="G4568" s="1">
        <v>239.49</v>
      </c>
      <c r="H4568" s="1">
        <v>4550</v>
      </c>
      <c r="I4568" s="1">
        <v>0</v>
      </c>
      <c r="J4568" s="1">
        <v>19</v>
      </c>
      <c r="K4568" s="1">
        <v>0</v>
      </c>
    </row>
    <row r="4569" spans="1:11" x14ac:dyDescent="0.2">
      <c r="A4569" s="1" t="s">
        <v>4163</v>
      </c>
      <c r="B4569" s="1" t="s">
        <v>4171</v>
      </c>
      <c r="C4569" s="1" t="str">
        <f>"80311"</f>
        <v>80311</v>
      </c>
      <c r="D4569" s="1" t="str">
        <f>"80311"</f>
        <v>80311</v>
      </c>
      <c r="E4569" s="1" t="s">
        <v>17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</row>
    <row r="4570" spans="1:11" x14ac:dyDescent="0.2">
      <c r="A4570" s="1" t="s">
        <v>98</v>
      </c>
      <c r="B4570" s="1" t="s">
        <v>4172</v>
      </c>
      <c r="C4570" s="1" t="str">
        <f>"66298943650584"</f>
        <v>66298943650584</v>
      </c>
      <c r="D4570" s="1" t="str">
        <f>"400445"</f>
        <v>400445</v>
      </c>
      <c r="E4570" s="1" t="s">
        <v>17</v>
      </c>
      <c r="F4570" s="1">
        <v>81</v>
      </c>
      <c r="G4570" s="1">
        <v>143</v>
      </c>
      <c r="H4570" s="1">
        <v>11583</v>
      </c>
      <c r="I4570" s="1">
        <v>0</v>
      </c>
      <c r="J4570" s="1">
        <v>81</v>
      </c>
      <c r="K4570" s="1">
        <v>0</v>
      </c>
    </row>
    <row r="4571" spans="1:11" x14ac:dyDescent="0.2">
      <c r="A4571" s="1" t="s">
        <v>98</v>
      </c>
      <c r="B4571" s="1" t="s">
        <v>4173</v>
      </c>
      <c r="C4571" s="1" t="str">
        <f>"66298943687679"</f>
        <v>66298943687679</v>
      </c>
      <c r="D4571" s="1" t="str">
        <f>"35750-GS3-003JP"</f>
        <v>35750-GS3-003JP</v>
      </c>
      <c r="E4571" s="1" t="s">
        <v>17</v>
      </c>
      <c r="F4571" s="1">
        <v>6</v>
      </c>
      <c r="G4571" s="1">
        <v>855</v>
      </c>
      <c r="H4571" s="1">
        <v>5130</v>
      </c>
      <c r="I4571" s="1">
        <v>0</v>
      </c>
      <c r="J4571" s="1">
        <v>6</v>
      </c>
      <c r="K4571" s="1">
        <v>0</v>
      </c>
    </row>
    <row r="4572" spans="1:11" x14ac:dyDescent="0.2">
      <c r="A4572" s="1" t="s">
        <v>4174</v>
      </c>
      <c r="B4572" s="1" t="s">
        <v>4175</v>
      </c>
      <c r="C4572" s="1" t="str">
        <f>"66298943727021"</f>
        <v>66298943727021</v>
      </c>
      <c r="D4572" s="1" t="str">
        <f>"49CC03"</f>
        <v>49CC03</v>
      </c>
      <c r="E4572" s="1" t="s">
        <v>17</v>
      </c>
      <c r="F4572" s="1">
        <v>1</v>
      </c>
      <c r="G4572" s="1">
        <v>9998</v>
      </c>
      <c r="H4572" s="1">
        <v>9998</v>
      </c>
      <c r="I4572" s="1">
        <v>0</v>
      </c>
      <c r="J4572" s="1">
        <v>1</v>
      </c>
      <c r="K4572" s="1">
        <v>0</v>
      </c>
    </row>
    <row r="4573" spans="1:11" x14ac:dyDescent="0.2">
      <c r="A4573" s="1" t="s">
        <v>4174</v>
      </c>
      <c r="B4573" s="1" t="s">
        <v>4176</v>
      </c>
      <c r="C4573" s="1" t="str">
        <f>"66298943770297"</f>
        <v>66298943770297</v>
      </c>
      <c r="D4573" s="1" t="str">
        <f>"82111"</f>
        <v>82111</v>
      </c>
      <c r="E4573" s="1" t="s">
        <v>17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</row>
    <row r="4574" spans="1:11" x14ac:dyDescent="0.2">
      <c r="A4574" s="1" t="s">
        <v>4174</v>
      </c>
      <c r="B4574" s="1" t="s">
        <v>4177</v>
      </c>
      <c r="C4574" s="1" t="str">
        <f>"B202"</f>
        <v>B202</v>
      </c>
      <c r="D4574" s="1" t="str">
        <f>"B202"</f>
        <v>B202</v>
      </c>
      <c r="E4574" s="1" t="s">
        <v>17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</row>
    <row r="4575" spans="1:11" x14ac:dyDescent="0.2">
      <c r="A4575" s="1" t="s">
        <v>4174</v>
      </c>
      <c r="B4575" s="1" t="s">
        <v>4178</v>
      </c>
      <c r="C4575" s="1" t="str">
        <f>"B214"</f>
        <v>B214</v>
      </c>
      <c r="D4575" s="1" t="str">
        <f>"B214"</f>
        <v>B214</v>
      </c>
      <c r="E4575" s="1" t="s">
        <v>17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</row>
    <row r="4576" spans="1:11" x14ac:dyDescent="0.2">
      <c r="A4576" s="1" t="s">
        <v>4174</v>
      </c>
      <c r="B4576" s="1" t="s">
        <v>4179</v>
      </c>
      <c r="C4576" s="1" t="str">
        <f>"B204"</f>
        <v>B204</v>
      </c>
      <c r="D4576" s="1" t="str">
        <f>"B204"</f>
        <v>B204</v>
      </c>
      <c r="E4576" s="1" t="s">
        <v>17</v>
      </c>
      <c r="F4576" s="1">
        <v>1</v>
      </c>
      <c r="G4576" s="1">
        <v>29340.04</v>
      </c>
      <c r="H4576" s="1">
        <v>29340</v>
      </c>
      <c r="I4576" s="1">
        <v>0</v>
      </c>
      <c r="J4576" s="1">
        <v>1</v>
      </c>
      <c r="K4576" s="1">
        <v>0</v>
      </c>
    </row>
    <row r="4577" spans="1:11" x14ac:dyDescent="0.2">
      <c r="A4577" s="1" t="s">
        <v>4174</v>
      </c>
      <c r="B4577" s="1" t="s">
        <v>4180</v>
      </c>
      <c r="C4577" s="1" t="str">
        <f>"66298943811165"</f>
        <v>66298943811165</v>
      </c>
      <c r="D4577" s="1" t="str">
        <f>"C021"</f>
        <v>C021</v>
      </c>
      <c r="E4577" s="1" t="s">
        <v>17</v>
      </c>
      <c r="F4577" s="1">
        <v>1</v>
      </c>
      <c r="G4577" s="1">
        <v>14800</v>
      </c>
      <c r="H4577" s="1">
        <v>14800</v>
      </c>
      <c r="I4577" s="1">
        <v>0</v>
      </c>
      <c r="J4577" s="1">
        <v>1</v>
      </c>
      <c r="K4577" s="1">
        <v>0</v>
      </c>
    </row>
    <row r="4578" spans="1:11" x14ac:dyDescent="0.2">
      <c r="A4578" s="1" t="s">
        <v>4174</v>
      </c>
      <c r="B4578" s="1" t="s">
        <v>4181</v>
      </c>
      <c r="C4578" s="1" t="str">
        <f>"66298943855473"</f>
        <v>66298943855473</v>
      </c>
      <c r="D4578" s="1" t="str">
        <f>"B217"</f>
        <v>B217</v>
      </c>
      <c r="E4578" s="1" t="s">
        <v>17</v>
      </c>
      <c r="F4578" s="1">
        <v>1</v>
      </c>
      <c r="G4578" s="1">
        <v>21390</v>
      </c>
      <c r="H4578" s="1">
        <v>21390</v>
      </c>
      <c r="I4578" s="1">
        <v>0</v>
      </c>
      <c r="J4578" s="1">
        <v>1</v>
      </c>
      <c r="K4578" s="1">
        <v>0</v>
      </c>
    </row>
    <row r="4579" spans="1:11" x14ac:dyDescent="0.2">
      <c r="A4579" s="1" t="s">
        <v>4174</v>
      </c>
      <c r="B4579" s="1" t="s">
        <v>4182</v>
      </c>
      <c r="C4579" s="1" t="str">
        <f>"66298943899663"</f>
        <v>66298943899663</v>
      </c>
      <c r="D4579" s="1" t="str">
        <f>"83168"</f>
        <v>83168</v>
      </c>
      <c r="E4579" s="1" t="s">
        <v>17</v>
      </c>
      <c r="F4579" s="1">
        <v>2</v>
      </c>
      <c r="G4579" s="1">
        <v>34089</v>
      </c>
      <c r="H4579" s="1">
        <v>68178</v>
      </c>
      <c r="I4579" s="1">
        <v>0</v>
      </c>
      <c r="J4579" s="1">
        <v>2</v>
      </c>
      <c r="K4579" s="1">
        <v>0</v>
      </c>
    </row>
    <row r="4580" spans="1:11" x14ac:dyDescent="0.2">
      <c r="A4580" s="1" t="s">
        <v>4174</v>
      </c>
      <c r="B4580" s="1" t="s">
        <v>4183</v>
      </c>
      <c r="C4580" s="1" t="str">
        <f>"66298943946033"</f>
        <v>66298943946033</v>
      </c>
      <c r="D4580" s="1" t="str">
        <f>"82874"</f>
        <v>82874</v>
      </c>
      <c r="E4580" s="1" t="s">
        <v>17</v>
      </c>
      <c r="F4580" s="1">
        <v>1</v>
      </c>
      <c r="G4580" s="1">
        <v>10611</v>
      </c>
      <c r="H4580" s="1">
        <v>10611</v>
      </c>
      <c r="I4580" s="1">
        <v>0</v>
      </c>
      <c r="J4580" s="1">
        <v>1</v>
      </c>
      <c r="K4580" s="1">
        <v>0</v>
      </c>
    </row>
    <row r="4581" spans="1:11" x14ac:dyDescent="0.2">
      <c r="A4581" s="1" t="s">
        <v>4174</v>
      </c>
      <c r="B4581" s="1" t="s">
        <v>4184</v>
      </c>
      <c r="C4581" s="1" t="str">
        <f>"66298943998590"</f>
        <v>66298943998590</v>
      </c>
      <c r="D4581" s="1" t="str">
        <f>"B215"</f>
        <v>B215</v>
      </c>
      <c r="E4581" s="1" t="s">
        <v>17</v>
      </c>
      <c r="F4581" s="1">
        <v>3</v>
      </c>
      <c r="G4581" s="1">
        <v>27788</v>
      </c>
      <c r="H4581" s="1">
        <v>83364</v>
      </c>
      <c r="I4581" s="1">
        <v>0</v>
      </c>
      <c r="J4581" s="1">
        <v>3</v>
      </c>
      <c r="K4581" s="1">
        <v>0</v>
      </c>
    </row>
    <row r="4582" spans="1:11" x14ac:dyDescent="0.2">
      <c r="A4582" s="1" t="s">
        <v>4174</v>
      </c>
      <c r="B4582" s="1" t="s">
        <v>4185</v>
      </c>
      <c r="C4582" s="1" t="str">
        <f>"B226"</f>
        <v>B226</v>
      </c>
      <c r="D4582" s="1" t="str">
        <f>"B226"</f>
        <v>B226</v>
      </c>
      <c r="E4582" s="1" t="s">
        <v>17</v>
      </c>
      <c r="F4582" s="1">
        <v>1</v>
      </c>
      <c r="G4582" s="1">
        <v>26081.99</v>
      </c>
      <c r="H4582" s="1">
        <v>26082</v>
      </c>
      <c r="I4582" s="1">
        <v>0</v>
      </c>
      <c r="J4582" s="1">
        <v>1</v>
      </c>
      <c r="K4582" s="1">
        <v>0</v>
      </c>
    </row>
    <row r="4583" spans="1:11" x14ac:dyDescent="0.2">
      <c r="A4583" s="1" t="s">
        <v>4174</v>
      </c>
      <c r="B4583" s="1" t="s">
        <v>4186</v>
      </c>
      <c r="C4583" s="1" t="str">
        <f>"TAB-UNIV"</f>
        <v>TAB-UNIV</v>
      </c>
      <c r="D4583" s="1" t="str">
        <f>"TAB-UNIV"</f>
        <v>TAB-UNIV</v>
      </c>
      <c r="E4583" s="1" t="s">
        <v>17</v>
      </c>
      <c r="F4583" s="1">
        <v>1</v>
      </c>
      <c r="G4583" s="1">
        <v>5189.42</v>
      </c>
      <c r="H4583" s="1">
        <v>5189</v>
      </c>
      <c r="I4583" s="1">
        <v>0</v>
      </c>
      <c r="J4583" s="1">
        <v>1</v>
      </c>
      <c r="K4583" s="1">
        <v>0</v>
      </c>
    </row>
    <row r="4584" spans="1:11" x14ac:dyDescent="0.2">
      <c r="A4584" s="1" t="s">
        <v>4174</v>
      </c>
      <c r="B4584" s="1" t="s">
        <v>4187</v>
      </c>
      <c r="C4584" s="1" t="str">
        <f>"B231"</f>
        <v>B231</v>
      </c>
      <c r="D4584" s="1" t="str">
        <f>"B231"</f>
        <v>B231</v>
      </c>
      <c r="E4584" s="1" t="s">
        <v>17</v>
      </c>
      <c r="F4584" s="1">
        <v>1</v>
      </c>
      <c r="G4584" s="1">
        <v>15228</v>
      </c>
      <c r="H4584" s="1">
        <v>15228</v>
      </c>
      <c r="I4584" s="1">
        <v>0</v>
      </c>
      <c r="J4584" s="1">
        <v>1</v>
      </c>
      <c r="K4584" s="1">
        <v>0</v>
      </c>
    </row>
    <row r="4585" spans="1:11" x14ac:dyDescent="0.2">
      <c r="A4585" s="1" t="s">
        <v>4174</v>
      </c>
      <c r="B4585" s="1" t="s">
        <v>4188</v>
      </c>
      <c r="C4585" s="1" t="str">
        <f>"TAB-YBR"</f>
        <v>TAB-YBR</v>
      </c>
      <c r="D4585" s="1" t="str">
        <f>"TAB-YBR"</f>
        <v>TAB-YBR</v>
      </c>
      <c r="E4585" s="1" t="s">
        <v>17</v>
      </c>
      <c r="F4585" s="1">
        <v>2</v>
      </c>
      <c r="G4585" s="1">
        <v>12373.03</v>
      </c>
      <c r="H4585" s="1">
        <v>24746</v>
      </c>
      <c r="I4585" s="1">
        <v>0</v>
      </c>
      <c r="J4585" s="1">
        <v>2</v>
      </c>
      <c r="K4585" s="1">
        <v>0</v>
      </c>
    </row>
    <row r="4586" spans="1:11" x14ac:dyDescent="0.2">
      <c r="A4586" s="1" t="s">
        <v>4189</v>
      </c>
      <c r="B4586" s="1" t="s">
        <v>4190</v>
      </c>
      <c r="C4586" s="1" t="str">
        <f>"66298944046725"</f>
        <v>66298944046725</v>
      </c>
      <c r="D4586" s="1" t="str">
        <f>"001413"</f>
        <v>001413</v>
      </c>
      <c r="E4586" s="1" t="s">
        <v>17</v>
      </c>
      <c r="F4586" s="1">
        <v>2</v>
      </c>
      <c r="G4586" s="1">
        <v>3220</v>
      </c>
      <c r="H4586" s="1">
        <v>6440</v>
      </c>
      <c r="I4586" s="1">
        <v>0</v>
      </c>
      <c r="J4586" s="1">
        <v>2</v>
      </c>
      <c r="K4586" s="1">
        <v>0</v>
      </c>
    </row>
    <row r="4587" spans="1:11" x14ac:dyDescent="0.2">
      <c r="A4587" s="1" t="s">
        <v>4189</v>
      </c>
      <c r="B4587" s="1" t="s">
        <v>4191</v>
      </c>
      <c r="C4587" s="1" t="str">
        <f>"66298944089486"</f>
        <v>66298944089486</v>
      </c>
      <c r="D4587" s="1" t="str">
        <f>"Y291"</f>
        <v>Y291</v>
      </c>
      <c r="E4587" s="1" t="s">
        <v>17</v>
      </c>
      <c r="F4587" s="1">
        <v>4</v>
      </c>
      <c r="G4587" s="1">
        <v>10755</v>
      </c>
      <c r="H4587" s="1">
        <v>43020</v>
      </c>
      <c r="I4587" s="1">
        <v>0</v>
      </c>
      <c r="J4587" s="1">
        <v>4</v>
      </c>
      <c r="K4587" s="1">
        <v>0</v>
      </c>
    </row>
    <row r="4588" spans="1:11" x14ac:dyDescent="0.2">
      <c r="A4588" s="1" t="s">
        <v>4189</v>
      </c>
      <c r="B4588" s="1" t="s">
        <v>4192</v>
      </c>
      <c r="C4588" s="1" t="str">
        <f>"66298944132304"</f>
        <v>66298944132304</v>
      </c>
      <c r="D4588" s="1" t="str">
        <f>"Y290"</f>
        <v>Y290</v>
      </c>
      <c r="E4588" s="1" t="s">
        <v>17</v>
      </c>
      <c r="F4588" s="1">
        <v>4</v>
      </c>
      <c r="G4588" s="1">
        <v>8955</v>
      </c>
      <c r="H4588" s="1">
        <v>35820</v>
      </c>
      <c r="I4588" s="1">
        <v>0</v>
      </c>
      <c r="J4588" s="1">
        <v>4</v>
      </c>
      <c r="K4588" s="1">
        <v>0</v>
      </c>
    </row>
    <row r="4589" spans="1:11" x14ac:dyDescent="0.2">
      <c r="A4589" s="1" t="s">
        <v>4189</v>
      </c>
      <c r="B4589" s="1" t="s">
        <v>4193</v>
      </c>
      <c r="C4589" s="1" t="str">
        <f>"Y246"</f>
        <v>Y246</v>
      </c>
      <c r="D4589" s="1" t="str">
        <f>"Y246"</f>
        <v>Y246</v>
      </c>
      <c r="E4589" s="1" t="s">
        <v>17</v>
      </c>
      <c r="F4589" s="1">
        <v>1</v>
      </c>
      <c r="G4589" s="1">
        <v>2223.0100000000002</v>
      </c>
      <c r="H4589" s="1">
        <v>2223</v>
      </c>
      <c r="I4589" s="1">
        <v>0</v>
      </c>
      <c r="J4589" s="1">
        <v>1</v>
      </c>
      <c r="K4589" s="1">
        <v>0</v>
      </c>
    </row>
    <row r="4590" spans="1:11" x14ac:dyDescent="0.2">
      <c r="A4590" s="1" t="s">
        <v>4189</v>
      </c>
      <c r="B4590" s="1" t="s">
        <v>4194</v>
      </c>
      <c r="C4590" s="1" t="str">
        <f>"Y049-NEGRO"</f>
        <v>Y049-NEGRO</v>
      </c>
      <c r="D4590" s="1" t="str">
        <f>"Y049-NEGRO"</f>
        <v>Y049-NEGRO</v>
      </c>
      <c r="E4590" s="1" t="s">
        <v>17</v>
      </c>
      <c r="F4590" s="1">
        <v>1</v>
      </c>
      <c r="G4590" s="1">
        <v>5805</v>
      </c>
      <c r="H4590" s="1">
        <v>5805</v>
      </c>
      <c r="I4590" s="1">
        <v>0</v>
      </c>
      <c r="J4590" s="1">
        <v>1</v>
      </c>
      <c r="K4590" s="1">
        <v>0</v>
      </c>
    </row>
    <row r="4591" spans="1:11" x14ac:dyDescent="0.2">
      <c r="A4591" s="1" t="s">
        <v>4189</v>
      </c>
      <c r="B4591" s="1" t="s">
        <v>4195</v>
      </c>
      <c r="C4591" s="1" t="str">
        <f>"Y049-ROJO"</f>
        <v>Y049-ROJO</v>
      </c>
      <c r="D4591" s="1" t="str">
        <f>"Y049-ROJO"</f>
        <v>Y049-ROJO</v>
      </c>
      <c r="E4591" s="1" t="s">
        <v>17</v>
      </c>
      <c r="F4591" s="1">
        <v>2</v>
      </c>
      <c r="G4591" s="1">
        <v>5805</v>
      </c>
      <c r="H4591" s="1">
        <v>11610</v>
      </c>
      <c r="I4591" s="1">
        <v>0</v>
      </c>
      <c r="J4591" s="1">
        <v>2</v>
      </c>
      <c r="K4591" s="1">
        <v>0</v>
      </c>
    </row>
    <row r="4592" spans="1:11" x14ac:dyDescent="0.2">
      <c r="A4592" s="1" t="s">
        <v>4189</v>
      </c>
      <c r="B4592" s="1" t="s">
        <v>4196</v>
      </c>
      <c r="C4592" s="1" t="str">
        <f>"EMHJ52200"</f>
        <v>EMHJ52200</v>
      </c>
      <c r="D4592" s="1" t="str">
        <f>"EMHJ52200"</f>
        <v>EMHJ52200</v>
      </c>
      <c r="E4592" s="1" t="s">
        <v>17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</row>
    <row r="4593" spans="1:11" x14ac:dyDescent="0.2">
      <c r="A4593" s="1" t="s">
        <v>4189</v>
      </c>
      <c r="B4593" s="1" t="s">
        <v>4197</v>
      </c>
      <c r="C4593" s="1" t="str">
        <f>"66298944171873"</f>
        <v>66298944171873</v>
      </c>
      <c r="D4593" s="1" t="str">
        <f>"72-0186"</f>
        <v>72-0186</v>
      </c>
      <c r="E4593" s="1" t="s">
        <v>17</v>
      </c>
      <c r="F4593" s="1">
        <v>1</v>
      </c>
      <c r="G4593" s="1">
        <v>2269</v>
      </c>
      <c r="H4593" s="1">
        <v>2269</v>
      </c>
      <c r="I4593" s="1">
        <v>0</v>
      </c>
      <c r="J4593" s="1">
        <v>1</v>
      </c>
      <c r="K4593" s="1">
        <v>0</v>
      </c>
    </row>
    <row r="4594" spans="1:11" x14ac:dyDescent="0.2">
      <c r="A4594" s="1" t="s">
        <v>4189</v>
      </c>
      <c r="B4594" s="1" t="s">
        <v>4198</v>
      </c>
      <c r="C4594" s="1" t="str">
        <f>"Y067"</f>
        <v>Y067</v>
      </c>
      <c r="D4594" s="1" t="str">
        <f>"Y067"</f>
        <v>Y067</v>
      </c>
      <c r="E4594" s="1" t="s">
        <v>17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</row>
    <row r="4595" spans="1:11" x14ac:dyDescent="0.2">
      <c r="A4595" s="1" t="s">
        <v>4189</v>
      </c>
      <c r="B4595" s="1" t="s">
        <v>4199</v>
      </c>
      <c r="C4595" s="1" t="str">
        <f>"66298944208805"</f>
        <v>66298944208805</v>
      </c>
      <c r="D4595" s="1" t="str">
        <f>"Y124"</f>
        <v>Y124</v>
      </c>
      <c r="E4595" s="1" t="s">
        <v>17</v>
      </c>
      <c r="F4595" s="1">
        <v>3</v>
      </c>
      <c r="G4595" s="1">
        <v>3841</v>
      </c>
      <c r="H4595" s="1">
        <v>11523</v>
      </c>
      <c r="I4595" s="1">
        <v>0</v>
      </c>
      <c r="J4595" s="1">
        <v>3</v>
      </c>
      <c r="K4595" s="1">
        <v>0</v>
      </c>
    </row>
    <row r="4596" spans="1:11" x14ac:dyDescent="0.2">
      <c r="A4596" s="1" t="s">
        <v>4189</v>
      </c>
      <c r="B4596" s="1" t="s">
        <v>4200</v>
      </c>
      <c r="C4596" s="1" t="str">
        <f>"66298944246502"</f>
        <v>66298944246502</v>
      </c>
      <c r="D4596" s="1" t="str">
        <f>"B12012374"</f>
        <v>B12012374</v>
      </c>
      <c r="E4596" s="1" t="s">
        <v>17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</row>
    <row r="4597" spans="1:11" x14ac:dyDescent="0.2">
      <c r="A4597" s="1" t="s">
        <v>4189</v>
      </c>
      <c r="B4597" s="1" t="s">
        <v>4201</v>
      </c>
      <c r="C4597" s="1" t="str">
        <f>"66298944282390"</f>
        <v>66298944282390</v>
      </c>
      <c r="D4597" s="1" t="str">
        <f>"B12012377"</f>
        <v>B12012377</v>
      </c>
      <c r="E4597" s="1" t="s">
        <v>17</v>
      </c>
      <c r="F4597" s="1">
        <v>1</v>
      </c>
      <c r="G4597" s="1">
        <v>3504</v>
      </c>
      <c r="H4597" s="1">
        <v>3504</v>
      </c>
      <c r="I4597" s="1">
        <v>0</v>
      </c>
      <c r="J4597" s="1">
        <v>1</v>
      </c>
      <c r="K4597" s="1">
        <v>0</v>
      </c>
    </row>
    <row r="4598" spans="1:11" x14ac:dyDescent="0.2">
      <c r="A4598" s="1" t="s">
        <v>1413</v>
      </c>
      <c r="B4598" s="1" t="s">
        <v>4202</v>
      </c>
      <c r="C4598" s="1" t="str">
        <f>"66298842472019"</f>
        <v>66298842472019</v>
      </c>
      <c r="D4598" s="1" t="str">
        <f>"Y167"</f>
        <v>Y167</v>
      </c>
      <c r="E4598" s="1" t="s">
        <v>17</v>
      </c>
      <c r="F4598" s="1">
        <v>2</v>
      </c>
      <c r="G4598" s="1">
        <v>4139</v>
      </c>
      <c r="H4598" s="1">
        <v>8278</v>
      </c>
      <c r="I4598" s="1">
        <v>0</v>
      </c>
      <c r="J4598" s="1">
        <v>2</v>
      </c>
      <c r="K4598" s="1">
        <v>0</v>
      </c>
    </row>
    <row r="4599" spans="1:11" x14ac:dyDescent="0.2">
      <c r="A4599" s="1" t="s">
        <v>1413</v>
      </c>
      <c r="B4599" s="1" t="s">
        <v>4203</v>
      </c>
      <c r="C4599" s="1" t="str">
        <f>"66298842514806"</f>
        <v>66298842514806</v>
      </c>
      <c r="D4599" s="1" t="str">
        <f>"Y170-1"</f>
        <v>Y170-1</v>
      </c>
      <c r="E4599" s="1" t="s">
        <v>17</v>
      </c>
      <c r="F4599" s="1">
        <v>1</v>
      </c>
      <c r="G4599" s="1">
        <v>9784</v>
      </c>
      <c r="H4599" s="1">
        <v>9784</v>
      </c>
      <c r="I4599" s="1">
        <v>0</v>
      </c>
      <c r="J4599" s="1">
        <v>1</v>
      </c>
      <c r="K4599" s="1">
        <v>0</v>
      </c>
    </row>
    <row r="4600" spans="1:11" x14ac:dyDescent="0.2">
      <c r="A4600" s="1" t="s">
        <v>4189</v>
      </c>
      <c r="B4600" s="1" t="s">
        <v>4204</v>
      </c>
      <c r="C4600" s="1" t="str">
        <f>"66298944321722"</f>
        <v>66298944321722</v>
      </c>
      <c r="D4600" s="1" t="str">
        <f>"12088-NEGRO"</f>
        <v>12088-NEGRO</v>
      </c>
      <c r="E4600" s="1" t="s">
        <v>17</v>
      </c>
      <c r="F4600" s="1">
        <v>1</v>
      </c>
      <c r="G4600" s="1">
        <v>7000</v>
      </c>
      <c r="H4600" s="1">
        <v>7000</v>
      </c>
      <c r="I4600" s="1">
        <v>0</v>
      </c>
      <c r="J4600" s="1">
        <v>1</v>
      </c>
      <c r="K4600" s="1">
        <v>0</v>
      </c>
    </row>
    <row r="4601" spans="1:11" x14ac:dyDescent="0.2">
      <c r="A4601" s="1" t="s">
        <v>4189</v>
      </c>
      <c r="B4601" s="1" t="s">
        <v>4205</v>
      </c>
      <c r="C4601" s="1" t="str">
        <f>"Y068-NEGRO"</f>
        <v>Y068-NEGRO</v>
      </c>
      <c r="D4601" s="1" t="str">
        <f>"Y068-NEGRO"</f>
        <v>Y068-NEGRO</v>
      </c>
      <c r="E4601" s="1" t="s">
        <v>17</v>
      </c>
      <c r="F4601" s="1">
        <v>1</v>
      </c>
      <c r="G4601" s="1">
        <v>5373</v>
      </c>
      <c r="H4601" s="1">
        <v>5373</v>
      </c>
      <c r="I4601" s="1">
        <v>0</v>
      </c>
      <c r="J4601" s="1">
        <v>1</v>
      </c>
      <c r="K4601" s="1">
        <v>0</v>
      </c>
    </row>
    <row r="4602" spans="1:11" x14ac:dyDescent="0.2">
      <c r="A4602" s="1" t="s">
        <v>4189</v>
      </c>
      <c r="B4602" s="1" t="s">
        <v>4206</v>
      </c>
      <c r="C4602" s="1" t="str">
        <f>"66298944361617"</f>
        <v>66298944361617</v>
      </c>
      <c r="D4602" s="1" t="str">
        <f>"Y084-B"</f>
        <v>Y084-B</v>
      </c>
      <c r="E4602" s="1" t="s">
        <v>17</v>
      </c>
      <c r="F4602" s="1">
        <v>3</v>
      </c>
      <c r="G4602" s="1">
        <v>6252</v>
      </c>
      <c r="H4602" s="1">
        <v>18756</v>
      </c>
      <c r="I4602" s="1">
        <v>0</v>
      </c>
      <c r="J4602" s="1">
        <v>3</v>
      </c>
      <c r="K4602" s="1">
        <v>0</v>
      </c>
    </row>
    <row r="4603" spans="1:11" x14ac:dyDescent="0.2">
      <c r="A4603" s="1" t="s">
        <v>4189</v>
      </c>
      <c r="B4603" s="1" t="s">
        <v>4207</v>
      </c>
      <c r="C4603" s="1" t="str">
        <f>"66298944405914"</f>
        <v>66298944405914</v>
      </c>
      <c r="D4603" s="1" t="str">
        <f>"AA004"</f>
        <v>AA004</v>
      </c>
      <c r="E4603" s="1" t="s">
        <v>17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</row>
    <row r="4604" spans="1:11" x14ac:dyDescent="0.2">
      <c r="A4604" s="1" t="s">
        <v>4189</v>
      </c>
      <c r="B4604" s="1" t="s">
        <v>4208</v>
      </c>
      <c r="C4604" s="1" t="str">
        <f>"66298944447797"</f>
        <v>66298944447797</v>
      </c>
      <c r="D4604" s="1" t="str">
        <f>"AA012"</f>
        <v>AA012</v>
      </c>
      <c r="E4604" s="1" t="s">
        <v>17</v>
      </c>
      <c r="F4604" s="1">
        <v>5</v>
      </c>
      <c r="G4604" s="1">
        <v>642</v>
      </c>
      <c r="H4604" s="1">
        <v>3210</v>
      </c>
      <c r="I4604" s="1">
        <v>0</v>
      </c>
      <c r="J4604" s="1">
        <v>5</v>
      </c>
      <c r="K4604" s="1">
        <v>0</v>
      </c>
    </row>
    <row r="4605" spans="1:11" x14ac:dyDescent="0.2">
      <c r="A4605" s="1" t="s">
        <v>4189</v>
      </c>
      <c r="B4605" s="1" t="s">
        <v>4209</v>
      </c>
      <c r="C4605" s="1" t="str">
        <f>"66298944484968"</f>
        <v>66298944484968</v>
      </c>
      <c r="D4605" s="1" t="str">
        <f>"AA021"</f>
        <v>AA021</v>
      </c>
      <c r="E4605" s="1" t="s">
        <v>17</v>
      </c>
      <c r="F4605" s="1">
        <v>2</v>
      </c>
      <c r="G4605" s="1">
        <v>618</v>
      </c>
      <c r="H4605" s="1">
        <v>1236</v>
      </c>
      <c r="I4605" s="1">
        <v>0</v>
      </c>
      <c r="J4605" s="1">
        <v>2</v>
      </c>
      <c r="K4605" s="1">
        <v>0</v>
      </c>
    </row>
    <row r="4606" spans="1:11" x14ac:dyDescent="0.2">
      <c r="A4606" s="1" t="s">
        <v>4189</v>
      </c>
      <c r="B4606" s="1" t="s">
        <v>4210</v>
      </c>
      <c r="C4606" s="1" t="str">
        <f>"66298944526673"</f>
        <v>66298944526673</v>
      </c>
      <c r="D4606" s="1" t="str">
        <f>"400801"</f>
        <v>400801</v>
      </c>
      <c r="E4606" s="1" t="s">
        <v>17</v>
      </c>
      <c r="F4606" s="1">
        <v>21</v>
      </c>
      <c r="G4606" s="1">
        <v>1644</v>
      </c>
      <c r="H4606" s="1">
        <v>34524</v>
      </c>
      <c r="I4606" s="1">
        <v>0</v>
      </c>
      <c r="J4606" s="1">
        <v>21</v>
      </c>
      <c r="K4606" s="1">
        <v>0</v>
      </c>
    </row>
    <row r="4607" spans="1:11" x14ac:dyDescent="0.2">
      <c r="A4607" s="1" t="s">
        <v>4189</v>
      </c>
      <c r="B4607" s="1" t="s">
        <v>4211</v>
      </c>
      <c r="C4607" s="1" t="str">
        <f>"66298944566458"</f>
        <v>66298944566458</v>
      </c>
      <c r="D4607" s="1" t="str">
        <f>"AA002-CHAPA"</f>
        <v>AA002-CHAPA</v>
      </c>
      <c r="E4607" s="1" t="s">
        <v>17</v>
      </c>
      <c r="F4607" s="1">
        <v>4</v>
      </c>
      <c r="G4607" s="1">
        <v>5561</v>
      </c>
      <c r="H4607" s="1">
        <v>22244</v>
      </c>
      <c r="I4607" s="1">
        <v>0</v>
      </c>
      <c r="J4607" s="1">
        <v>4</v>
      </c>
      <c r="K4607" s="1">
        <v>0</v>
      </c>
    </row>
    <row r="4608" spans="1:11" x14ac:dyDescent="0.2">
      <c r="A4608" s="1" t="s">
        <v>4189</v>
      </c>
      <c r="B4608" s="1" t="s">
        <v>4212</v>
      </c>
      <c r="C4608" s="1" t="str">
        <f>"66298944606092"</f>
        <v>66298944606092</v>
      </c>
      <c r="D4608" s="1" t="str">
        <f>"AA005"</f>
        <v>AA005</v>
      </c>
      <c r="E4608" s="1" t="s">
        <v>17</v>
      </c>
      <c r="F4608" s="1">
        <v>3</v>
      </c>
      <c r="G4608" s="1">
        <v>3141</v>
      </c>
      <c r="H4608" s="1">
        <v>9423</v>
      </c>
      <c r="I4608" s="1">
        <v>0</v>
      </c>
      <c r="J4608" s="1">
        <v>3</v>
      </c>
      <c r="K4608" s="1">
        <v>0</v>
      </c>
    </row>
    <row r="4609" spans="1:11" x14ac:dyDescent="0.2">
      <c r="A4609" s="1" t="s">
        <v>4189</v>
      </c>
      <c r="B4609" s="1" t="s">
        <v>4213</v>
      </c>
      <c r="C4609" s="1" t="str">
        <f>"66298944651816"</f>
        <v>66298944651816</v>
      </c>
      <c r="D4609" s="1" t="str">
        <f>"AA009"</f>
        <v>AA009</v>
      </c>
      <c r="E4609" s="1" t="s">
        <v>17</v>
      </c>
      <c r="F4609" s="1">
        <v>4</v>
      </c>
      <c r="G4609" s="1">
        <v>2088</v>
      </c>
      <c r="H4609" s="1">
        <v>8352</v>
      </c>
      <c r="I4609" s="1">
        <v>0</v>
      </c>
      <c r="J4609" s="1">
        <v>4</v>
      </c>
      <c r="K4609" s="1">
        <v>0</v>
      </c>
    </row>
    <row r="4610" spans="1:11" x14ac:dyDescent="0.2">
      <c r="A4610" s="1" t="s">
        <v>4189</v>
      </c>
      <c r="B4610" s="1" t="s">
        <v>4214</v>
      </c>
      <c r="C4610" s="1" t="str">
        <f>"66298944693720"</f>
        <v>66298944693720</v>
      </c>
      <c r="D4610" s="1" t="str">
        <f>"400805"</f>
        <v>400805</v>
      </c>
      <c r="E4610" s="1" t="s">
        <v>17</v>
      </c>
      <c r="F4610" s="1">
        <v>37</v>
      </c>
      <c r="G4610" s="1">
        <v>3847</v>
      </c>
      <c r="H4610" s="1">
        <v>142339</v>
      </c>
      <c r="I4610" s="1">
        <v>0</v>
      </c>
      <c r="J4610" s="1">
        <v>37</v>
      </c>
      <c r="K4610" s="1">
        <v>0</v>
      </c>
    </row>
    <row r="4611" spans="1:11" x14ac:dyDescent="0.2">
      <c r="A4611" s="1" t="s">
        <v>4189</v>
      </c>
      <c r="B4611" s="1" t="s">
        <v>4215</v>
      </c>
      <c r="C4611" s="1" t="str">
        <f>"66298944733232"</f>
        <v>66298944733232</v>
      </c>
      <c r="D4611" s="1" t="str">
        <f>"588023"</f>
        <v>588023</v>
      </c>
      <c r="E4611" s="1" t="s">
        <v>17</v>
      </c>
      <c r="F4611" s="1">
        <v>2</v>
      </c>
      <c r="G4611" s="1">
        <v>3100</v>
      </c>
      <c r="H4611" s="1">
        <v>6200</v>
      </c>
      <c r="I4611" s="1">
        <v>0</v>
      </c>
      <c r="J4611" s="1">
        <v>2</v>
      </c>
      <c r="K4611" s="1">
        <v>0</v>
      </c>
    </row>
    <row r="4612" spans="1:11" x14ac:dyDescent="0.2">
      <c r="A4612" s="1" t="s">
        <v>4189</v>
      </c>
      <c r="B4612" s="1" t="s">
        <v>4216</v>
      </c>
      <c r="C4612" s="1" t="str">
        <f>"AA002"</f>
        <v>AA002</v>
      </c>
      <c r="D4612" s="1" t="str">
        <f>"AA002"</f>
        <v>AA002</v>
      </c>
      <c r="E4612" s="1" t="s">
        <v>17</v>
      </c>
      <c r="F4612" s="1">
        <v>1</v>
      </c>
      <c r="G4612" s="1">
        <v>2948.4</v>
      </c>
      <c r="H4612" s="1">
        <v>2948</v>
      </c>
      <c r="I4612" s="1">
        <v>0</v>
      </c>
      <c r="J4612" s="1">
        <v>1</v>
      </c>
      <c r="K4612" s="1">
        <v>0</v>
      </c>
    </row>
    <row r="4613" spans="1:11" x14ac:dyDescent="0.2">
      <c r="A4613" s="1" t="s">
        <v>4189</v>
      </c>
      <c r="B4613" s="1" t="s">
        <v>4217</v>
      </c>
      <c r="C4613" s="1" t="str">
        <f>"66298944768833"</f>
        <v>66298944768833</v>
      </c>
      <c r="D4613" s="1" t="str">
        <f>"AA006"</f>
        <v>AA006</v>
      </c>
      <c r="E4613" s="1" t="s">
        <v>17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</row>
    <row r="4614" spans="1:11" x14ac:dyDescent="0.2">
      <c r="A4614" s="1" t="s">
        <v>4189</v>
      </c>
      <c r="B4614" s="1" t="s">
        <v>4218</v>
      </c>
      <c r="C4614" s="1" t="str">
        <f>"66298944810609"</f>
        <v>66298944810609</v>
      </c>
      <c r="D4614" s="1" t="str">
        <f>"AA008"</f>
        <v>AA008</v>
      </c>
      <c r="E4614" s="1" t="s">
        <v>17</v>
      </c>
      <c r="F4614" s="1">
        <v>9</v>
      </c>
      <c r="G4614" s="1">
        <v>4248</v>
      </c>
      <c r="H4614" s="1">
        <v>38232</v>
      </c>
      <c r="I4614" s="1">
        <v>0</v>
      </c>
      <c r="J4614" s="1">
        <v>9</v>
      </c>
      <c r="K4614" s="1">
        <v>0</v>
      </c>
    </row>
    <row r="4615" spans="1:11" x14ac:dyDescent="0.2">
      <c r="A4615" s="1" t="s">
        <v>4189</v>
      </c>
      <c r="B4615" s="1" t="s">
        <v>4219</v>
      </c>
      <c r="C4615" s="1" t="str">
        <f>"66298944853640"</f>
        <v>66298944853640</v>
      </c>
      <c r="D4615" s="1" t="str">
        <f>"AA013"</f>
        <v>AA013</v>
      </c>
      <c r="E4615" s="1" t="s">
        <v>17</v>
      </c>
      <c r="F4615" s="1">
        <v>3</v>
      </c>
      <c r="G4615" s="1">
        <v>3255</v>
      </c>
      <c r="H4615" s="1">
        <v>9765</v>
      </c>
      <c r="I4615" s="1">
        <v>0</v>
      </c>
      <c r="J4615" s="1">
        <v>3</v>
      </c>
      <c r="K4615" s="1">
        <v>0</v>
      </c>
    </row>
    <row r="4616" spans="1:11" x14ac:dyDescent="0.2">
      <c r="A4616" s="1" t="s">
        <v>4189</v>
      </c>
      <c r="B4616" s="1" t="s">
        <v>4220</v>
      </c>
      <c r="C4616" s="1" t="str">
        <f>"AA003"</f>
        <v>AA003</v>
      </c>
      <c r="D4616" s="1" t="str">
        <f>"AA003"</f>
        <v>AA003</v>
      </c>
      <c r="E4616" s="1" t="s">
        <v>17</v>
      </c>
      <c r="F4616" s="1">
        <v>8</v>
      </c>
      <c r="G4616" s="1">
        <v>1224</v>
      </c>
      <c r="H4616" s="1">
        <v>9792</v>
      </c>
      <c r="I4616" s="1">
        <v>0</v>
      </c>
      <c r="J4616" s="1">
        <v>8</v>
      </c>
      <c r="K4616" s="1">
        <v>0</v>
      </c>
    </row>
    <row r="4617" spans="1:11" x14ac:dyDescent="0.2">
      <c r="A4617" s="1" t="s">
        <v>4189</v>
      </c>
      <c r="B4617" s="1" t="s">
        <v>4220</v>
      </c>
      <c r="C4617" s="1" t="str">
        <f>"AA001"</f>
        <v>AA001</v>
      </c>
      <c r="D4617" s="1" t="str">
        <f>"AA001"</f>
        <v>AA001</v>
      </c>
      <c r="E4617" s="1" t="s">
        <v>17</v>
      </c>
      <c r="F4617" s="1">
        <v>9</v>
      </c>
      <c r="G4617" s="1">
        <v>2925</v>
      </c>
      <c r="H4617" s="1">
        <v>26325</v>
      </c>
      <c r="I4617" s="1">
        <v>0</v>
      </c>
      <c r="J4617" s="1">
        <v>9</v>
      </c>
      <c r="K4617" s="1">
        <v>0</v>
      </c>
    </row>
    <row r="4618" spans="1:11" x14ac:dyDescent="0.2">
      <c r="A4618" s="1" t="s">
        <v>4189</v>
      </c>
      <c r="B4618" s="1" t="s">
        <v>4221</v>
      </c>
      <c r="C4618" s="1" t="str">
        <f>"66298944961086"</f>
        <v>66298944961086</v>
      </c>
      <c r="D4618" s="1" t="str">
        <f>"C018"</f>
        <v>C018</v>
      </c>
      <c r="E4618" s="1" t="s">
        <v>17</v>
      </c>
      <c r="F4618" s="1">
        <v>3</v>
      </c>
      <c r="G4618" s="1">
        <v>5360</v>
      </c>
      <c r="H4618" s="1">
        <v>16080</v>
      </c>
      <c r="I4618" s="1">
        <v>0</v>
      </c>
      <c r="J4618" s="1">
        <v>3</v>
      </c>
      <c r="K4618" s="1">
        <v>0</v>
      </c>
    </row>
    <row r="4619" spans="1:11" x14ac:dyDescent="0.2">
      <c r="A4619" s="1" t="s">
        <v>4189</v>
      </c>
      <c r="B4619" s="1" t="s">
        <v>4222</v>
      </c>
      <c r="C4619" s="1" t="str">
        <f>"AA007"</f>
        <v>AA007</v>
      </c>
      <c r="D4619" s="1" t="str">
        <f>"AA007"</f>
        <v>AA007</v>
      </c>
      <c r="E4619" s="1" t="s">
        <v>17</v>
      </c>
      <c r="F4619" s="1">
        <v>10</v>
      </c>
      <c r="G4619" s="1">
        <v>3213</v>
      </c>
      <c r="H4619" s="1">
        <v>32130</v>
      </c>
      <c r="I4619" s="1">
        <v>0</v>
      </c>
      <c r="J4619" s="1">
        <v>10</v>
      </c>
      <c r="K4619" s="1">
        <v>0</v>
      </c>
    </row>
    <row r="4620" spans="1:11" ht="30" x14ac:dyDescent="0.2">
      <c r="A4620" s="1" t="s">
        <v>4189</v>
      </c>
      <c r="B4620" s="1" t="s">
        <v>4223</v>
      </c>
      <c r="C4620" s="1" t="str">
        <f>"66298945044274"</f>
        <v>66298945044274</v>
      </c>
      <c r="D4620" s="1" t="str">
        <f>"400802"</f>
        <v>400802</v>
      </c>
      <c r="E4620" s="1" t="s">
        <v>17</v>
      </c>
      <c r="F4620" s="1">
        <v>9</v>
      </c>
      <c r="G4620" s="1">
        <v>2082</v>
      </c>
      <c r="H4620" s="1">
        <v>18738</v>
      </c>
      <c r="I4620" s="1">
        <v>0</v>
      </c>
      <c r="J4620" s="1">
        <v>9</v>
      </c>
      <c r="K4620" s="1">
        <v>0</v>
      </c>
    </row>
    <row r="4621" spans="1:11" x14ac:dyDescent="0.2">
      <c r="A4621" s="1" t="s">
        <v>4224</v>
      </c>
      <c r="B4621" s="1" t="s">
        <v>4225</v>
      </c>
      <c r="C4621" s="1" t="str">
        <f>"AA018"</f>
        <v>AA018</v>
      </c>
      <c r="D4621" s="1" t="str">
        <f>"AA018"</f>
        <v>AA018</v>
      </c>
      <c r="E4621" s="1" t="s">
        <v>17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</row>
    <row r="4622" spans="1:11" x14ac:dyDescent="0.2">
      <c r="A4622" s="1" t="s">
        <v>4189</v>
      </c>
      <c r="B4622" s="1" t="s">
        <v>4226</v>
      </c>
      <c r="C4622" s="1" t="str">
        <f>"AA014"</f>
        <v>AA014</v>
      </c>
      <c r="D4622" s="1" t="str">
        <f>"AA014"</f>
        <v>AA014</v>
      </c>
      <c r="E4622" s="1" t="s">
        <v>17</v>
      </c>
      <c r="F4622" s="1">
        <v>5</v>
      </c>
      <c r="G4622" s="1">
        <v>3033</v>
      </c>
      <c r="H4622" s="1">
        <v>15165</v>
      </c>
      <c r="I4622" s="1">
        <v>0</v>
      </c>
      <c r="J4622" s="1">
        <v>5</v>
      </c>
      <c r="K4622" s="1">
        <v>0</v>
      </c>
    </row>
    <row r="4623" spans="1:11" ht="30" x14ac:dyDescent="0.2">
      <c r="A4623" s="1" t="s">
        <v>4189</v>
      </c>
      <c r="B4623" s="1" t="s">
        <v>4227</v>
      </c>
      <c r="C4623" s="1" t="str">
        <f>"66298945128669"</f>
        <v>66298945128669</v>
      </c>
      <c r="D4623" s="1" t="str">
        <f>"400767"</f>
        <v>400767</v>
      </c>
      <c r="E4623" s="1" t="s">
        <v>17</v>
      </c>
      <c r="F4623" s="1">
        <v>102</v>
      </c>
      <c r="G4623" s="1">
        <v>915</v>
      </c>
      <c r="H4623" s="1">
        <v>93330</v>
      </c>
      <c r="I4623" s="1">
        <v>0</v>
      </c>
      <c r="J4623" s="1">
        <v>102</v>
      </c>
      <c r="K4623" s="1">
        <v>0</v>
      </c>
    </row>
    <row r="4624" spans="1:11" x14ac:dyDescent="0.2">
      <c r="A4624" s="1" t="s">
        <v>4189</v>
      </c>
      <c r="B4624" s="1" t="s">
        <v>4228</v>
      </c>
      <c r="C4624" s="1" t="str">
        <f>"EMHJ52332"</f>
        <v>EMHJ52332</v>
      </c>
      <c r="D4624" s="1" t="str">
        <f>"EMHJ52332"</f>
        <v>EMHJ52332</v>
      </c>
      <c r="E4624" s="1" t="s">
        <v>17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</row>
    <row r="4625" spans="1:11" x14ac:dyDescent="0.2">
      <c r="A4625" s="1" t="s">
        <v>4189</v>
      </c>
      <c r="B4625" s="1" t="s">
        <v>4229</v>
      </c>
      <c r="C4625" s="1" t="str">
        <f>"EMHJ52151"</f>
        <v>EMHJ52151</v>
      </c>
      <c r="D4625" s="1" t="str">
        <f>"EMHJ52151"</f>
        <v>EMHJ52151</v>
      </c>
      <c r="E4625" s="1" t="s">
        <v>17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</row>
    <row r="4626" spans="1:11" x14ac:dyDescent="0.2">
      <c r="A4626" s="1" t="s">
        <v>4189</v>
      </c>
      <c r="B4626" s="1" t="s">
        <v>4230</v>
      </c>
      <c r="C4626" s="1" t="str">
        <f>"EMHJ51837"</f>
        <v>EMHJ51837</v>
      </c>
      <c r="D4626" s="1" t="str">
        <f>"EMHJ51837"</f>
        <v>EMHJ51837</v>
      </c>
      <c r="E4626" s="1" t="s">
        <v>17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</row>
    <row r="4627" spans="1:11" x14ac:dyDescent="0.2">
      <c r="A4627" s="1" t="s">
        <v>4189</v>
      </c>
      <c r="B4627" s="1" t="s">
        <v>4231</v>
      </c>
      <c r="C4627" s="1" t="str">
        <f>"EMHJ51810"</f>
        <v>EMHJ51810</v>
      </c>
      <c r="D4627" s="1" t="str">
        <f>"EMHJ51810"</f>
        <v>EMHJ51810</v>
      </c>
      <c r="E4627" s="1" t="s">
        <v>17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</row>
    <row r="4628" spans="1:11" x14ac:dyDescent="0.2">
      <c r="A4628" s="1" t="s">
        <v>4189</v>
      </c>
      <c r="B4628" s="1" t="s">
        <v>4232</v>
      </c>
      <c r="C4628" s="1" t="str">
        <f>"Y241"</f>
        <v>Y241</v>
      </c>
      <c r="D4628" s="1" t="str">
        <f>"Y241"</f>
        <v>Y241</v>
      </c>
      <c r="E4628" s="1" t="s">
        <v>17</v>
      </c>
      <c r="F4628" s="1">
        <v>1</v>
      </c>
      <c r="G4628" s="1">
        <v>5175.0200000000004</v>
      </c>
      <c r="H4628" s="1">
        <v>5175</v>
      </c>
      <c r="I4628" s="1">
        <v>0</v>
      </c>
      <c r="J4628" s="1">
        <v>1</v>
      </c>
      <c r="K4628" s="1">
        <v>0</v>
      </c>
    </row>
    <row r="4629" spans="1:11" x14ac:dyDescent="0.2">
      <c r="A4629" s="1" t="s">
        <v>4233</v>
      </c>
      <c r="B4629" s="1" t="s">
        <v>4234</v>
      </c>
      <c r="C4629" s="1" t="str">
        <f>"66298945167666"</f>
        <v>66298945167666</v>
      </c>
      <c r="D4629" s="1" t="str">
        <f>"603"</f>
        <v>603</v>
      </c>
      <c r="E4629" s="1" t="s">
        <v>17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</row>
    <row r="4630" spans="1:11" x14ac:dyDescent="0.2">
      <c r="A4630" s="1" t="s">
        <v>4233</v>
      </c>
      <c r="B4630" s="1" t="s">
        <v>4234</v>
      </c>
      <c r="C4630" s="1" t="str">
        <f>"AA017"</f>
        <v>AA017</v>
      </c>
      <c r="D4630" s="1" t="str">
        <f>"AA017"</f>
        <v>AA017</v>
      </c>
      <c r="E4630" s="1" t="s">
        <v>17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</row>
    <row r="4631" spans="1:11" x14ac:dyDescent="0.2">
      <c r="A4631" s="1" t="s">
        <v>4189</v>
      </c>
      <c r="B4631" s="1" t="s">
        <v>4235</v>
      </c>
      <c r="C4631" s="1" t="str">
        <f>"66298945208123"</f>
        <v>66298945208123</v>
      </c>
      <c r="D4631" s="1" t="str">
        <f>"Y005"</f>
        <v>Y005</v>
      </c>
      <c r="E4631" s="1" t="s">
        <v>17</v>
      </c>
      <c r="F4631" s="1">
        <v>4</v>
      </c>
      <c r="G4631" s="1">
        <v>2276.5</v>
      </c>
      <c r="H4631" s="1">
        <v>9106</v>
      </c>
      <c r="I4631" s="1">
        <v>0</v>
      </c>
      <c r="J4631" s="1">
        <v>4</v>
      </c>
      <c r="K4631" s="1">
        <v>0</v>
      </c>
    </row>
    <row r="4632" spans="1:11" x14ac:dyDescent="0.2">
      <c r="A4632" s="1" t="s">
        <v>4189</v>
      </c>
      <c r="B4632" s="1" t="s">
        <v>4236</v>
      </c>
      <c r="C4632" s="1" t="str">
        <f>"66298945251727"</f>
        <v>66298945251727</v>
      </c>
      <c r="D4632" s="1" t="str">
        <f>"61421H2C000H000"</f>
        <v>61421H2C000H000</v>
      </c>
      <c r="E4632" s="1" t="s">
        <v>17</v>
      </c>
      <c r="F4632" s="1">
        <v>2</v>
      </c>
      <c r="G4632" s="1">
        <v>545</v>
      </c>
      <c r="H4632" s="1">
        <v>1090</v>
      </c>
      <c r="I4632" s="1">
        <v>0</v>
      </c>
      <c r="J4632" s="1">
        <v>2</v>
      </c>
      <c r="K4632" s="1">
        <v>0</v>
      </c>
    </row>
    <row r="4633" spans="1:11" x14ac:dyDescent="0.2">
      <c r="A4633" s="1" t="s">
        <v>1413</v>
      </c>
      <c r="B4633" s="1" t="s">
        <v>4237</v>
      </c>
      <c r="C4633" s="1" t="str">
        <f>"12053"</f>
        <v>12053</v>
      </c>
      <c r="D4633" s="1" t="str">
        <f>"12053"</f>
        <v>12053</v>
      </c>
      <c r="E4633" s="1" t="s">
        <v>17</v>
      </c>
      <c r="F4633" s="1">
        <v>1</v>
      </c>
      <c r="G4633" s="1">
        <v>8263.8700000000008</v>
      </c>
      <c r="H4633" s="1">
        <v>8264</v>
      </c>
      <c r="I4633" s="1">
        <v>0</v>
      </c>
      <c r="J4633" s="1">
        <v>1</v>
      </c>
      <c r="K4633" s="1">
        <v>0</v>
      </c>
    </row>
    <row r="4634" spans="1:11" x14ac:dyDescent="0.2">
      <c r="A4634" s="1" t="s">
        <v>4189</v>
      </c>
      <c r="B4634" s="1" t="s">
        <v>4238</v>
      </c>
      <c r="C4634" s="1" t="str">
        <f>"66298945294415"</f>
        <v>66298945294415</v>
      </c>
      <c r="D4634" s="1" t="str">
        <f>"R092-AZUL"</f>
        <v>R092-AZUL</v>
      </c>
      <c r="E4634" s="1" t="s">
        <v>17</v>
      </c>
      <c r="F4634" s="1">
        <v>9</v>
      </c>
      <c r="G4634" s="1">
        <v>1152</v>
      </c>
      <c r="H4634" s="1">
        <v>10368</v>
      </c>
      <c r="I4634" s="1">
        <v>0</v>
      </c>
      <c r="J4634" s="1">
        <v>9</v>
      </c>
      <c r="K4634" s="1">
        <v>0</v>
      </c>
    </row>
    <row r="4635" spans="1:11" x14ac:dyDescent="0.2">
      <c r="A4635" s="1" t="s">
        <v>4189</v>
      </c>
      <c r="B4635" s="1" t="s">
        <v>4239</v>
      </c>
      <c r="C4635" s="1" t="str">
        <f>"66298945335969"</f>
        <v>66298945335969</v>
      </c>
      <c r="D4635" s="1" t="str">
        <f>"R092-CROMADO"</f>
        <v>R092-CROMADO</v>
      </c>
      <c r="E4635" s="1" t="s">
        <v>17</v>
      </c>
      <c r="F4635" s="1">
        <v>14</v>
      </c>
      <c r="G4635" s="1">
        <v>1152</v>
      </c>
      <c r="H4635" s="1">
        <v>16128</v>
      </c>
      <c r="I4635" s="1">
        <v>0</v>
      </c>
      <c r="J4635" s="1">
        <v>14</v>
      </c>
      <c r="K4635" s="1">
        <v>0</v>
      </c>
    </row>
    <row r="4636" spans="1:11" x14ac:dyDescent="0.2">
      <c r="A4636" s="1" t="s">
        <v>4189</v>
      </c>
      <c r="B4636" s="1" t="s">
        <v>4240</v>
      </c>
      <c r="C4636" s="1" t="str">
        <f>"66298945374427"</f>
        <v>66298945374427</v>
      </c>
      <c r="D4636" s="1" t="str">
        <f>"R092-DORADO"</f>
        <v>R092-DORADO</v>
      </c>
      <c r="E4636" s="1" t="s">
        <v>17</v>
      </c>
      <c r="F4636" s="1">
        <v>17</v>
      </c>
      <c r="G4636" s="1">
        <v>1152</v>
      </c>
      <c r="H4636" s="1">
        <v>19584</v>
      </c>
      <c r="I4636" s="1">
        <v>0</v>
      </c>
      <c r="J4636" s="1">
        <v>17</v>
      </c>
      <c r="K4636" s="1">
        <v>0</v>
      </c>
    </row>
    <row r="4637" spans="1:11" x14ac:dyDescent="0.2">
      <c r="A4637" s="1" t="s">
        <v>4189</v>
      </c>
      <c r="B4637" s="1" t="s">
        <v>4241</v>
      </c>
      <c r="C4637" s="1" t="str">
        <f>"66298945416982"</f>
        <v>66298945416982</v>
      </c>
      <c r="D4637" s="1" t="str">
        <f>"R092-NEGRO"</f>
        <v>R092-NEGRO</v>
      </c>
      <c r="E4637" s="1" t="s">
        <v>17</v>
      </c>
      <c r="F4637" s="1">
        <v>14</v>
      </c>
      <c r="G4637" s="1">
        <v>1152</v>
      </c>
      <c r="H4637" s="1">
        <v>16128</v>
      </c>
      <c r="I4637" s="1">
        <v>0</v>
      </c>
      <c r="J4637" s="1">
        <v>14</v>
      </c>
      <c r="K4637" s="1">
        <v>0</v>
      </c>
    </row>
    <row r="4638" spans="1:11" x14ac:dyDescent="0.2">
      <c r="A4638" s="1" t="s">
        <v>4189</v>
      </c>
      <c r="B4638" s="1" t="s">
        <v>4242</v>
      </c>
      <c r="C4638" s="1" t="str">
        <f>"66298945458193"</f>
        <v>66298945458193</v>
      </c>
      <c r="D4638" s="1" t="str">
        <f>"R092-ROJO"</f>
        <v>R092-ROJO</v>
      </c>
      <c r="E4638" s="1" t="s">
        <v>17</v>
      </c>
      <c r="F4638" s="1">
        <v>4</v>
      </c>
      <c r="G4638" s="1">
        <v>1152</v>
      </c>
      <c r="H4638" s="1">
        <v>4608</v>
      </c>
      <c r="I4638" s="1">
        <v>0</v>
      </c>
      <c r="J4638" s="1">
        <v>4</v>
      </c>
      <c r="K4638" s="1">
        <v>0</v>
      </c>
    </row>
    <row r="4639" spans="1:11" x14ac:dyDescent="0.2">
      <c r="A4639" s="1" t="s">
        <v>4243</v>
      </c>
      <c r="B4639" s="1" t="s">
        <v>4244</v>
      </c>
      <c r="C4639" s="1" t="str">
        <f>"Y098-AZUL"</f>
        <v>Y098-AZUL</v>
      </c>
      <c r="D4639" s="1" t="str">
        <f>"Y098-AZUL"</f>
        <v>Y098-AZUL</v>
      </c>
      <c r="E4639" s="1" t="s">
        <v>17</v>
      </c>
      <c r="F4639" s="1">
        <v>3</v>
      </c>
      <c r="G4639" s="1">
        <v>7308</v>
      </c>
      <c r="H4639" s="1">
        <v>21924</v>
      </c>
      <c r="I4639" s="1">
        <v>0</v>
      </c>
      <c r="J4639" s="1">
        <v>3</v>
      </c>
      <c r="K4639" s="1">
        <v>0</v>
      </c>
    </row>
    <row r="4640" spans="1:11" x14ac:dyDescent="0.2">
      <c r="A4640" s="1" t="s">
        <v>4243</v>
      </c>
      <c r="B4640" s="1" t="s">
        <v>4245</v>
      </c>
      <c r="C4640" s="1" t="str">
        <f>"Y098-NEGRO"</f>
        <v>Y098-NEGRO</v>
      </c>
      <c r="D4640" s="1" t="str">
        <f>"Y098-NEGRO"</f>
        <v>Y098-NEGRO</v>
      </c>
      <c r="E4640" s="1" t="s">
        <v>17</v>
      </c>
      <c r="F4640" s="1">
        <v>2</v>
      </c>
      <c r="G4640" s="1">
        <v>8037</v>
      </c>
      <c r="H4640" s="1">
        <v>16074</v>
      </c>
      <c r="I4640" s="1">
        <v>0</v>
      </c>
      <c r="J4640" s="1">
        <v>2</v>
      </c>
      <c r="K4640" s="1">
        <v>0</v>
      </c>
    </row>
    <row r="4641" spans="1:11" x14ac:dyDescent="0.2">
      <c r="A4641" s="1" t="s">
        <v>4243</v>
      </c>
      <c r="B4641" s="1" t="s">
        <v>4246</v>
      </c>
      <c r="C4641" s="1" t="str">
        <f>"66298945501009"</f>
        <v>66298945501009</v>
      </c>
      <c r="D4641" s="1" t="str">
        <f>"Y161"</f>
        <v>Y161</v>
      </c>
      <c r="E4641" s="1" t="s">
        <v>17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</row>
    <row r="4642" spans="1:11" x14ac:dyDescent="0.2">
      <c r="A4642" s="1" t="s">
        <v>4243</v>
      </c>
      <c r="B4642" s="1" t="s">
        <v>4247</v>
      </c>
      <c r="C4642" s="1" t="str">
        <f>"Y070-NEGRO"</f>
        <v>Y070-NEGRO</v>
      </c>
      <c r="D4642" s="1" t="str">
        <f>"Y070-NEGRO"</f>
        <v>Y070-NEGRO</v>
      </c>
      <c r="E4642" s="1" t="s">
        <v>17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</row>
    <row r="4643" spans="1:11" x14ac:dyDescent="0.2">
      <c r="A4643" s="1" t="s">
        <v>4243</v>
      </c>
      <c r="B4643" s="1" t="s">
        <v>4248</v>
      </c>
      <c r="C4643" s="1" t="str">
        <f>"Y070-ROJO"</f>
        <v>Y070-ROJO</v>
      </c>
      <c r="D4643" s="1" t="str">
        <f>"Y070-ROJO"</f>
        <v>Y070-ROJO</v>
      </c>
      <c r="E4643" s="1" t="s">
        <v>17</v>
      </c>
      <c r="F4643" s="1">
        <v>2</v>
      </c>
      <c r="G4643" s="1">
        <v>6975</v>
      </c>
      <c r="H4643" s="1">
        <v>13950</v>
      </c>
      <c r="I4643" s="1">
        <v>0</v>
      </c>
      <c r="J4643" s="1">
        <v>2</v>
      </c>
      <c r="K4643" s="1">
        <v>0</v>
      </c>
    </row>
    <row r="4644" spans="1:11" x14ac:dyDescent="0.2">
      <c r="A4644" s="1" t="s">
        <v>4243</v>
      </c>
      <c r="B4644" s="1" t="s">
        <v>4249</v>
      </c>
      <c r="C4644" s="1" t="str">
        <f>"Y026-NEGRO"</f>
        <v>Y026-NEGRO</v>
      </c>
      <c r="D4644" s="1" t="str">
        <f>"Y026-NEGRO"</f>
        <v>Y026-NEGRO</v>
      </c>
      <c r="E4644" s="1" t="s">
        <v>17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</row>
    <row r="4645" spans="1:11" x14ac:dyDescent="0.2">
      <c r="A4645" s="1" t="s">
        <v>4243</v>
      </c>
      <c r="B4645" s="1" t="s">
        <v>4250</v>
      </c>
      <c r="C4645" s="1" t="str">
        <f>"Y027-ROJO"</f>
        <v>Y027-ROJO</v>
      </c>
      <c r="D4645" s="1" t="str">
        <f>"Y027-ROJO"</f>
        <v>Y027-ROJO</v>
      </c>
      <c r="E4645" s="1" t="s">
        <v>17</v>
      </c>
      <c r="F4645" s="1">
        <v>1</v>
      </c>
      <c r="G4645" s="1">
        <v>6587.98</v>
      </c>
      <c r="H4645" s="1">
        <v>6588</v>
      </c>
      <c r="I4645" s="1">
        <v>0</v>
      </c>
      <c r="J4645" s="1">
        <v>1</v>
      </c>
      <c r="K4645" s="1">
        <v>0</v>
      </c>
    </row>
    <row r="4646" spans="1:11" x14ac:dyDescent="0.2">
      <c r="A4646" s="1" t="s">
        <v>4243</v>
      </c>
      <c r="B4646" s="1" t="s">
        <v>4251</v>
      </c>
      <c r="C4646" s="1" t="str">
        <f>"66298945543423"</f>
        <v>66298945543423</v>
      </c>
      <c r="D4646" s="1" t="str">
        <f>"588012"</f>
        <v>588012</v>
      </c>
      <c r="E4646" s="1" t="s">
        <v>17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</row>
    <row r="4647" spans="1:11" x14ac:dyDescent="0.2">
      <c r="A4647" s="1" t="s">
        <v>4243</v>
      </c>
      <c r="B4647" s="1" t="s">
        <v>4252</v>
      </c>
      <c r="C4647" s="1" t="str">
        <f>"Y024"</f>
        <v>Y024</v>
      </c>
      <c r="D4647" s="1" t="str">
        <f>"Y024"</f>
        <v>Y024</v>
      </c>
      <c r="E4647" s="1" t="s">
        <v>17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</row>
    <row r="4648" spans="1:11" x14ac:dyDescent="0.2">
      <c r="A4648" s="1" t="s">
        <v>4243</v>
      </c>
      <c r="B4648" s="1" t="s">
        <v>4253</v>
      </c>
      <c r="C4648" s="1" t="str">
        <f>"66298945586843"</f>
        <v>66298945586843</v>
      </c>
      <c r="D4648" s="1" t="str">
        <f>"Y294"</f>
        <v>Y294</v>
      </c>
      <c r="E4648" s="1" t="s">
        <v>17</v>
      </c>
      <c r="F4648" s="1">
        <v>4</v>
      </c>
      <c r="G4648" s="1">
        <v>10548</v>
      </c>
      <c r="H4648" s="1">
        <v>42192</v>
      </c>
      <c r="I4648" s="1">
        <v>0</v>
      </c>
      <c r="J4648" s="1">
        <v>4</v>
      </c>
      <c r="K4648" s="1">
        <v>0</v>
      </c>
    </row>
    <row r="4649" spans="1:11" x14ac:dyDescent="0.2">
      <c r="A4649" s="1" t="s">
        <v>4243</v>
      </c>
      <c r="B4649" s="1" t="s">
        <v>4254</v>
      </c>
      <c r="C4649" s="1" t="str">
        <f>"66298945631992"</f>
        <v>66298945631992</v>
      </c>
      <c r="D4649" s="1" t="str">
        <f>"Y057"</f>
        <v>Y057</v>
      </c>
      <c r="E4649" s="1" t="s">
        <v>17</v>
      </c>
      <c r="F4649" s="1">
        <v>2</v>
      </c>
      <c r="G4649" s="1">
        <v>4658.51</v>
      </c>
      <c r="H4649" s="1">
        <v>9317</v>
      </c>
      <c r="I4649" s="1">
        <v>0</v>
      </c>
      <c r="J4649" s="1">
        <v>2</v>
      </c>
      <c r="K4649" s="1">
        <v>0</v>
      </c>
    </row>
    <row r="4650" spans="1:11" x14ac:dyDescent="0.2">
      <c r="A4650" s="1" t="s">
        <v>4243</v>
      </c>
      <c r="B4650" s="1" t="s">
        <v>4255</v>
      </c>
      <c r="C4650" s="1" t="str">
        <f>"66298945670212"</f>
        <v>66298945670212</v>
      </c>
      <c r="D4650" s="1" t="str">
        <f>"53111H2C000HA97"</f>
        <v>53111H2C000HA97</v>
      </c>
      <c r="E4650" s="1" t="s">
        <v>17</v>
      </c>
      <c r="F4650" s="1">
        <v>2</v>
      </c>
      <c r="G4650" s="1">
        <v>26878</v>
      </c>
      <c r="H4650" s="1">
        <v>53756</v>
      </c>
      <c r="I4650" s="1">
        <v>0</v>
      </c>
      <c r="J4650" s="1">
        <v>2</v>
      </c>
      <c r="K4650" s="1">
        <v>0</v>
      </c>
    </row>
    <row r="4651" spans="1:11" x14ac:dyDescent="0.2">
      <c r="A4651" s="1" t="s">
        <v>4243</v>
      </c>
      <c r="B4651" s="1" t="s">
        <v>4256</v>
      </c>
      <c r="C4651" s="1" t="str">
        <f>"53111H2C000HA28"</f>
        <v>53111H2C000HA28</v>
      </c>
      <c r="D4651" s="1" t="str">
        <f>"53111H2C000HA28"</f>
        <v>53111H2C000HA28</v>
      </c>
      <c r="E4651" s="1" t="s">
        <v>17</v>
      </c>
      <c r="F4651" s="1">
        <v>1</v>
      </c>
      <c r="G4651" s="1">
        <v>27213.79</v>
      </c>
      <c r="H4651" s="1">
        <v>27214</v>
      </c>
      <c r="I4651" s="1">
        <v>0</v>
      </c>
      <c r="J4651" s="1">
        <v>1</v>
      </c>
      <c r="K4651" s="1">
        <v>0</v>
      </c>
    </row>
    <row r="4652" spans="1:11" x14ac:dyDescent="0.2">
      <c r="A4652" s="1" t="s">
        <v>4243</v>
      </c>
      <c r="B4652" s="1" t="s">
        <v>4257</v>
      </c>
      <c r="C4652" s="1" t="str">
        <f>"Y334-BLANCO"</f>
        <v>Y334-BLANCO</v>
      </c>
      <c r="D4652" s="1" t="str">
        <f>"Y334-BLANCO"</f>
        <v>Y334-BLANCO</v>
      </c>
      <c r="E4652" s="1" t="s">
        <v>17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</row>
    <row r="4653" spans="1:11" x14ac:dyDescent="0.2">
      <c r="A4653" s="1" t="s">
        <v>4243</v>
      </c>
      <c r="B4653" s="1" t="s">
        <v>4258</v>
      </c>
      <c r="C4653" s="1" t="str">
        <f>"Y334-NEGRO"</f>
        <v>Y334-NEGRO</v>
      </c>
      <c r="D4653" s="1" t="str">
        <f>"Y334-NEGRO"</f>
        <v>Y334-NEGRO</v>
      </c>
      <c r="E4653" s="1" t="s">
        <v>17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</row>
    <row r="4654" spans="1:11" x14ac:dyDescent="0.2">
      <c r="A4654" s="1" t="s">
        <v>4243</v>
      </c>
      <c r="B4654" s="1" t="s">
        <v>4259</v>
      </c>
      <c r="C4654" s="1" t="str">
        <f>"52JF0597"</f>
        <v>52JF0597</v>
      </c>
      <c r="D4654" s="1" t="str">
        <f>"52JF0597"</f>
        <v>52JF0597</v>
      </c>
      <c r="E4654" s="1" t="s">
        <v>17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</row>
    <row r="4655" spans="1:11" x14ac:dyDescent="0.2">
      <c r="A4655" s="1" t="s">
        <v>4243</v>
      </c>
      <c r="B4655" s="1" t="s">
        <v>4260</v>
      </c>
      <c r="C4655" s="1" t="str">
        <f>"Y008"</f>
        <v>Y008</v>
      </c>
      <c r="D4655" s="1" t="str">
        <f>"Y008"</f>
        <v>Y008</v>
      </c>
      <c r="E4655" s="1" t="s">
        <v>17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</row>
    <row r="4656" spans="1:11" x14ac:dyDescent="0.2">
      <c r="A4656" s="1" t="s">
        <v>4243</v>
      </c>
      <c r="B4656" s="1" t="s">
        <v>4261</v>
      </c>
      <c r="C4656" s="1" t="str">
        <f>"Y056"</f>
        <v>Y056</v>
      </c>
      <c r="D4656" s="1" t="str">
        <f>"Y056"</f>
        <v>Y056</v>
      </c>
      <c r="E4656" s="1" t="s">
        <v>17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</row>
    <row r="4657" spans="1:11" x14ac:dyDescent="0.2">
      <c r="A4657" s="1" t="s">
        <v>4243</v>
      </c>
      <c r="B4657" s="1" t="s">
        <v>4262</v>
      </c>
      <c r="C4657" s="1" t="str">
        <f>"Y021"</f>
        <v>Y021</v>
      </c>
      <c r="D4657" s="1" t="str">
        <f>"Y021"</f>
        <v>Y021</v>
      </c>
      <c r="E4657" s="1" t="s">
        <v>17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</row>
    <row r="4658" spans="1:11" x14ac:dyDescent="0.2">
      <c r="A4658" s="1" t="s">
        <v>4243</v>
      </c>
      <c r="B4658" s="1" t="s">
        <v>4263</v>
      </c>
      <c r="C4658" s="1" t="str">
        <f>"Y059-ROJO"</f>
        <v>Y059-ROJO</v>
      </c>
      <c r="D4658" s="1" t="str">
        <f>"Y059-ROJO"</f>
        <v>Y059-ROJO</v>
      </c>
      <c r="E4658" s="1" t="s">
        <v>17</v>
      </c>
      <c r="F4658" s="1">
        <v>1</v>
      </c>
      <c r="G4658" s="1">
        <v>7182</v>
      </c>
      <c r="H4658" s="1">
        <v>7182</v>
      </c>
      <c r="I4658" s="1">
        <v>0</v>
      </c>
      <c r="J4658" s="1">
        <v>1</v>
      </c>
      <c r="K4658" s="1">
        <v>0</v>
      </c>
    </row>
    <row r="4659" spans="1:11" x14ac:dyDescent="0.2">
      <c r="A4659" s="1" t="s">
        <v>4243</v>
      </c>
      <c r="B4659" s="1" t="s">
        <v>4264</v>
      </c>
      <c r="C4659" s="1" t="str">
        <f>"Y038-BLANCO"</f>
        <v>Y038-BLANCO</v>
      </c>
      <c r="D4659" s="1" t="str">
        <f>"Y038-BLANCO"</f>
        <v>Y038-BLANCO</v>
      </c>
      <c r="E4659" s="1" t="s">
        <v>17</v>
      </c>
      <c r="F4659" s="1">
        <v>2</v>
      </c>
      <c r="G4659" s="1">
        <v>6488.98</v>
      </c>
      <c r="H4659" s="1">
        <v>12978</v>
      </c>
      <c r="I4659" s="1">
        <v>0</v>
      </c>
      <c r="J4659" s="1">
        <v>2</v>
      </c>
      <c r="K4659" s="1">
        <v>0</v>
      </c>
    </row>
    <row r="4660" spans="1:11" x14ac:dyDescent="0.2">
      <c r="A4660" s="1" t="s">
        <v>4243</v>
      </c>
      <c r="B4660" s="1" t="s">
        <v>4265</v>
      </c>
      <c r="C4660" s="1" t="str">
        <f>"Y038-ROJO"</f>
        <v>Y038-ROJO</v>
      </c>
      <c r="D4660" s="1" t="str">
        <f>"Y038-ROJO"</f>
        <v>Y038-ROJO</v>
      </c>
      <c r="E4660" s="1" t="s">
        <v>17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</row>
    <row r="4661" spans="1:11" x14ac:dyDescent="0.2">
      <c r="A4661" s="1" t="s">
        <v>4243</v>
      </c>
      <c r="B4661" s="1" t="s">
        <v>4266</v>
      </c>
      <c r="C4661" s="1" t="str">
        <f>"Y015-2"</f>
        <v>Y015-2</v>
      </c>
      <c r="D4661" s="1" t="str">
        <f>"Y015-2"</f>
        <v>Y015-2</v>
      </c>
      <c r="E4661" s="1" t="s">
        <v>17</v>
      </c>
      <c r="F4661" s="1">
        <v>1</v>
      </c>
      <c r="G4661" s="1">
        <v>6821.97</v>
      </c>
      <c r="H4661" s="1">
        <v>6822</v>
      </c>
      <c r="I4661" s="1">
        <v>0</v>
      </c>
      <c r="J4661" s="1">
        <v>1</v>
      </c>
      <c r="K4661" s="1">
        <v>0</v>
      </c>
    </row>
    <row r="4662" spans="1:11" x14ac:dyDescent="0.2">
      <c r="A4662" s="1" t="s">
        <v>4243</v>
      </c>
      <c r="B4662" s="1" t="s">
        <v>4267</v>
      </c>
      <c r="C4662" s="1" t="str">
        <f>"66298945750213"</f>
        <v>66298945750213</v>
      </c>
      <c r="D4662" s="1" t="str">
        <f>"Y015-3"</f>
        <v>Y015-3</v>
      </c>
      <c r="E4662" s="1" t="s">
        <v>17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</row>
    <row r="4663" spans="1:11" x14ac:dyDescent="0.2">
      <c r="A4663" s="1" t="s">
        <v>4243</v>
      </c>
      <c r="B4663" s="1" t="s">
        <v>4268</v>
      </c>
      <c r="C4663" s="1" t="str">
        <f>"Y015-1"</f>
        <v>Y015-1</v>
      </c>
      <c r="D4663" s="1" t="str">
        <f>"Y015-1"</f>
        <v>Y015-1</v>
      </c>
      <c r="E4663" s="1" t="s">
        <v>17</v>
      </c>
      <c r="F4663" s="1">
        <v>1</v>
      </c>
      <c r="G4663" s="1">
        <v>6821.97</v>
      </c>
      <c r="H4663" s="1">
        <v>6822</v>
      </c>
      <c r="I4663" s="1">
        <v>0</v>
      </c>
      <c r="J4663" s="1">
        <v>1</v>
      </c>
      <c r="K4663" s="1">
        <v>0</v>
      </c>
    </row>
    <row r="4664" spans="1:11" x14ac:dyDescent="0.2">
      <c r="A4664" s="1" t="s">
        <v>4243</v>
      </c>
      <c r="B4664" s="1" t="s">
        <v>4269</v>
      </c>
      <c r="C4664" s="1" t="str">
        <f>"66298945791791"</f>
        <v>66298945791791</v>
      </c>
      <c r="D4664" s="1" t="str">
        <f>"E021"</f>
        <v>E021</v>
      </c>
      <c r="E4664" s="1" t="s">
        <v>17</v>
      </c>
      <c r="F4664" s="1">
        <v>1</v>
      </c>
      <c r="G4664" s="1">
        <v>10100</v>
      </c>
      <c r="H4664" s="1">
        <v>10100</v>
      </c>
      <c r="I4664" s="1">
        <v>0</v>
      </c>
      <c r="J4664" s="1">
        <v>1</v>
      </c>
      <c r="K4664" s="1">
        <v>0</v>
      </c>
    </row>
    <row r="4665" spans="1:11" x14ac:dyDescent="0.2">
      <c r="A4665" s="1" t="s">
        <v>4243</v>
      </c>
      <c r="B4665" s="1" t="s">
        <v>4270</v>
      </c>
      <c r="C4665" s="1" t="str">
        <f>"B97F163A0000"</f>
        <v>B97F163A0000</v>
      </c>
      <c r="D4665" s="1" t="str">
        <f>"B97F163A0000"</f>
        <v>B97F163A0000</v>
      </c>
      <c r="E4665" s="1" t="s">
        <v>17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</row>
    <row r="4666" spans="1:11" x14ac:dyDescent="0.2">
      <c r="A4666" s="1" t="s">
        <v>4243</v>
      </c>
      <c r="B4666" s="1" t="s">
        <v>4271</v>
      </c>
      <c r="C4666" s="1" t="str">
        <f>"66298945831356"</f>
        <v>66298945831356</v>
      </c>
      <c r="D4666" s="1" t="str">
        <f>"Y110"</f>
        <v>Y110</v>
      </c>
      <c r="E4666" s="1" t="s">
        <v>17</v>
      </c>
      <c r="F4666" s="1">
        <v>4</v>
      </c>
      <c r="G4666" s="1">
        <v>5171</v>
      </c>
      <c r="H4666" s="1">
        <v>20684</v>
      </c>
      <c r="I4666" s="1">
        <v>0</v>
      </c>
      <c r="J4666" s="1">
        <v>4</v>
      </c>
      <c r="K4666" s="1">
        <v>0</v>
      </c>
    </row>
    <row r="4667" spans="1:11" x14ac:dyDescent="0.2">
      <c r="A4667" s="1" t="s">
        <v>4243</v>
      </c>
      <c r="B4667" s="1" t="s">
        <v>4272</v>
      </c>
      <c r="C4667" s="1" t="str">
        <f>"66298945871430"</f>
        <v>66298945871430</v>
      </c>
      <c r="D4667" s="1" t="str">
        <f>"Y292"</f>
        <v>Y292</v>
      </c>
      <c r="E4667" s="1" t="s">
        <v>17</v>
      </c>
      <c r="F4667" s="1">
        <v>4</v>
      </c>
      <c r="G4667" s="1">
        <v>10755</v>
      </c>
      <c r="H4667" s="1">
        <v>43020</v>
      </c>
      <c r="I4667" s="1">
        <v>0</v>
      </c>
      <c r="J4667" s="1">
        <v>4</v>
      </c>
      <c r="K4667" s="1">
        <v>0</v>
      </c>
    </row>
    <row r="4668" spans="1:11" x14ac:dyDescent="0.2">
      <c r="A4668" s="1" t="s">
        <v>4243</v>
      </c>
      <c r="B4668" s="1" t="s">
        <v>4273</v>
      </c>
      <c r="C4668" s="1" t="str">
        <f>"66298945910268"</f>
        <v>66298945910268</v>
      </c>
      <c r="D4668" s="1" t="str">
        <f>"FZ012"</f>
        <v>FZ012</v>
      </c>
      <c r="E4668" s="1" t="s">
        <v>17</v>
      </c>
      <c r="F4668" s="1">
        <v>1</v>
      </c>
      <c r="G4668" s="1">
        <v>1999</v>
      </c>
      <c r="H4668" s="1">
        <v>1999</v>
      </c>
      <c r="I4668" s="1">
        <v>0</v>
      </c>
      <c r="J4668" s="1">
        <v>1</v>
      </c>
      <c r="K4668" s="1">
        <v>0</v>
      </c>
    </row>
    <row r="4669" spans="1:11" x14ac:dyDescent="0.2">
      <c r="A4669" s="1" t="s">
        <v>4243</v>
      </c>
      <c r="B4669" s="1" t="s">
        <v>4274</v>
      </c>
      <c r="C4669" s="1" t="str">
        <f>"B97F1629000"</f>
        <v>B97F1629000</v>
      </c>
      <c r="D4669" s="1" t="str">
        <f>"B97F1629000"</f>
        <v>B97F1629000</v>
      </c>
      <c r="E4669" s="1" t="s">
        <v>17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</row>
    <row r="4670" spans="1:11" x14ac:dyDescent="0.2">
      <c r="A4670" s="1" t="s">
        <v>4243</v>
      </c>
      <c r="B4670" s="1" t="s">
        <v>4275</v>
      </c>
      <c r="C4670" s="1" t="str">
        <f>"66298945954908"</f>
        <v>66298945954908</v>
      </c>
      <c r="D4670" s="1" t="str">
        <f>"63111H2C003H000"</f>
        <v>63111H2C003H000</v>
      </c>
      <c r="E4670" s="1" t="s">
        <v>17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</row>
    <row r="4671" spans="1:11" x14ac:dyDescent="0.2">
      <c r="A4671" s="1" t="s">
        <v>4243</v>
      </c>
      <c r="B4671" s="1" t="s">
        <v>4276</v>
      </c>
      <c r="C4671" s="1" t="str">
        <f>"66298945992580"</f>
        <v>66298945992580</v>
      </c>
      <c r="D4671" s="1" t="str">
        <f>"Y063"</f>
        <v>Y063</v>
      </c>
      <c r="E4671" s="1" t="s">
        <v>17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</row>
    <row r="4672" spans="1:11" x14ac:dyDescent="0.2">
      <c r="A4672" s="1" t="s">
        <v>4243</v>
      </c>
      <c r="B4672" s="1" t="s">
        <v>4277</v>
      </c>
      <c r="C4672" s="1" t="str">
        <f>"Y042-BLANCO"</f>
        <v>Y042-BLANCO</v>
      </c>
      <c r="D4672" s="1" t="str">
        <f>"Y042-BLANCO"</f>
        <v>Y042-BLANCO</v>
      </c>
      <c r="E4672" s="1" t="s">
        <v>17</v>
      </c>
      <c r="F4672" s="1">
        <v>2</v>
      </c>
      <c r="G4672" s="1">
        <v>6010</v>
      </c>
      <c r="H4672" s="1">
        <v>12020</v>
      </c>
      <c r="I4672" s="1">
        <v>0</v>
      </c>
      <c r="J4672" s="1">
        <v>2</v>
      </c>
      <c r="K4672" s="1">
        <v>0</v>
      </c>
    </row>
    <row r="4673" spans="1:11" x14ac:dyDescent="0.2">
      <c r="A4673" s="1" t="s">
        <v>4243</v>
      </c>
      <c r="B4673" s="1" t="s">
        <v>4278</v>
      </c>
      <c r="C4673" s="1" t="str">
        <f>"Y042-NEGRO"</f>
        <v>Y042-NEGRO</v>
      </c>
      <c r="D4673" s="1" t="str">
        <f>"Y042-NEGRO"</f>
        <v>Y042-NEGRO</v>
      </c>
      <c r="E4673" s="1" t="s">
        <v>17</v>
      </c>
      <c r="F4673" s="1">
        <v>1</v>
      </c>
      <c r="G4673" s="1">
        <v>5715</v>
      </c>
      <c r="H4673" s="1">
        <v>5715</v>
      </c>
      <c r="I4673" s="1">
        <v>0</v>
      </c>
      <c r="J4673" s="1">
        <v>1</v>
      </c>
      <c r="K4673" s="1">
        <v>0</v>
      </c>
    </row>
    <row r="4674" spans="1:11" x14ac:dyDescent="0.2">
      <c r="A4674" s="1" t="s">
        <v>4243</v>
      </c>
      <c r="B4674" s="1" t="s">
        <v>4279</v>
      </c>
      <c r="C4674" s="1" t="str">
        <f>"Y042-ROJO"</f>
        <v>Y042-ROJO</v>
      </c>
      <c r="D4674" s="1" t="str">
        <f>"Y042-ROJO"</f>
        <v>Y042-ROJO</v>
      </c>
      <c r="E4674" s="1" t="s">
        <v>17</v>
      </c>
      <c r="F4674" s="1">
        <v>1</v>
      </c>
      <c r="G4674" s="1">
        <v>5715</v>
      </c>
      <c r="H4674" s="1">
        <v>5715</v>
      </c>
      <c r="I4674" s="1">
        <v>0</v>
      </c>
      <c r="J4674" s="1">
        <v>1</v>
      </c>
      <c r="K4674" s="1">
        <v>0</v>
      </c>
    </row>
    <row r="4675" spans="1:11" x14ac:dyDescent="0.2">
      <c r="A4675" s="1" t="s">
        <v>4243</v>
      </c>
      <c r="B4675" s="1" t="s">
        <v>4280</v>
      </c>
      <c r="C4675" s="1" t="str">
        <f>"Y052"</f>
        <v>Y052</v>
      </c>
      <c r="D4675" s="1" t="str">
        <f>"Y052"</f>
        <v>Y052</v>
      </c>
      <c r="E4675" s="1" t="s">
        <v>17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</row>
    <row r="4676" spans="1:11" x14ac:dyDescent="0.2">
      <c r="A4676" s="1" t="s">
        <v>4243</v>
      </c>
      <c r="B4676" s="1" t="s">
        <v>4281</v>
      </c>
      <c r="C4676" s="1" t="str">
        <f>"Y164-AZUL"</f>
        <v>Y164-AZUL</v>
      </c>
      <c r="D4676" s="1" t="str">
        <f>"Y164-AZUL"</f>
        <v>Y164-AZUL</v>
      </c>
      <c r="E4676" s="1" t="s">
        <v>17</v>
      </c>
      <c r="F4676" s="1">
        <v>1</v>
      </c>
      <c r="G4676" s="1">
        <v>5103</v>
      </c>
      <c r="H4676" s="1">
        <v>5103</v>
      </c>
      <c r="I4676" s="1">
        <v>0</v>
      </c>
      <c r="J4676" s="1">
        <v>1</v>
      </c>
      <c r="K4676" s="1">
        <v>0</v>
      </c>
    </row>
    <row r="4677" spans="1:11" x14ac:dyDescent="0.2">
      <c r="A4677" s="1" t="s">
        <v>4189</v>
      </c>
      <c r="B4677" s="1" t="s">
        <v>4282</v>
      </c>
      <c r="C4677" s="1" t="str">
        <f>"Y187-ROJO"</f>
        <v>Y187-ROJO</v>
      </c>
      <c r="D4677" s="1" t="str">
        <f>"Y187-ROJO"</f>
        <v>Y187-ROJO</v>
      </c>
      <c r="E4677" s="1" t="s">
        <v>17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</row>
    <row r="4678" spans="1:11" x14ac:dyDescent="0.2">
      <c r="A4678" s="1" t="s">
        <v>4189</v>
      </c>
      <c r="B4678" s="1" t="s">
        <v>4283</v>
      </c>
      <c r="C4678" s="1" t="str">
        <f>"Y013-NEGRO"</f>
        <v>Y013-NEGRO</v>
      </c>
      <c r="D4678" s="1" t="str">
        <f>"Y013-NEGRO"</f>
        <v>Y013-NEGRO</v>
      </c>
      <c r="E4678" s="1" t="s">
        <v>17</v>
      </c>
      <c r="F4678" s="1">
        <v>1</v>
      </c>
      <c r="G4678" s="1">
        <v>15281.95</v>
      </c>
      <c r="H4678" s="1">
        <v>15282</v>
      </c>
      <c r="I4678" s="1">
        <v>0</v>
      </c>
      <c r="J4678" s="1">
        <v>1</v>
      </c>
      <c r="K4678" s="1">
        <v>0</v>
      </c>
    </row>
    <row r="4679" spans="1:11" x14ac:dyDescent="0.2">
      <c r="A4679" s="1" t="s">
        <v>4189</v>
      </c>
      <c r="B4679" s="1" t="s">
        <v>4284</v>
      </c>
      <c r="C4679" s="1" t="str">
        <f>"Y013-ROJO"</f>
        <v>Y013-ROJO</v>
      </c>
      <c r="D4679" s="1" t="str">
        <f>"Y013-ROJO"</f>
        <v>Y013-ROJO</v>
      </c>
      <c r="E4679" s="1" t="s">
        <v>17</v>
      </c>
      <c r="F4679" s="1">
        <v>2</v>
      </c>
      <c r="G4679" s="1">
        <v>15281.95</v>
      </c>
      <c r="H4679" s="1">
        <v>30564</v>
      </c>
      <c r="I4679" s="1">
        <v>0</v>
      </c>
      <c r="J4679" s="1">
        <v>2</v>
      </c>
      <c r="K4679" s="1">
        <v>0</v>
      </c>
    </row>
    <row r="4680" spans="1:11" x14ac:dyDescent="0.2">
      <c r="A4680" s="1" t="s">
        <v>4189</v>
      </c>
      <c r="B4680" s="1" t="s">
        <v>4285</v>
      </c>
      <c r="C4680" s="1" t="str">
        <f>"Y335-BLANCO"</f>
        <v>Y335-BLANCO</v>
      </c>
      <c r="D4680" s="1" t="str">
        <f>"Y335-BLANCO"</f>
        <v>Y335-BLANCO</v>
      </c>
      <c r="E4680" s="1" t="s">
        <v>17</v>
      </c>
      <c r="F4680" s="1">
        <v>1</v>
      </c>
      <c r="G4680" s="1">
        <v>18855.060000000001</v>
      </c>
      <c r="H4680" s="1">
        <v>18855</v>
      </c>
      <c r="I4680" s="1">
        <v>0</v>
      </c>
      <c r="J4680" s="1">
        <v>1</v>
      </c>
      <c r="K4680" s="1">
        <v>0</v>
      </c>
    </row>
    <row r="4681" spans="1:11" ht="30" x14ac:dyDescent="0.2">
      <c r="A4681" s="1" t="s">
        <v>4189</v>
      </c>
      <c r="B4681" s="1" t="s">
        <v>4286</v>
      </c>
      <c r="C4681" s="1" t="str">
        <f>"Y041-NEGRO"</f>
        <v>Y041-NEGRO</v>
      </c>
      <c r="D4681" s="1" t="str">
        <f>"Y041-NEGRO"</f>
        <v>Y041-NEGRO</v>
      </c>
      <c r="E4681" s="1" t="s">
        <v>17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</row>
    <row r="4682" spans="1:11" x14ac:dyDescent="0.2">
      <c r="A4682" s="1" t="s">
        <v>4189</v>
      </c>
      <c r="B4682" s="1" t="s">
        <v>4287</v>
      </c>
      <c r="C4682" s="1" t="str">
        <f>"Y041-ROJO"</f>
        <v>Y041-ROJO</v>
      </c>
      <c r="D4682" s="1" t="str">
        <f>"Y041-ROJO"</f>
        <v>Y041-ROJO</v>
      </c>
      <c r="E4682" s="1" t="s">
        <v>17</v>
      </c>
      <c r="F4682" s="1">
        <v>1</v>
      </c>
      <c r="G4682" s="1">
        <v>13068</v>
      </c>
      <c r="H4682" s="1">
        <v>13068</v>
      </c>
      <c r="I4682" s="1">
        <v>0</v>
      </c>
      <c r="J4682" s="1">
        <v>1</v>
      </c>
      <c r="K4682" s="1">
        <v>0</v>
      </c>
    </row>
    <row r="4683" spans="1:11" ht="30" x14ac:dyDescent="0.2">
      <c r="A4683" s="1" t="s">
        <v>4189</v>
      </c>
      <c r="B4683" s="1" t="s">
        <v>4288</v>
      </c>
      <c r="C4683" s="1" t="str">
        <f>"Y058"</f>
        <v>Y058</v>
      </c>
      <c r="D4683" s="1" t="str">
        <f>"Y058"</f>
        <v>Y058</v>
      </c>
      <c r="E4683" s="1" t="s">
        <v>17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</row>
    <row r="4684" spans="1:11" ht="30" x14ac:dyDescent="0.2">
      <c r="A4684" s="1" t="s">
        <v>4189</v>
      </c>
      <c r="B4684" s="1" t="s">
        <v>4289</v>
      </c>
      <c r="C4684" s="1" t="str">
        <f>"Y053"</f>
        <v>Y053</v>
      </c>
      <c r="D4684" s="1" t="str">
        <f>"Y053"</f>
        <v>Y053</v>
      </c>
      <c r="E4684" s="1" t="s">
        <v>17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</row>
    <row r="4685" spans="1:11" x14ac:dyDescent="0.2">
      <c r="A4685" s="1" t="s">
        <v>4189</v>
      </c>
      <c r="B4685" s="1" t="s">
        <v>4290</v>
      </c>
      <c r="C4685" s="1" t="str">
        <f>"66298946079846"</f>
        <v>66298946079846</v>
      </c>
      <c r="D4685" s="1" t="str">
        <f>"Y163-BLANCO"</f>
        <v>Y163-BLANCO</v>
      </c>
      <c r="E4685" s="1" t="s">
        <v>17</v>
      </c>
      <c r="F4685" s="1">
        <v>1</v>
      </c>
      <c r="G4685" s="1">
        <v>7273</v>
      </c>
      <c r="H4685" s="1">
        <v>7273</v>
      </c>
      <c r="I4685" s="1">
        <v>0</v>
      </c>
      <c r="J4685" s="1">
        <v>1</v>
      </c>
      <c r="K4685" s="1">
        <v>0</v>
      </c>
    </row>
    <row r="4686" spans="1:11" x14ac:dyDescent="0.2">
      <c r="A4686" s="1" t="s">
        <v>1413</v>
      </c>
      <c r="B4686" s="1" t="s">
        <v>4291</v>
      </c>
      <c r="C4686" s="1" t="str">
        <f>"Y040-NEGRO"</f>
        <v>Y040-NEGRO</v>
      </c>
      <c r="D4686" s="1" t="str">
        <f>"Y040-NEGRO"</f>
        <v>Y040-NEGRO</v>
      </c>
      <c r="E4686" s="1" t="s">
        <v>17</v>
      </c>
      <c r="F4686" s="1">
        <v>1</v>
      </c>
      <c r="G4686" s="1">
        <v>4455</v>
      </c>
      <c r="H4686" s="1">
        <v>4455</v>
      </c>
      <c r="I4686" s="1">
        <v>0</v>
      </c>
      <c r="J4686" s="1">
        <v>1</v>
      </c>
      <c r="K4686" s="1">
        <v>0</v>
      </c>
    </row>
    <row r="4687" spans="1:11" x14ac:dyDescent="0.2">
      <c r="A4687" s="1" t="s">
        <v>4189</v>
      </c>
      <c r="B4687" s="1" t="s">
        <v>4292</v>
      </c>
      <c r="C4687" s="1" t="str">
        <f>"66298946121785"</f>
        <v>66298946121785</v>
      </c>
      <c r="D4687" s="1" t="str">
        <f>"Y004-AZUL"</f>
        <v>Y004-AZUL</v>
      </c>
      <c r="E4687" s="1" t="s">
        <v>17</v>
      </c>
      <c r="F4687" s="1">
        <v>2</v>
      </c>
      <c r="G4687" s="1">
        <v>4641</v>
      </c>
      <c r="H4687" s="1">
        <v>9282</v>
      </c>
      <c r="I4687" s="1">
        <v>0</v>
      </c>
      <c r="J4687" s="1">
        <v>2</v>
      </c>
      <c r="K4687" s="1">
        <v>0</v>
      </c>
    </row>
    <row r="4688" spans="1:11" x14ac:dyDescent="0.2">
      <c r="A4688" s="1" t="s">
        <v>4189</v>
      </c>
      <c r="B4688" s="1" t="s">
        <v>4293</v>
      </c>
      <c r="C4688" s="1" t="str">
        <f>"66298946169417"</f>
        <v>66298946169417</v>
      </c>
      <c r="D4688" s="1" t="str">
        <f>"Y004-GRIS"</f>
        <v>Y004-GRIS</v>
      </c>
      <c r="E4688" s="1" t="s">
        <v>17</v>
      </c>
      <c r="F4688" s="1">
        <v>1</v>
      </c>
      <c r="G4688" s="1">
        <v>4641</v>
      </c>
      <c r="H4688" s="1">
        <v>4641</v>
      </c>
      <c r="I4688" s="1">
        <v>0</v>
      </c>
      <c r="J4688" s="1">
        <v>1</v>
      </c>
      <c r="K4688" s="1">
        <v>0</v>
      </c>
    </row>
    <row r="4689" spans="1:11" x14ac:dyDescent="0.2">
      <c r="A4689" s="1" t="s">
        <v>4189</v>
      </c>
      <c r="B4689" s="1" t="s">
        <v>4294</v>
      </c>
      <c r="C4689" s="1" t="str">
        <f>"66298946220737"</f>
        <v>66298946220737</v>
      </c>
      <c r="D4689" s="1" t="str">
        <f>"Y004-ROJO"</f>
        <v>Y004-ROJO</v>
      </c>
      <c r="E4689" s="1" t="s">
        <v>17</v>
      </c>
      <c r="F4689" s="1">
        <v>4</v>
      </c>
      <c r="G4689" s="1">
        <v>4111.5</v>
      </c>
      <c r="H4689" s="1">
        <v>16446</v>
      </c>
      <c r="I4689" s="1">
        <v>0</v>
      </c>
      <c r="J4689" s="1">
        <v>4</v>
      </c>
      <c r="K4689" s="1">
        <v>0</v>
      </c>
    </row>
    <row r="4690" spans="1:11" x14ac:dyDescent="0.2">
      <c r="A4690" s="1" t="s">
        <v>4189</v>
      </c>
      <c r="B4690" s="1" t="s">
        <v>4295</v>
      </c>
      <c r="C4690" s="1" t="str">
        <f>"Y104-AZUL"</f>
        <v>Y104-AZUL</v>
      </c>
      <c r="D4690" s="1" t="str">
        <f>"Y104-AZUL"</f>
        <v>Y104-AZUL</v>
      </c>
      <c r="E4690" s="1" t="s">
        <v>17</v>
      </c>
      <c r="F4690" s="1">
        <v>2</v>
      </c>
      <c r="G4690" s="1">
        <v>3581.99</v>
      </c>
      <c r="H4690" s="1">
        <v>7164</v>
      </c>
      <c r="I4690" s="1">
        <v>0</v>
      </c>
      <c r="J4690" s="1">
        <v>2</v>
      </c>
      <c r="K4690" s="1">
        <v>0</v>
      </c>
    </row>
    <row r="4691" spans="1:11" x14ac:dyDescent="0.2">
      <c r="A4691" s="1" t="s">
        <v>4189</v>
      </c>
      <c r="B4691" s="1" t="s">
        <v>4296</v>
      </c>
      <c r="C4691" s="1" t="str">
        <f>"66298946262495"</f>
        <v>66298946262495</v>
      </c>
      <c r="D4691" s="1" t="str">
        <f>"Y075-B"</f>
        <v>Y075-B</v>
      </c>
      <c r="E4691" s="1" t="s">
        <v>17</v>
      </c>
      <c r="F4691" s="1">
        <v>1</v>
      </c>
      <c r="G4691" s="1">
        <v>4427</v>
      </c>
      <c r="H4691" s="1">
        <v>4427</v>
      </c>
      <c r="I4691" s="1">
        <v>0</v>
      </c>
      <c r="J4691" s="1">
        <v>1</v>
      </c>
      <c r="K4691" s="1">
        <v>0</v>
      </c>
    </row>
    <row r="4692" spans="1:11" ht="30" x14ac:dyDescent="0.2">
      <c r="A4692" s="1" t="s">
        <v>4189</v>
      </c>
      <c r="B4692" s="1" t="s">
        <v>4297</v>
      </c>
      <c r="C4692" s="1" t="str">
        <f>"Y101-BLANCO/ROJO"</f>
        <v>Y101-BLANCO/ROJO</v>
      </c>
      <c r="D4692" s="1" t="str">
        <f>"Y101-BLANCO/ROJO"</f>
        <v>Y101-BLANCO/ROJO</v>
      </c>
      <c r="E4692" s="1" t="s">
        <v>17</v>
      </c>
      <c r="F4692" s="1">
        <v>2</v>
      </c>
      <c r="G4692" s="1">
        <v>6246</v>
      </c>
      <c r="H4692" s="1">
        <v>12492</v>
      </c>
      <c r="I4692" s="1">
        <v>0</v>
      </c>
      <c r="J4692" s="1">
        <v>2</v>
      </c>
      <c r="K4692" s="1">
        <v>0</v>
      </c>
    </row>
    <row r="4693" spans="1:11" x14ac:dyDescent="0.2">
      <c r="A4693" s="1" t="s">
        <v>4189</v>
      </c>
      <c r="B4693" s="1" t="s">
        <v>4298</v>
      </c>
      <c r="C4693" s="1" t="str">
        <f>"66298946306539"</f>
        <v>66298946306539</v>
      </c>
      <c r="D4693" s="1" t="str">
        <f>"FZ013N"</f>
        <v>FZ013N</v>
      </c>
      <c r="E4693" s="1" t="s">
        <v>17</v>
      </c>
      <c r="F4693" s="1">
        <v>2</v>
      </c>
      <c r="G4693" s="1">
        <v>4980</v>
      </c>
      <c r="H4693" s="1">
        <v>9960</v>
      </c>
      <c r="I4693" s="1">
        <v>0</v>
      </c>
      <c r="J4693" s="1">
        <v>2</v>
      </c>
      <c r="K4693" s="1">
        <v>0</v>
      </c>
    </row>
    <row r="4694" spans="1:11" x14ac:dyDescent="0.2">
      <c r="A4694" s="1" t="s">
        <v>4189</v>
      </c>
      <c r="B4694" s="1" t="s">
        <v>4299</v>
      </c>
      <c r="C4694" s="1" t="str">
        <f>"66298946347260"</f>
        <v>66298946347260</v>
      </c>
      <c r="D4694" s="1" t="str">
        <f>"FZ013R"</f>
        <v>FZ013R</v>
      </c>
      <c r="E4694" s="1" t="s">
        <v>17</v>
      </c>
      <c r="F4694" s="1">
        <v>3</v>
      </c>
      <c r="G4694" s="1">
        <v>4980</v>
      </c>
      <c r="H4694" s="1">
        <v>14940</v>
      </c>
      <c r="I4694" s="1">
        <v>0</v>
      </c>
      <c r="J4694" s="1">
        <v>3</v>
      </c>
      <c r="K4694" s="1">
        <v>0</v>
      </c>
    </row>
    <row r="4695" spans="1:11" x14ac:dyDescent="0.2">
      <c r="A4695" s="1" t="s">
        <v>4189</v>
      </c>
      <c r="B4695" s="1" t="s">
        <v>4300</v>
      </c>
      <c r="C4695" s="1" t="str">
        <f>"Y012-ROJO"</f>
        <v>Y012-ROJO</v>
      </c>
      <c r="D4695" s="1" t="str">
        <f>"Y012-ROJO"</f>
        <v>Y012-ROJO</v>
      </c>
      <c r="E4695" s="1" t="s">
        <v>17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</row>
    <row r="4696" spans="1:11" x14ac:dyDescent="0.2">
      <c r="A4696" s="1" t="s">
        <v>4189</v>
      </c>
      <c r="B4696" s="1" t="s">
        <v>4301</v>
      </c>
      <c r="C4696" s="1" t="str">
        <f>"Y337-BLANCO"</f>
        <v>Y337-BLANCO</v>
      </c>
      <c r="D4696" s="1" t="str">
        <f>"Y337-BLANCO"</f>
        <v>Y337-BLANCO</v>
      </c>
      <c r="E4696" s="1" t="s">
        <v>17</v>
      </c>
      <c r="F4696" s="1">
        <v>1</v>
      </c>
      <c r="G4696" s="1">
        <v>15102.05</v>
      </c>
      <c r="H4696" s="1">
        <v>15102</v>
      </c>
      <c r="I4696" s="1">
        <v>0</v>
      </c>
      <c r="J4696" s="1">
        <v>1</v>
      </c>
      <c r="K4696" s="1">
        <v>0</v>
      </c>
    </row>
    <row r="4697" spans="1:11" x14ac:dyDescent="0.2">
      <c r="A4697" s="1" t="s">
        <v>4189</v>
      </c>
      <c r="B4697" s="1" t="s">
        <v>4302</v>
      </c>
      <c r="C4697" s="1" t="str">
        <f>"Y339-BLANCO"</f>
        <v>Y339-BLANCO</v>
      </c>
      <c r="D4697" s="1" t="str">
        <f>"Y339-BLANCO"</f>
        <v>Y339-BLANCO</v>
      </c>
      <c r="E4697" s="1" t="s">
        <v>17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</row>
    <row r="4698" spans="1:11" x14ac:dyDescent="0.2">
      <c r="A4698" s="1" t="s">
        <v>4189</v>
      </c>
      <c r="B4698" s="1" t="s">
        <v>4303</v>
      </c>
      <c r="C4698" s="1" t="str">
        <f>"Y339-NEGRO"</f>
        <v>Y339-NEGRO</v>
      </c>
      <c r="D4698" s="1" t="str">
        <f>"Y339-NEGRO"</f>
        <v>Y339-NEGRO</v>
      </c>
      <c r="E4698" s="1" t="s">
        <v>17</v>
      </c>
      <c r="F4698" s="1">
        <v>1</v>
      </c>
      <c r="G4698" s="1">
        <v>6822</v>
      </c>
      <c r="H4698" s="1">
        <v>6822</v>
      </c>
      <c r="I4698" s="1">
        <v>0</v>
      </c>
      <c r="J4698" s="1">
        <v>1</v>
      </c>
      <c r="K4698" s="1">
        <v>0</v>
      </c>
    </row>
    <row r="4699" spans="1:11" x14ac:dyDescent="0.2">
      <c r="A4699" s="1" t="s">
        <v>4189</v>
      </c>
      <c r="B4699" s="1" t="s">
        <v>4304</v>
      </c>
      <c r="C4699" s="1" t="str">
        <f>"66298946390046"</f>
        <v>66298946390046</v>
      </c>
      <c r="D4699" s="1" t="str">
        <f>"FZ010N"</f>
        <v>FZ010N</v>
      </c>
      <c r="E4699" s="1" t="s">
        <v>17</v>
      </c>
      <c r="F4699" s="1">
        <v>2</v>
      </c>
      <c r="G4699" s="1">
        <v>18890</v>
      </c>
      <c r="H4699" s="1">
        <v>37780</v>
      </c>
      <c r="I4699" s="1">
        <v>0</v>
      </c>
      <c r="J4699" s="1">
        <v>2</v>
      </c>
      <c r="K4699" s="1">
        <v>0</v>
      </c>
    </row>
    <row r="4700" spans="1:11" x14ac:dyDescent="0.2">
      <c r="A4700" s="1" t="s">
        <v>4189</v>
      </c>
      <c r="B4700" s="1" t="s">
        <v>4305</v>
      </c>
      <c r="C4700" s="1" t="str">
        <f>"66298946432990"</f>
        <v>66298946432990</v>
      </c>
      <c r="D4700" s="1" t="str">
        <f>"FZ010R"</f>
        <v>FZ010R</v>
      </c>
      <c r="E4700" s="1" t="s">
        <v>17</v>
      </c>
      <c r="F4700" s="1">
        <v>2</v>
      </c>
      <c r="G4700" s="1">
        <v>18890</v>
      </c>
      <c r="H4700" s="1">
        <v>37780</v>
      </c>
      <c r="I4700" s="1">
        <v>0</v>
      </c>
      <c r="J4700" s="1">
        <v>2</v>
      </c>
      <c r="K4700" s="1">
        <v>0</v>
      </c>
    </row>
    <row r="4701" spans="1:11" x14ac:dyDescent="0.2">
      <c r="A4701" s="1" t="s">
        <v>4189</v>
      </c>
      <c r="B4701" s="1" t="s">
        <v>4306</v>
      </c>
      <c r="C4701" s="1" t="str">
        <f>"Y047-NEGRO"</f>
        <v>Y047-NEGRO</v>
      </c>
      <c r="D4701" s="1" t="str">
        <f>"Y047-NEGRO"</f>
        <v>Y047-NEGRO</v>
      </c>
      <c r="E4701" s="1" t="s">
        <v>17</v>
      </c>
      <c r="F4701" s="1">
        <v>1</v>
      </c>
      <c r="G4701" s="1">
        <v>11691</v>
      </c>
      <c r="H4701" s="1">
        <v>11691</v>
      </c>
      <c r="I4701" s="1">
        <v>0</v>
      </c>
      <c r="J4701" s="1">
        <v>1</v>
      </c>
      <c r="K4701" s="1">
        <v>0</v>
      </c>
    </row>
    <row r="4702" spans="1:11" x14ac:dyDescent="0.2">
      <c r="A4702" s="1" t="s">
        <v>4189</v>
      </c>
      <c r="B4702" s="1" t="s">
        <v>4306</v>
      </c>
      <c r="C4702" s="1" t="str">
        <f>"Y071-NEGRO"</f>
        <v>Y071-NEGRO</v>
      </c>
      <c r="D4702" s="1" t="str">
        <f>"Y071-NEGRO"</f>
        <v>Y071-NEGRO</v>
      </c>
      <c r="E4702" s="1" t="s">
        <v>17</v>
      </c>
      <c r="F4702" s="1">
        <v>1</v>
      </c>
      <c r="G4702" s="1">
        <v>12744</v>
      </c>
      <c r="H4702" s="1">
        <v>12744</v>
      </c>
      <c r="I4702" s="1">
        <v>0</v>
      </c>
      <c r="J4702" s="1">
        <v>1</v>
      </c>
      <c r="K4702" s="1">
        <v>0</v>
      </c>
    </row>
    <row r="4703" spans="1:11" x14ac:dyDescent="0.2">
      <c r="A4703" s="1" t="s">
        <v>4189</v>
      </c>
      <c r="B4703" s="1" t="s">
        <v>4307</v>
      </c>
      <c r="C4703" s="1" t="str">
        <f>"Y047-ROJO"</f>
        <v>Y047-ROJO</v>
      </c>
      <c r="D4703" s="1" t="str">
        <f>"Y047-ROJO"</f>
        <v>Y047-ROJO</v>
      </c>
      <c r="E4703" s="1" t="s">
        <v>17</v>
      </c>
      <c r="F4703" s="1">
        <v>1</v>
      </c>
      <c r="G4703" s="1">
        <v>11691</v>
      </c>
      <c r="H4703" s="1">
        <v>11691</v>
      </c>
      <c r="I4703" s="1">
        <v>0</v>
      </c>
      <c r="J4703" s="1">
        <v>1</v>
      </c>
      <c r="K4703" s="1">
        <v>0</v>
      </c>
    </row>
    <row r="4704" spans="1:11" x14ac:dyDescent="0.2">
      <c r="A4704" s="1" t="s">
        <v>4189</v>
      </c>
      <c r="B4704" s="1" t="s">
        <v>4308</v>
      </c>
      <c r="C4704" s="1" t="str">
        <f>"Y338-BLANCO"</f>
        <v>Y338-BLANCO</v>
      </c>
      <c r="D4704" s="1" t="str">
        <f>"Y338-BLANCO"</f>
        <v>Y338-BLANCO</v>
      </c>
      <c r="E4704" s="1" t="s">
        <v>17</v>
      </c>
      <c r="F4704" s="1">
        <v>1</v>
      </c>
      <c r="G4704" s="1">
        <v>12042.04</v>
      </c>
      <c r="H4704" s="1">
        <v>12042</v>
      </c>
      <c r="I4704" s="1">
        <v>0</v>
      </c>
      <c r="J4704" s="1">
        <v>1</v>
      </c>
      <c r="K4704" s="1">
        <v>0</v>
      </c>
    </row>
    <row r="4705" spans="1:11" x14ac:dyDescent="0.2">
      <c r="A4705" s="1" t="s">
        <v>4189</v>
      </c>
      <c r="B4705" s="1" t="s">
        <v>4309</v>
      </c>
      <c r="C4705" s="1" t="str">
        <f>"Y055-NEGRO"</f>
        <v>Y055-NEGRO</v>
      </c>
      <c r="D4705" s="1" t="str">
        <f>"Y055-NEGRO"</f>
        <v>Y055-NEGRO</v>
      </c>
      <c r="E4705" s="1" t="s">
        <v>17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</row>
    <row r="4706" spans="1:11" x14ac:dyDescent="0.2">
      <c r="A4706" s="1" t="s">
        <v>4189</v>
      </c>
      <c r="B4706" s="1" t="s">
        <v>4310</v>
      </c>
      <c r="C4706" s="1" t="str">
        <f>"Y055-ROJO"</f>
        <v>Y055-ROJO</v>
      </c>
      <c r="D4706" s="1" t="str">
        <f>"Y055-ROJO"</f>
        <v>Y055-ROJO</v>
      </c>
      <c r="E4706" s="1" t="s">
        <v>17</v>
      </c>
      <c r="F4706" s="1">
        <v>1</v>
      </c>
      <c r="G4706" s="1">
        <v>11925.06</v>
      </c>
      <c r="H4706" s="1">
        <v>11925</v>
      </c>
      <c r="I4706" s="1">
        <v>0</v>
      </c>
      <c r="J4706" s="1">
        <v>1</v>
      </c>
      <c r="K4706" s="1">
        <v>0</v>
      </c>
    </row>
    <row r="4707" spans="1:11" x14ac:dyDescent="0.2">
      <c r="A4707" s="1" t="s">
        <v>4189</v>
      </c>
      <c r="B4707" s="1" t="s">
        <v>4311</v>
      </c>
      <c r="C4707" s="1" t="str">
        <f>"Y030-NEGRO"</f>
        <v>Y030-NEGRO</v>
      </c>
      <c r="D4707" s="1" t="str">
        <f>"Y030-NEGRO"</f>
        <v>Y030-NEGRO</v>
      </c>
      <c r="E4707" s="1" t="s">
        <v>17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</row>
    <row r="4708" spans="1:11" x14ac:dyDescent="0.2">
      <c r="A4708" s="1" t="s">
        <v>4189</v>
      </c>
      <c r="B4708" s="1" t="s">
        <v>4312</v>
      </c>
      <c r="C4708" s="1" t="str">
        <f>"Y031-ROJO"</f>
        <v>Y031-ROJO</v>
      </c>
      <c r="D4708" s="1" t="str">
        <f>"Y031-ROJO"</f>
        <v>Y031-ROJO</v>
      </c>
      <c r="E4708" s="1" t="s">
        <v>17</v>
      </c>
      <c r="F4708" s="1">
        <v>1</v>
      </c>
      <c r="G4708" s="1">
        <v>5714.98</v>
      </c>
      <c r="H4708" s="1">
        <v>5715</v>
      </c>
      <c r="I4708" s="1">
        <v>0</v>
      </c>
      <c r="J4708" s="1">
        <v>1</v>
      </c>
      <c r="K4708" s="1">
        <v>0</v>
      </c>
    </row>
    <row r="4709" spans="1:11" x14ac:dyDescent="0.2">
      <c r="A4709" s="1" t="s">
        <v>4189</v>
      </c>
      <c r="B4709" s="1" t="s">
        <v>4313</v>
      </c>
      <c r="C4709" s="1" t="str">
        <f>"66298946476560"</f>
        <v>66298946476560</v>
      </c>
      <c r="D4709" s="1" t="str">
        <f>"Y299"</f>
        <v>Y299</v>
      </c>
      <c r="E4709" s="1" t="s">
        <v>17</v>
      </c>
      <c r="F4709" s="1">
        <v>3</v>
      </c>
      <c r="G4709" s="1">
        <v>9675</v>
      </c>
      <c r="H4709" s="1">
        <v>29025</v>
      </c>
      <c r="I4709" s="1">
        <v>0</v>
      </c>
      <c r="J4709" s="1">
        <v>3</v>
      </c>
      <c r="K4709" s="1">
        <v>0</v>
      </c>
    </row>
    <row r="4710" spans="1:11" x14ac:dyDescent="0.2">
      <c r="A4710" s="1" t="s">
        <v>4189</v>
      </c>
      <c r="B4710" s="1" t="s">
        <v>4314</v>
      </c>
      <c r="C4710" s="1" t="str">
        <f>"Y336"</f>
        <v>Y336</v>
      </c>
      <c r="D4710" s="1" t="str">
        <f>"Y336"</f>
        <v>Y336</v>
      </c>
      <c r="E4710" s="1" t="s">
        <v>17</v>
      </c>
      <c r="F4710" s="1">
        <v>1</v>
      </c>
      <c r="G4710" s="1">
        <v>8505.0300000000007</v>
      </c>
      <c r="H4710" s="1">
        <v>8505</v>
      </c>
      <c r="I4710" s="1">
        <v>0</v>
      </c>
      <c r="J4710" s="1">
        <v>1</v>
      </c>
      <c r="K4710" s="1">
        <v>0</v>
      </c>
    </row>
    <row r="4711" spans="1:11" x14ac:dyDescent="0.2">
      <c r="A4711" s="1" t="s">
        <v>4189</v>
      </c>
      <c r="B4711" s="1" t="s">
        <v>4315</v>
      </c>
      <c r="C4711" s="1" t="str">
        <f>"66298946515296"</f>
        <v>66298946515296</v>
      </c>
      <c r="D4711" s="1" t="str">
        <f>"E006"</f>
        <v>E006</v>
      </c>
      <c r="E4711" s="1" t="s">
        <v>17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</row>
    <row r="4712" spans="1:11" x14ac:dyDescent="0.2">
      <c r="A4712" s="1" t="s">
        <v>4189</v>
      </c>
      <c r="B4712" s="1" t="s">
        <v>4316</v>
      </c>
      <c r="C4712" s="1" t="str">
        <f>"66298946559082"</f>
        <v>66298946559082</v>
      </c>
      <c r="D4712" s="1" t="str">
        <f>"E007"</f>
        <v>E007</v>
      </c>
      <c r="E4712" s="1" t="s">
        <v>17</v>
      </c>
      <c r="F4712" s="1">
        <v>2</v>
      </c>
      <c r="G4712" s="1">
        <v>5100</v>
      </c>
      <c r="H4712" s="1">
        <v>10200</v>
      </c>
      <c r="I4712" s="1">
        <v>0</v>
      </c>
      <c r="J4712" s="1">
        <v>2</v>
      </c>
      <c r="K4712" s="1">
        <v>0</v>
      </c>
    </row>
    <row r="4713" spans="1:11" x14ac:dyDescent="0.2">
      <c r="A4713" s="1" t="s">
        <v>4189</v>
      </c>
      <c r="B4713" s="1" t="s">
        <v>4317</v>
      </c>
      <c r="C4713" s="1" t="str">
        <f>"66298946685924"</f>
        <v>66298946685924</v>
      </c>
      <c r="D4713" s="1" t="str">
        <f>"Y170-A"</f>
        <v>Y170-A</v>
      </c>
      <c r="E4713" s="1" t="s">
        <v>17</v>
      </c>
      <c r="F4713" s="1">
        <v>1</v>
      </c>
      <c r="G4713" s="1">
        <v>4966</v>
      </c>
      <c r="H4713" s="1">
        <v>4966</v>
      </c>
      <c r="I4713" s="1">
        <v>0</v>
      </c>
      <c r="J4713" s="1">
        <v>1</v>
      </c>
      <c r="K4713" s="1">
        <v>0</v>
      </c>
    </row>
    <row r="4714" spans="1:11" ht="30" x14ac:dyDescent="0.2">
      <c r="A4714" s="1" t="s">
        <v>4189</v>
      </c>
      <c r="B4714" s="1" t="s">
        <v>4318</v>
      </c>
      <c r="C4714" s="1" t="str">
        <f>"Y039-BLANCO"</f>
        <v>Y039-BLANCO</v>
      </c>
      <c r="D4714" s="1" t="str">
        <f>"Y039-BLANCO"</f>
        <v>Y039-BLANCO</v>
      </c>
      <c r="E4714" s="1" t="s">
        <v>17</v>
      </c>
      <c r="F4714" s="1">
        <v>1</v>
      </c>
      <c r="G4714" s="1">
        <v>8802</v>
      </c>
      <c r="H4714" s="1">
        <v>8802</v>
      </c>
      <c r="I4714" s="1">
        <v>0</v>
      </c>
      <c r="J4714" s="1">
        <v>1</v>
      </c>
      <c r="K4714" s="1">
        <v>0</v>
      </c>
    </row>
    <row r="4715" spans="1:11" ht="30" x14ac:dyDescent="0.2">
      <c r="A4715" s="1" t="s">
        <v>4189</v>
      </c>
      <c r="B4715" s="1" t="s">
        <v>4319</v>
      </c>
      <c r="C4715" s="1" t="str">
        <f>"Y039-NEGRO"</f>
        <v>Y039-NEGRO</v>
      </c>
      <c r="D4715" s="1" t="str">
        <f>"Y039-NEGRO"</f>
        <v>Y039-NEGRO</v>
      </c>
      <c r="E4715" s="1" t="s">
        <v>17</v>
      </c>
      <c r="F4715" s="1">
        <v>4</v>
      </c>
      <c r="G4715" s="1">
        <v>7721.97</v>
      </c>
      <c r="H4715" s="1">
        <v>30888</v>
      </c>
      <c r="I4715" s="1">
        <v>0</v>
      </c>
      <c r="J4715" s="1">
        <v>4</v>
      </c>
      <c r="K4715" s="1">
        <v>0</v>
      </c>
    </row>
    <row r="4716" spans="1:11" x14ac:dyDescent="0.2">
      <c r="A4716" s="1" t="s">
        <v>4189</v>
      </c>
      <c r="B4716" s="1" t="s">
        <v>4320</v>
      </c>
      <c r="C4716" s="1" t="str">
        <f>"66298946638898"</f>
        <v>66298946638898</v>
      </c>
      <c r="D4716" s="1" t="str">
        <f>"Y028"</f>
        <v>Y028</v>
      </c>
      <c r="E4716" s="1" t="s">
        <v>17</v>
      </c>
      <c r="F4716" s="1">
        <v>3</v>
      </c>
      <c r="G4716" s="1">
        <v>9272</v>
      </c>
      <c r="H4716" s="1">
        <v>27816</v>
      </c>
      <c r="I4716" s="1">
        <v>0</v>
      </c>
      <c r="J4716" s="1">
        <v>3</v>
      </c>
      <c r="K4716" s="1">
        <v>0</v>
      </c>
    </row>
    <row r="4717" spans="1:11" x14ac:dyDescent="0.2">
      <c r="A4717" s="1" t="s">
        <v>4233</v>
      </c>
      <c r="B4717" s="1" t="s">
        <v>4321</v>
      </c>
      <c r="C4717" s="1" t="str">
        <f>"66298946733546"</f>
        <v>66298946733546</v>
      </c>
      <c r="D4717" s="1" t="str">
        <f>"82860"</f>
        <v>82860</v>
      </c>
      <c r="E4717" s="1" t="s">
        <v>17</v>
      </c>
      <c r="F4717" s="1">
        <v>3</v>
      </c>
      <c r="G4717" s="1">
        <v>862.42</v>
      </c>
      <c r="H4717" s="1">
        <v>2587</v>
      </c>
      <c r="I4717" s="1">
        <v>0</v>
      </c>
      <c r="J4717" s="1">
        <v>3</v>
      </c>
      <c r="K4717" s="1">
        <v>0</v>
      </c>
    </row>
    <row r="4718" spans="1:11" x14ac:dyDescent="0.2">
      <c r="A4718" s="1" t="s">
        <v>4233</v>
      </c>
      <c r="B4718" s="1" t="s">
        <v>4322</v>
      </c>
      <c r="C4718" s="1" t="str">
        <f>"66298946772461"</f>
        <v>66298946772461</v>
      </c>
      <c r="D4718" s="1" t="str">
        <f>"CM003"</f>
        <v>CM003</v>
      </c>
      <c r="E4718" s="1" t="s">
        <v>17</v>
      </c>
      <c r="F4718" s="1">
        <v>2</v>
      </c>
      <c r="G4718" s="1">
        <v>279</v>
      </c>
      <c r="H4718" s="1">
        <v>558</v>
      </c>
      <c r="I4718" s="1">
        <v>0</v>
      </c>
      <c r="J4718" s="1">
        <v>2</v>
      </c>
      <c r="K4718" s="1">
        <v>0</v>
      </c>
    </row>
    <row r="4719" spans="1:11" x14ac:dyDescent="0.2">
      <c r="A4719" s="1" t="s">
        <v>4233</v>
      </c>
      <c r="B4719" s="1" t="s">
        <v>4323</v>
      </c>
      <c r="C4719" s="1" t="str">
        <f>"H2121"</f>
        <v>H2121</v>
      </c>
      <c r="D4719" s="1" t="str">
        <f>"H2121"</f>
        <v>H2121</v>
      </c>
      <c r="E4719" s="1" t="s">
        <v>17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</row>
    <row r="4720" spans="1:11" x14ac:dyDescent="0.2">
      <c r="A4720" s="1" t="s">
        <v>4233</v>
      </c>
      <c r="B4720" s="1" t="s">
        <v>4324</v>
      </c>
      <c r="C4720" s="1" t="str">
        <f>"66298946813144"</f>
        <v>66298946813144</v>
      </c>
      <c r="D4720" s="1" t="str">
        <f>"82868"</f>
        <v>82868</v>
      </c>
      <c r="E4720" s="1" t="s">
        <v>17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</row>
    <row r="4721" spans="1:11" x14ac:dyDescent="0.2">
      <c r="A4721" s="1" t="s">
        <v>4233</v>
      </c>
      <c r="B4721" s="1" t="s">
        <v>4325</v>
      </c>
      <c r="C4721" s="1" t="str">
        <f>"12402"</f>
        <v>12402</v>
      </c>
      <c r="D4721" s="1" t="str">
        <f>"12402"</f>
        <v>12402</v>
      </c>
      <c r="E4721" s="1" t="s">
        <v>17</v>
      </c>
      <c r="F4721" s="1">
        <v>10</v>
      </c>
      <c r="G4721" s="1">
        <v>399.04</v>
      </c>
      <c r="H4721" s="1">
        <v>3990</v>
      </c>
      <c r="I4721" s="1">
        <v>0</v>
      </c>
      <c r="J4721" s="1">
        <v>10</v>
      </c>
      <c r="K4721" s="1">
        <v>0</v>
      </c>
    </row>
    <row r="4722" spans="1:11" x14ac:dyDescent="0.2">
      <c r="A4722" s="1" t="s">
        <v>4233</v>
      </c>
      <c r="B4722" s="1" t="s">
        <v>4326</v>
      </c>
      <c r="C4722" s="1" t="str">
        <f>"66298946855820"</f>
        <v>66298946855820</v>
      </c>
      <c r="D4722" s="1" t="str">
        <f>"83965"</f>
        <v>83965</v>
      </c>
      <c r="E4722" s="1" t="s">
        <v>17</v>
      </c>
      <c r="F4722" s="1">
        <v>1</v>
      </c>
      <c r="G4722" s="1">
        <v>183</v>
      </c>
      <c r="H4722" s="1">
        <v>183</v>
      </c>
      <c r="I4722" s="1">
        <v>0</v>
      </c>
      <c r="J4722" s="1">
        <v>1</v>
      </c>
      <c r="K4722" s="1">
        <v>0</v>
      </c>
    </row>
    <row r="4723" spans="1:11" x14ac:dyDescent="0.2">
      <c r="A4723" s="1" t="s">
        <v>4233</v>
      </c>
      <c r="B4723" s="1" t="s">
        <v>4327</v>
      </c>
      <c r="C4723" s="1" t="str">
        <f>"66298946894995"</f>
        <v>66298946894995</v>
      </c>
      <c r="D4723" s="1" t="str">
        <f>"CN001"</f>
        <v>CN001</v>
      </c>
      <c r="E4723" s="1" t="s">
        <v>17</v>
      </c>
      <c r="F4723" s="1">
        <v>4</v>
      </c>
      <c r="G4723" s="1">
        <v>922</v>
      </c>
      <c r="H4723" s="1">
        <v>3688</v>
      </c>
      <c r="I4723" s="1">
        <v>0</v>
      </c>
      <c r="J4723" s="1">
        <v>4</v>
      </c>
      <c r="K4723" s="1">
        <v>0</v>
      </c>
    </row>
    <row r="4724" spans="1:11" x14ac:dyDescent="0.2">
      <c r="A4724" s="1" t="s">
        <v>4233</v>
      </c>
      <c r="B4724" s="1" t="s">
        <v>4328</v>
      </c>
      <c r="C4724" s="1" t="str">
        <f>"66298946934768"</f>
        <v>66298946934768</v>
      </c>
      <c r="D4724" s="1" t="str">
        <f>"DCA003"</f>
        <v>DCA003</v>
      </c>
      <c r="E4724" s="1" t="s">
        <v>17</v>
      </c>
      <c r="F4724" s="1">
        <v>2</v>
      </c>
      <c r="G4724" s="1">
        <v>958</v>
      </c>
      <c r="H4724" s="1">
        <v>1916</v>
      </c>
      <c r="I4724" s="1">
        <v>0</v>
      </c>
      <c r="J4724" s="1">
        <v>2</v>
      </c>
      <c r="K4724" s="1">
        <v>0</v>
      </c>
    </row>
    <row r="4725" spans="1:11" ht="30" x14ac:dyDescent="0.2">
      <c r="A4725" s="1" t="s">
        <v>4329</v>
      </c>
      <c r="B4725" s="1" t="s">
        <v>4330</v>
      </c>
      <c r="C4725" s="1" t="str">
        <f>"66298946973969"</f>
        <v>66298946973969</v>
      </c>
      <c r="D4725" s="1" t="str">
        <f>"400981"</f>
        <v>400981</v>
      </c>
      <c r="E4725" s="1" t="s">
        <v>17</v>
      </c>
      <c r="F4725" s="1">
        <v>142</v>
      </c>
      <c r="G4725" s="1">
        <v>1367</v>
      </c>
      <c r="H4725" s="1">
        <v>194114</v>
      </c>
      <c r="I4725" s="1">
        <v>0</v>
      </c>
      <c r="J4725" s="1">
        <v>142</v>
      </c>
      <c r="K4725" s="1">
        <v>0</v>
      </c>
    </row>
    <row r="4726" spans="1:11" x14ac:dyDescent="0.2">
      <c r="A4726" s="1" t="s">
        <v>4329</v>
      </c>
      <c r="B4726" s="1" t="s">
        <v>4331</v>
      </c>
      <c r="C4726" s="1" t="str">
        <f>"66298947015444"</f>
        <v>66298947015444</v>
      </c>
      <c r="D4726" s="1" t="str">
        <f>"14520-KSP-910JP"</f>
        <v>14520-KSP-910JP</v>
      </c>
      <c r="E4726" s="1" t="s">
        <v>17</v>
      </c>
      <c r="F4726" s="1">
        <v>1</v>
      </c>
      <c r="G4726" s="1">
        <v>1663</v>
      </c>
      <c r="H4726" s="1">
        <v>1663</v>
      </c>
      <c r="I4726" s="1">
        <v>0</v>
      </c>
      <c r="J4726" s="1">
        <v>1</v>
      </c>
      <c r="K4726" s="1">
        <v>0</v>
      </c>
    </row>
    <row r="4727" spans="1:11" x14ac:dyDescent="0.2">
      <c r="A4727" s="1" t="s">
        <v>4329</v>
      </c>
      <c r="B4727" s="1" t="s">
        <v>4332</v>
      </c>
      <c r="C4727" s="1" t="str">
        <f>"66298947173500"</f>
        <v>66298947173500</v>
      </c>
      <c r="D4727" s="1" t="str">
        <f>"400986"</f>
        <v>400986</v>
      </c>
      <c r="E4727" s="1" t="s">
        <v>17</v>
      </c>
      <c r="F4727" s="1">
        <v>152</v>
      </c>
      <c r="G4727" s="1">
        <v>1265</v>
      </c>
      <c r="H4727" s="1">
        <v>192280</v>
      </c>
      <c r="I4727" s="1">
        <v>0</v>
      </c>
      <c r="J4727" s="1">
        <v>152</v>
      </c>
      <c r="K4727" s="1">
        <v>0</v>
      </c>
    </row>
    <row r="4728" spans="1:11" x14ac:dyDescent="0.2">
      <c r="A4728" s="1" t="s">
        <v>4329</v>
      </c>
      <c r="B4728" s="1" t="s">
        <v>4333</v>
      </c>
      <c r="C4728" s="1" t="str">
        <f>"66298947066446"</f>
        <v>66298947066446</v>
      </c>
      <c r="D4728" s="1" t="str">
        <f>"21C-E2210-00JP"</f>
        <v>21C-E2210-00JP</v>
      </c>
      <c r="E4728" s="1" t="s">
        <v>17</v>
      </c>
      <c r="F4728" s="1">
        <v>3</v>
      </c>
      <c r="G4728" s="1">
        <v>4012</v>
      </c>
      <c r="H4728" s="1">
        <v>12036</v>
      </c>
      <c r="I4728" s="1">
        <v>0</v>
      </c>
      <c r="J4728" s="1">
        <v>3</v>
      </c>
      <c r="K4728" s="1">
        <v>0</v>
      </c>
    </row>
    <row r="4729" spans="1:11" x14ac:dyDescent="0.2">
      <c r="A4729" s="1" t="s">
        <v>4329</v>
      </c>
      <c r="B4729" s="1" t="s">
        <v>4333</v>
      </c>
      <c r="C4729" s="1" t="str">
        <f>"66298947072239"</f>
        <v>66298947072239</v>
      </c>
      <c r="D4729" s="1" t="str">
        <f>"CJ006"</f>
        <v>CJ006</v>
      </c>
      <c r="E4729" s="1" t="s">
        <v>17</v>
      </c>
      <c r="F4729" s="1">
        <v>4</v>
      </c>
      <c r="G4729" s="1">
        <v>1841</v>
      </c>
      <c r="H4729" s="1">
        <v>7364</v>
      </c>
      <c r="I4729" s="1">
        <v>0</v>
      </c>
      <c r="J4729" s="1">
        <v>4</v>
      </c>
      <c r="K4729" s="1">
        <v>0</v>
      </c>
    </row>
    <row r="4730" spans="1:11" x14ac:dyDescent="0.2">
      <c r="A4730" s="1" t="s">
        <v>4329</v>
      </c>
      <c r="B4730" s="1" t="s">
        <v>4333</v>
      </c>
      <c r="C4730" s="1" t="str">
        <f>"66298947127558"</f>
        <v>66298947127558</v>
      </c>
      <c r="D4730" s="1" t="str">
        <f>"9383"</f>
        <v>9383</v>
      </c>
      <c r="E4730" s="1" t="s">
        <v>17</v>
      </c>
      <c r="F4730" s="1">
        <v>1</v>
      </c>
      <c r="G4730" s="1">
        <v>2412</v>
      </c>
      <c r="H4730" s="1">
        <v>2412</v>
      </c>
      <c r="I4730" s="1">
        <v>0</v>
      </c>
      <c r="J4730" s="1">
        <v>1</v>
      </c>
      <c r="K4730" s="1">
        <v>0</v>
      </c>
    </row>
    <row r="4731" spans="1:11" x14ac:dyDescent="0.2">
      <c r="A4731" s="1" t="s">
        <v>4329</v>
      </c>
      <c r="B4731" s="1" t="s">
        <v>4334</v>
      </c>
      <c r="C4731" s="1" t="str">
        <f>"11909"</f>
        <v>11909</v>
      </c>
      <c r="D4731" s="1" t="str">
        <f>"11909"</f>
        <v>11909</v>
      </c>
      <c r="E4731" s="1" t="s">
        <v>17</v>
      </c>
      <c r="F4731" s="1">
        <v>4</v>
      </c>
      <c r="G4731" s="1">
        <v>4159.66</v>
      </c>
      <c r="H4731" s="1">
        <v>16639</v>
      </c>
      <c r="I4731" s="1">
        <v>0</v>
      </c>
      <c r="J4731" s="1">
        <v>4</v>
      </c>
      <c r="K4731" s="1">
        <v>0</v>
      </c>
    </row>
    <row r="4732" spans="1:11" x14ac:dyDescent="0.2">
      <c r="A4732" s="1" t="s">
        <v>4329</v>
      </c>
      <c r="B4732" s="1" t="s">
        <v>4335</v>
      </c>
      <c r="C4732" s="1" t="str">
        <f>"66298947215193"</f>
        <v>66298947215193</v>
      </c>
      <c r="D4732" s="1" t="str">
        <f>"400983"</f>
        <v>400983</v>
      </c>
      <c r="E4732" s="1" t="s">
        <v>17</v>
      </c>
      <c r="F4732" s="1">
        <v>94</v>
      </c>
      <c r="G4732" s="1">
        <v>1242</v>
      </c>
      <c r="H4732" s="1">
        <v>116748</v>
      </c>
      <c r="I4732" s="1">
        <v>0</v>
      </c>
      <c r="J4732" s="1">
        <v>94</v>
      </c>
      <c r="K4732" s="1">
        <v>0</v>
      </c>
    </row>
    <row r="4733" spans="1:11" x14ac:dyDescent="0.2">
      <c r="A4733" s="1" t="s">
        <v>4329</v>
      </c>
      <c r="B4733" s="1" t="s">
        <v>4336</v>
      </c>
      <c r="C4733" s="1" t="str">
        <f>"12830-19B02JP"</f>
        <v>12830-19B02JP</v>
      </c>
      <c r="D4733" s="1" t="str">
        <f>"12830-19B02JP"</f>
        <v>12830-19B02JP</v>
      </c>
      <c r="E4733" s="1" t="s">
        <v>17</v>
      </c>
      <c r="F4733" s="1">
        <v>6</v>
      </c>
      <c r="G4733" s="1">
        <v>3995</v>
      </c>
      <c r="H4733" s="1">
        <v>23970</v>
      </c>
      <c r="I4733" s="1">
        <v>0</v>
      </c>
      <c r="J4733" s="1">
        <v>6</v>
      </c>
      <c r="K4733" s="1">
        <v>0</v>
      </c>
    </row>
    <row r="4734" spans="1:11" x14ac:dyDescent="0.2">
      <c r="A4734" s="1" t="s">
        <v>4329</v>
      </c>
      <c r="B4734" s="1" t="s">
        <v>4337</v>
      </c>
      <c r="C4734" s="1" t="str">
        <f>"66298947317667"</f>
        <v>66298947317667</v>
      </c>
      <c r="D4734" s="1" t="str">
        <f>"400977"</f>
        <v>400977</v>
      </c>
      <c r="E4734" s="1" t="s">
        <v>17</v>
      </c>
      <c r="F4734" s="1">
        <v>17</v>
      </c>
      <c r="G4734" s="1">
        <v>1316</v>
      </c>
      <c r="H4734" s="1">
        <v>22372</v>
      </c>
      <c r="I4734" s="1">
        <v>0</v>
      </c>
      <c r="J4734" s="1">
        <v>17</v>
      </c>
      <c r="K4734" s="1">
        <v>0</v>
      </c>
    </row>
    <row r="4735" spans="1:11" x14ac:dyDescent="0.2">
      <c r="A4735" s="1" t="s">
        <v>4329</v>
      </c>
      <c r="B4735" s="1" t="s">
        <v>4338</v>
      </c>
      <c r="C4735" s="1" t="str">
        <f>"66298947271304"</f>
        <v>66298947271304</v>
      </c>
      <c r="D4735" s="1" t="str">
        <f>"CJ002"</f>
        <v>CJ002</v>
      </c>
      <c r="E4735" s="1" t="s">
        <v>17</v>
      </c>
      <c r="F4735" s="1">
        <v>1</v>
      </c>
      <c r="G4735" s="1">
        <v>1748</v>
      </c>
      <c r="H4735" s="1">
        <v>1748</v>
      </c>
      <c r="I4735" s="1">
        <v>0</v>
      </c>
      <c r="J4735" s="1">
        <v>1</v>
      </c>
      <c r="K4735" s="1">
        <v>0</v>
      </c>
    </row>
    <row r="4736" spans="1:11" x14ac:dyDescent="0.2">
      <c r="A4736" s="1" t="s">
        <v>4329</v>
      </c>
      <c r="B4736" s="1" t="s">
        <v>4339</v>
      </c>
      <c r="C4736" s="1" t="str">
        <f>"66298947354377"</f>
        <v>66298947354377</v>
      </c>
      <c r="D4736" s="1" t="str">
        <f>"JV-5210-03"</f>
        <v>JV-5210-03</v>
      </c>
      <c r="E4736" s="1" t="s">
        <v>17</v>
      </c>
      <c r="F4736" s="1">
        <v>5</v>
      </c>
      <c r="G4736" s="1">
        <v>1813</v>
      </c>
      <c r="H4736" s="1">
        <v>9065</v>
      </c>
      <c r="I4736" s="1">
        <v>0</v>
      </c>
      <c r="J4736" s="1">
        <v>5</v>
      </c>
      <c r="K4736" s="1">
        <v>0</v>
      </c>
    </row>
    <row r="4737" spans="1:11" x14ac:dyDescent="0.2">
      <c r="A4737" s="1" t="s">
        <v>4329</v>
      </c>
      <c r="B4737" s="1" t="s">
        <v>4340</v>
      </c>
      <c r="C4737" s="1" t="str">
        <f>"66298947394713"</f>
        <v>66298947394713</v>
      </c>
      <c r="D4737" s="1" t="str">
        <f>"DS-1012-77"</f>
        <v>DS-1012-77</v>
      </c>
      <c r="E4737" s="1" t="s">
        <v>17</v>
      </c>
      <c r="F4737" s="1">
        <v>3</v>
      </c>
      <c r="G4737" s="1">
        <v>2089</v>
      </c>
      <c r="H4737" s="1">
        <v>6267</v>
      </c>
      <c r="I4737" s="1">
        <v>0</v>
      </c>
      <c r="J4737" s="1">
        <v>3</v>
      </c>
      <c r="K4737" s="1">
        <v>0</v>
      </c>
    </row>
    <row r="4738" spans="1:11" x14ac:dyDescent="0.2">
      <c r="A4738" s="1" t="s">
        <v>4329</v>
      </c>
      <c r="B4738" s="1" t="s">
        <v>4341</v>
      </c>
      <c r="C4738" s="1" t="str">
        <f>"66298947440884"</f>
        <v>66298947440884</v>
      </c>
      <c r="D4738" s="1" t="str">
        <f>"400985"</f>
        <v>400985</v>
      </c>
      <c r="E4738" s="1" t="s">
        <v>17</v>
      </c>
      <c r="F4738" s="1">
        <v>165</v>
      </c>
      <c r="G4738" s="1">
        <v>1284</v>
      </c>
      <c r="H4738" s="1">
        <v>211860</v>
      </c>
      <c r="I4738" s="1">
        <v>0</v>
      </c>
      <c r="J4738" s="1">
        <v>165</v>
      </c>
      <c r="K4738" s="1">
        <v>0</v>
      </c>
    </row>
    <row r="4739" spans="1:11" x14ac:dyDescent="0.2">
      <c r="A4739" s="1" t="s">
        <v>4329</v>
      </c>
      <c r="B4739" s="1" t="s">
        <v>4342</v>
      </c>
      <c r="C4739" s="1" t="str">
        <f>"66298947485901"</f>
        <v>66298947485901</v>
      </c>
      <c r="D4739" s="1" t="str">
        <f>"14520-GFY6-902JP"</f>
        <v>14520-GFY6-902JP</v>
      </c>
      <c r="E4739" s="1" t="s">
        <v>17</v>
      </c>
      <c r="F4739" s="1">
        <v>2</v>
      </c>
      <c r="G4739" s="1">
        <v>1549</v>
      </c>
      <c r="H4739" s="1">
        <v>3098</v>
      </c>
      <c r="I4739" s="1">
        <v>0</v>
      </c>
      <c r="J4739" s="1">
        <v>2</v>
      </c>
      <c r="K4739" s="1">
        <v>0</v>
      </c>
    </row>
    <row r="4740" spans="1:11" x14ac:dyDescent="0.2">
      <c r="A4740" s="1" t="s">
        <v>4329</v>
      </c>
      <c r="B4740" s="1" t="s">
        <v>4342</v>
      </c>
      <c r="C4740" s="1" t="str">
        <f>"66298947493186"</f>
        <v>66298947493186</v>
      </c>
      <c r="D4740" s="1" t="str">
        <f>"CJ001"</f>
        <v>CJ001</v>
      </c>
      <c r="E4740" s="1" t="s">
        <v>17</v>
      </c>
      <c r="F4740" s="1">
        <v>3</v>
      </c>
      <c r="G4740" s="1">
        <v>1367</v>
      </c>
      <c r="H4740" s="1">
        <v>4101</v>
      </c>
      <c r="I4740" s="1">
        <v>0</v>
      </c>
      <c r="J4740" s="1">
        <v>3</v>
      </c>
      <c r="K4740" s="1">
        <v>0</v>
      </c>
    </row>
    <row r="4741" spans="1:11" x14ac:dyDescent="0.2">
      <c r="A4741" s="1" t="s">
        <v>4329</v>
      </c>
      <c r="B4741" s="1" t="s">
        <v>4342</v>
      </c>
      <c r="C4741" s="1" t="str">
        <f>"66298947546978"</f>
        <v>66298947546978</v>
      </c>
      <c r="D4741" s="1" t="str">
        <f>"24647"</f>
        <v>24647</v>
      </c>
      <c r="E4741" s="1" t="s">
        <v>17</v>
      </c>
      <c r="F4741" s="1">
        <v>2</v>
      </c>
      <c r="G4741" s="1">
        <v>615</v>
      </c>
      <c r="H4741" s="1">
        <v>1230</v>
      </c>
      <c r="I4741" s="1">
        <v>0</v>
      </c>
      <c r="J4741" s="1">
        <v>2</v>
      </c>
      <c r="K4741" s="1">
        <v>0</v>
      </c>
    </row>
    <row r="4742" spans="1:11" x14ac:dyDescent="0.2">
      <c r="A4742" s="1" t="s">
        <v>4329</v>
      </c>
      <c r="B4742" s="1" t="s">
        <v>4342</v>
      </c>
      <c r="C4742" s="1" t="str">
        <f>"66298947553381"</f>
        <v>66298947553381</v>
      </c>
      <c r="D4742" s="1" t="str">
        <f>"80627"</f>
        <v>80627</v>
      </c>
      <c r="E4742" s="1" t="s">
        <v>17</v>
      </c>
      <c r="F4742" s="1">
        <v>2</v>
      </c>
      <c r="G4742" s="1">
        <v>935</v>
      </c>
      <c r="H4742" s="1">
        <v>1870</v>
      </c>
      <c r="I4742" s="1">
        <v>0</v>
      </c>
      <c r="J4742" s="1">
        <v>2</v>
      </c>
      <c r="K4742" s="1">
        <v>0</v>
      </c>
    </row>
    <row r="4743" spans="1:11" x14ac:dyDescent="0.2">
      <c r="A4743" s="1" t="s">
        <v>4329</v>
      </c>
      <c r="B4743" s="1" t="s">
        <v>4343</v>
      </c>
      <c r="C4743" s="1" t="str">
        <f>"66298947609057"</f>
        <v>66298947609057</v>
      </c>
      <c r="D4743" s="1" t="str">
        <f>"400979"</f>
        <v>400979</v>
      </c>
      <c r="E4743" s="1" t="s">
        <v>17</v>
      </c>
      <c r="F4743" s="1">
        <v>170</v>
      </c>
      <c r="G4743" s="1">
        <v>1224</v>
      </c>
      <c r="H4743" s="1">
        <v>208080</v>
      </c>
      <c r="I4743" s="1">
        <v>0</v>
      </c>
      <c r="J4743" s="1">
        <v>170</v>
      </c>
      <c r="K4743" s="1">
        <v>0</v>
      </c>
    </row>
    <row r="4744" spans="1:11" ht="30" x14ac:dyDescent="0.2">
      <c r="A4744" s="1" t="s">
        <v>4329</v>
      </c>
      <c r="B4744" s="1" t="s">
        <v>4344</v>
      </c>
      <c r="C4744" s="1" t="str">
        <f>"14520-KPF-912JP"</f>
        <v>14520-KPF-912JP</v>
      </c>
      <c r="D4744" s="1" t="str">
        <f>"14520-KPF-912JP"</f>
        <v>14520-KPF-912JP</v>
      </c>
      <c r="E4744" s="1" t="s">
        <v>17</v>
      </c>
      <c r="F4744" s="1">
        <v>1</v>
      </c>
      <c r="G4744" s="1">
        <v>3987</v>
      </c>
      <c r="H4744" s="1">
        <v>3987</v>
      </c>
      <c r="I4744" s="1">
        <v>0</v>
      </c>
      <c r="J4744" s="1">
        <v>1</v>
      </c>
      <c r="K4744" s="1">
        <v>0</v>
      </c>
    </row>
    <row r="4745" spans="1:11" x14ac:dyDescent="0.2">
      <c r="A4745" s="1" t="s">
        <v>4329</v>
      </c>
      <c r="B4745" s="1" t="s">
        <v>4345</v>
      </c>
      <c r="C4745" s="1" t="str">
        <f>"66298947654006"</f>
        <v>66298947654006</v>
      </c>
      <c r="D4745" s="1" t="str">
        <f>"14520-KCY-671"</f>
        <v>14520-KCY-671</v>
      </c>
      <c r="E4745" s="1" t="s">
        <v>17</v>
      </c>
      <c r="F4745" s="1">
        <v>1</v>
      </c>
      <c r="G4745" s="1">
        <v>9067</v>
      </c>
      <c r="H4745" s="1">
        <v>9067</v>
      </c>
      <c r="I4745" s="1">
        <v>0</v>
      </c>
      <c r="J4745" s="1">
        <v>1</v>
      </c>
      <c r="K4745" s="1">
        <v>0</v>
      </c>
    </row>
    <row r="4746" spans="1:11" x14ac:dyDescent="0.2">
      <c r="A4746" s="1" t="s">
        <v>4329</v>
      </c>
      <c r="B4746" s="1" t="s">
        <v>4346</v>
      </c>
      <c r="C4746" s="1" t="str">
        <f>"66298947692290"</f>
        <v>66298947692290</v>
      </c>
      <c r="D4746" s="1" t="str">
        <f>"CJ004"</f>
        <v>CJ004</v>
      </c>
      <c r="E4746" s="1" t="s">
        <v>17</v>
      </c>
      <c r="F4746" s="1">
        <v>2</v>
      </c>
      <c r="G4746" s="1">
        <v>1832</v>
      </c>
      <c r="H4746" s="1">
        <v>3664</v>
      </c>
      <c r="I4746" s="1">
        <v>0</v>
      </c>
      <c r="J4746" s="1">
        <v>2</v>
      </c>
      <c r="K4746" s="1">
        <v>0</v>
      </c>
    </row>
    <row r="4747" spans="1:11" x14ac:dyDescent="0.2">
      <c r="A4747" s="1" t="s">
        <v>4329</v>
      </c>
      <c r="B4747" s="1" t="s">
        <v>4347</v>
      </c>
      <c r="C4747" s="1" t="str">
        <f>"66298947732248"</f>
        <v>66298947732248</v>
      </c>
      <c r="D4747" s="1" t="str">
        <f>"401050"</f>
        <v>401050</v>
      </c>
      <c r="E4747" s="1" t="s">
        <v>17</v>
      </c>
      <c r="F4747" s="1">
        <v>165</v>
      </c>
      <c r="G4747" s="1">
        <v>1157</v>
      </c>
      <c r="H4747" s="1">
        <v>190905</v>
      </c>
      <c r="I4747" s="1">
        <v>0</v>
      </c>
      <c r="J4747" s="1">
        <v>165</v>
      </c>
      <c r="K4747" s="1">
        <v>0</v>
      </c>
    </row>
    <row r="4748" spans="1:11" x14ac:dyDescent="0.2">
      <c r="A4748" s="1" t="s">
        <v>4329</v>
      </c>
      <c r="B4748" s="1" t="s">
        <v>4348</v>
      </c>
      <c r="C4748" s="1" t="str">
        <f>"66298947775608"</f>
        <v>66298947775608</v>
      </c>
      <c r="D4748" s="1" t="str">
        <f>"400980"</f>
        <v>400980</v>
      </c>
      <c r="E4748" s="1" t="s">
        <v>17</v>
      </c>
      <c r="F4748" s="1">
        <v>87</v>
      </c>
      <c r="G4748" s="1">
        <v>1274</v>
      </c>
      <c r="H4748" s="1">
        <v>110838</v>
      </c>
      <c r="I4748" s="1">
        <v>0</v>
      </c>
      <c r="J4748" s="1">
        <v>87</v>
      </c>
      <c r="K4748" s="1">
        <v>0</v>
      </c>
    </row>
    <row r="4749" spans="1:11" x14ac:dyDescent="0.2">
      <c r="A4749" s="1" t="s">
        <v>4329</v>
      </c>
      <c r="B4749" s="1" t="s">
        <v>4349</v>
      </c>
      <c r="C4749" s="1" t="str">
        <f>"66298947818104"</f>
        <v>66298947818104</v>
      </c>
      <c r="D4749" s="1" t="str">
        <f>"14510-KWF-900JP"</f>
        <v>14510-KWF-900JP</v>
      </c>
      <c r="E4749" s="1" t="s">
        <v>17</v>
      </c>
      <c r="F4749" s="1">
        <v>2</v>
      </c>
      <c r="G4749" s="1">
        <v>1677</v>
      </c>
      <c r="H4749" s="1">
        <v>3354</v>
      </c>
      <c r="I4749" s="1">
        <v>0</v>
      </c>
      <c r="J4749" s="1">
        <v>2</v>
      </c>
      <c r="K4749" s="1">
        <v>0</v>
      </c>
    </row>
    <row r="4750" spans="1:11" x14ac:dyDescent="0.2">
      <c r="A4750" s="1" t="s">
        <v>4329</v>
      </c>
      <c r="B4750" s="1" t="s">
        <v>4350</v>
      </c>
      <c r="C4750" s="1" t="str">
        <f>"66298947857219"</f>
        <v>66298947857219</v>
      </c>
      <c r="D4750" s="1" t="str">
        <f>"12811-18A01JP"</f>
        <v>12811-18A01JP</v>
      </c>
      <c r="E4750" s="1" t="s">
        <v>17</v>
      </c>
      <c r="F4750" s="1">
        <v>9</v>
      </c>
      <c r="G4750" s="1">
        <v>924</v>
      </c>
      <c r="H4750" s="1">
        <v>8316</v>
      </c>
      <c r="I4750" s="1">
        <v>0</v>
      </c>
      <c r="J4750" s="1">
        <v>9</v>
      </c>
      <c r="K4750" s="1">
        <v>0</v>
      </c>
    </row>
    <row r="4751" spans="1:11" x14ac:dyDescent="0.2">
      <c r="A4751" s="1" t="s">
        <v>4329</v>
      </c>
      <c r="B4751" s="1" t="s">
        <v>4351</v>
      </c>
      <c r="C4751" s="1" t="str">
        <f>"66298947899237"</f>
        <v>66298947899237</v>
      </c>
      <c r="D4751" s="1" t="str">
        <f>"21C-E2241-00JP"</f>
        <v>21C-E2241-00JP</v>
      </c>
      <c r="E4751" s="1" t="s">
        <v>17</v>
      </c>
      <c r="F4751" s="1">
        <v>1</v>
      </c>
      <c r="G4751" s="1">
        <v>1726</v>
      </c>
      <c r="H4751" s="1">
        <v>1726</v>
      </c>
      <c r="I4751" s="1">
        <v>0</v>
      </c>
      <c r="J4751" s="1">
        <v>1</v>
      </c>
      <c r="K4751" s="1">
        <v>0</v>
      </c>
    </row>
    <row r="4752" spans="1:11" x14ac:dyDescent="0.2">
      <c r="A4752" s="1" t="s">
        <v>4329</v>
      </c>
      <c r="B4752" s="1" t="s">
        <v>4352</v>
      </c>
      <c r="C4752" s="1" t="str">
        <f>"588008"</f>
        <v>588008</v>
      </c>
      <c r="D4752" s="1" t="str">
        <f>"588008"</f>
        <v>588008</v>
      </c>
      <c r="E4752" s="1" t="s">
        <v>17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</row>
    <row r="4753" spans="1:11" x14ac:dyDescent="0.2">
      <c r="A4753" s="1" t="s">
        <v>4329</v>
      </c>
      <c r="B4753" s="1" t="s">
        <v>4353</v>
      </c>
      <c r="C4753" s="1" t="str">
        <f>"66298947940020"</f>
        <v>66298947940020</v>
      </c>
      <c r="D4753" s="1" t="str">
        <f>"12811-12F50JP"</f>
        <v>12811-12F50JP</v>
      </c>
      <c r="E4753" s="1" t="s">
        <v>17</v>
      </c>
      <c r="F4753" s="1">
        <v>3</v>
      </c>
      <c r="G4753" s="1">
        <v>1173</v>
      </c>
      <c r="H4753" s="1">
        <v>3519</v>
      </c>
      <c r="I4753" s="1">
        <v>0</v>
      </c>
      <c r="J4753" s="1">
        <v>3</v>
      </c>
      <c r="K4753" s="1">
        <v>0</v>
      </c>
    </row>
    <row r="4754" spans="1:11" x14ac:dyDescent="0.2">
      <c r="A4754" s="1" t="s">
        <v>4329</v>
      </c>
      <c r="B4754" s="1" t="s">
        <v>4354</v>
      </c>
      <c r="C4754" s="1" t="str">
        <f>"66298948023359"</f>
        <v>66298948023359</v>
      </c>
      <c r="D4754" s="1" t="str">
        <f>"14500-427-000"</f>
        <v>14500-427-000</v>
      </c>
      <c r="E4754" s="1" t="s">
        <v>17</v>
      </c>
      <c r="F4754" s="1">
        <v>1</v>
      </c>
      <c r="G4754" s="1">
        <v>3724</v>
      </c>
      <c r="H4754" s="1">
        <v>3724</v>
      </c>
      <c r="I4754" s="1">
        <v>0</v>
      </c>
      <c r="J4754" s="1">
        <v>1</v>
      </c>
      <c r="K4754" s="1">
        <v>0</v>
      </c>
    </row>
    <row r="4755" spans="1:11" x14ac:dyDescent="0.2">
      <c r="A4755" s="1" t="s">
        <v>4329</v>
      </c>
      <c r="B4755" s="1" t="s">
        <v>4355</v>
      </c>
      <c r="C4755" s="1" t="str">
        <f>"66298947984096"</f>
        <v>66298947984096</v>
      </c>
      <c r="D4755" s="1" t="str">
        <f>"14500-KBB-900JP"</f>
        <v>14500-KBB-900JP</v>
      </c>
      <c r="E4755" s="1" t="s">
        <v>17</v>
      </c>
      <c r="F4755" s="1">
        <v>17</v>
      </c>
      <c r="G4755" s="1">
        <v>1040</v>
      </c>
      <c r="H4755" s="1">
        <v>17680</v>
      </c>
      <c r="I4755" s="1">
        <v>0</v>
      </c>
      <c r="J4755" s="1">
        <v>17</v>
      </c>
      <c r="K4755" s="1">
        <v>0</v>
      </c>
    </row>
    <row r="4756" spans="1:11" x14ac:dyDescent="0.2">
      <c r="A4756" s="1" t="s">
        <v>4329</v>
      </c>
      <c r="B4756" s="1" t="s">
        <v>4356</v>
      </c>
      <c r="C4756" s="1" t="str">
        <f>"66298948063442"</f>
        <v>66298948063442</v>
      </c>
      <c r="D4756" s="1" t="str">
        <f>"5YY-E2241-00JP"</f>
        <v>5YY-E2241-00JP</v>
      </c>
      <c r="E4756" s="1" t="s">
        <v>17</v>
      </c>
      <c r="F4756" s="1">
        <v>4</v>
      </c>
      <c r="G4756" s="1">
        <v>1194</v>
      </c>
      <c r="H4756" s="1">
        <v>4776</v>
      </c>
      <c r="I4756" s="1">
        <v>0</v>
      </c>
      <c r="J4756" s="1">
        <v>4</v>
      </c>
      <c r="K4756" s="1">
        <v>0</v>
      </c>
    </row>
    <row r="4757" spans="1:11" x14ac:dyDescent="0.2">
      <c r="A4757" s="1" t="s">
        <v>4329</v>
      </c>
      <c r="B4757" s="1" t="s">
        <v>4357</v>
      </c>
      <c r="C4757" s="1" t="str">
        <f>"66298948102343"</f>
        <v>66298948102343</v>
      </c>
      <c r="D4757" s="1" t="str">
        <f>"CJ012"</f>
        <v>CJ012</v>
      </c>
      <c r="E4757" s="1" t="s">
        <v>17</v>
      </c>
      <c r="F4757" s="1">
        <v>6</v>
      </c>
      <c r="G4757" s="1">
        <v>4475.33</v>
      </c>
      <c r="H4757" s="1">
        <v>26852</v>
      </c>
      <c r="I4757" s="1">
        <v>0</v>
      </c>
      <c r="J4757" s="1">
        <v>6</v>
      </c>
      <c r="K4757" s="1">
        <v>0</v>
      </c>
    </row>
    <row r="4758" spans="1:11" x14ac:dyDescent="0.2">
      <c r="A4758" s="1" t="s">
        <v>4329</v>
      </c>
      <c r="B4758" s="1" t="s">
        <v>4358</v>
      </c>
      <c r="C4758" s="1" t="str">
        <f>"66298948144405"</f>
        <v>66298948144405</v>
      </c>
      <c r="D4758" s="1" t="str">
        <f>"R029"</f>
        <v>R029</v>
      </c>
      <c r="E4758" s="1" t="s">
        <v>17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</row>
    <row r="4759" spans="1:11" x14ac:dyDescent="0.2">
      <c r="A4759" s="1" t="s">
        <v>98</v>
      </c>
      <c r="B4759" s="1" t="s">
        <v>4359</v>
      </c>
      <c r="C4759" s="1" t="str">
        <f>"66298948185203"</f>
        <v>66298948185203</v>
      </c>
      <c r="D4759" s="1" t="str">
        <f>"13522"</f>
        <v>13522</v>
      </c>
      <c r="E4759" s="1" t="s">
        <v>17</v>
      </c>
      <c r="F4759" s="1">
        <v>2</v>
      </c>
      <c r="G4759" s="1">
        <v>2950</v>
      </c>
      <c r="H4759" s="1">
        <v>5900</v>
      </c>
      <c r="I4759" s="1">
        <v>0</v>
      </c>
      <c r="J4759" s="1">
        <v>2</v>
      </c>
      <c r="K4759" s="1">
        <v>0</v>
      </c>
    </row>
    <row r="4760" spans="1:11" x14ac:dyDescent="0.2">
      <c r="A4760" s="1" t="s">
        <v>98</v>
      </c>
      <c r="B4760" s="1" t="s">
        <v>4360</v>
      </c>
      <c r="C4760" s="1" t="str">
        <f>"66298948231380"</f>
        <v>66298948231380</v>
      </c>
      <c r="D4760" s="1" t="str">
        <f>"13523"</f>
        <v>13523</v>
      </c>
      <c r="E4760" s="1" t="s">
        <v>17</v>
      </c>
      <c r="F4760" s="1">
        <v>2</v>
      </c>
      <c r="G4760" s="1">
        <v>3900</v>
      </c>
      <c r="H4760" s="1">
        <v>7800</v>
      </c>
      <c r="I4760" s="1">
        <v>0</v>
      </c>
      <c r="J4760" s="1">
        <v>2</v>
      </c>
      <c r="K4760" s="1">
        <v>0</v>
      </c>
    </row>
    <row r="4761" spans="1:11" x14ac:dyDescent="0.2">
      <c r="A4761" s="1" t="s">
        <v>98</v>
      </c>
      <c r="B4761" s="1" t="s">
        <v>4361</v>
      </c>
      <c r="C4761" s="1" t="str">
        <f>"66298948273169"</f>
        <v>66298948273169</v>
      </c>
      <c r="D4761" s="1" t="str">
        <f>"81569"</f>
        <v>81569</v>
      </c>
      <c r="E4761" s="1" t="s">
        <v>17</v>
      </c>
      <c r="F4761" s="1">
        <v>3</v>
      </c>
      <c r="G4761" s="1">
        <v>964</v>
      </c>
      <c r="H4761" s="1">
        <v>2892</v>
      </c>
      <c r="I4761" s="1">
        <v>0</v>
      </c>
      <c r="J4761" s="1">
        <v>3</v>
      </c>
      <c r="K4761" s="1">
        <v>0</v>
      </c>
    </row>
    <row r="4762" spans="1:11" x14ac:dyDescent="0.2">
      <c r="A4762" s="2" t="s">
        <v>4362</v>
      </c>
      <c r="B4762" s="1" t="s">
        <v>4363</v>
      </c>
      <c r="C4762" s="2" t="str">
        <f>"ACTIVO-KIA"</f>
        <v>ACTIVO-KIA</v>
      </c>
      <c r="D4762" s="2" t="str">
        <f>"ACTIVO-KIA"</f>
        <v>ACTIVO-KIA</v>
      </c>
      <c r="E4762" s="2" t="s">
        <v>17</v>
      </c>
      <c r="F4762" s="2">
        <v>0</v>
      </c>
      <c r="G4762" s="2">
        <v>0</v>
      </c>
      <c r="H4762" s="2">
        <v>0</v>
      </c>
      <c r="I4762" s="2">
        <v>1</v>
      </c>
      <c r="J4762" s="2">
        <v>-1</v>
      </c>
      <c r="K4762" s="2">
        <v>0</v>
      </c>
    </row>
    <row r="4763" spans="1:11" x14ac:dyDescent="0.2">
      <c r="A4763" s="2"/>
      <c r="B4763" s="1" t="s">
        <v>4364</v>
      </c>
      <c r="C4763" s="2"/>
      <c r="D4763" s="2"/>
      <c r="E4763" s="2"/>
      <c r="F4763" s="2"/>
      <c r="G4763" s="2"/>
      <c r="H4763" s="2"/>
      <c r="I4763" s="2"/>
      <c r="J4763" s="2"/>
      <c r="K4763" s="2"/>
    </row>
    <row r="4764" spans="1:11" x14ac:dyDescent="0.2">
      <c r="A4764" s="2"/>
      <c r="B4764" s="1" t="s">
        <v>4365</v>
      </c>
      <c r="C4764" s="2"/>
      <c r="D4764" s="2"/>
      <c r="E4764" s="2"/>
      <c r="F4764" s="2"/>
      <c r="G4764" s="2"/>
      <c r="H4764" s="2"/>
      <c r="I4764" s="2"/>
      <c r="J4764" s="2"/>
      <c r="K4764" s="2"/>
    </row>
    <row r="4765" spans="1:11" x14ac:dyDescent="0.2">
      <c r="A4765" s="2"/>
      <c r="B4765" s="1" t="s">
        <v>4366</v>
      </c>
      <c r="C4765" s="2"/>
      <c r="D4765" s="2"/>
      <c r="E4765" s="2"/>
      <c r="F4765" s="2"/>
      <c r="G4765" s="2"/>
      <c r="H4765" s="2"/>
      <c r="I4765" s="2"/>
      <c r="J4765" s="2"/>
      <c r="K4765" s="2"/>
    </row>
    <row r="4766" spans="1:11" x14ac:dyDescent="0.2">
      <c r="A4766" s="2"/>
      <c r="B4766" s="1" t="s">
        <v>4367</v>
      </c>
      <c r="C4766" s="2"/>
      <c r="D4766" s="2"/>
      <c r="E4766" s="2"/>
      <c r="F4766" s="2"/>
      <c r="G4766" s="2"/>
      <c r="H4766" s="2"/>
      <c r="I4766" s="2"/>
      <c r="J4766" s="2"/>
      <c r="K4766" s="2"/>
    </row>
    <row r="4767" spans="1:11" x14ac:dyDescent="0.2">
      <c r="A4767" s="2"/>
      <c r="B4767" s="1" t="s">
        <v>4368</v>
      </c>
      <c r="C4767" s="2"/>
      <c r="D4767" s="2"/>
      <c r="E4767" s="2"/>
      <c r="F4767" s="2"/>
      <c r="G4767" s="2"/>
      <c r="H4767" s="2"/>
      <c r="I4767" s="2"/>
      <c r="J4767" s="2"/>
      <c r="K4767" s="2"/>
    </row>
    <row r="4768" spans="1:11" x14ac:dyDescent="0.2">
      <c r="A4768" s="2"/>
      <c r="B4768" s="1" t="s">
        <v>4369</v>
      </c>
      <c r="C4768" s="2"/>
      <c r="D4768" s="2"/>
      <c r="E4768" s="2"/>
      <c r="F4768" s="2"/>
      <c r="G4768" s="2"/>
      <c r="H4768" s="2"/>
      <c r="I4768" s="2"/>
      <c r="J4768" s="2"/>
      <c r="K4768" s="2"/>
    </row>
    <row r="4769" spans="1:11" x14ac:dyDescent="0.2">
      <c r="A4769" s="2"/>
      <c r="B4769" s="1" t="s">
        <v>4370</v>
      </c>
      <c r="C4769" s="2"/>
      <c r="D4769" s="2"/>
      <c r="E4769" s="2"/>
      <c r="F4769" s="2"/>
      <c r="G4769" s="2"/>
      <c r="H4769" s="2"/>
      <c r="I4769" s="2"/>
      <c r="J4769" s="2"/>
      <c r="K4769" s="2"/>
    </row>
    <row r="4770" spans="1:11" x14ac:dyDescent="0.2">
      <c r="A4770" s="2"/>
      <c r="B4770" s="1" t="s">
        <v>4371</v>
      </c>
      <c r="C4770" s="2"/>
      <c r="D4770" s="2"/>
      <c r="E4770" s="2"/>
      <c r="F4770" s="2"/>
      <c r="G4770" s="2"/>
      <c r="H4770" s="2"/>
      <c r="I4770" s="2"/>
      <c r="J4770" s="2"/>
      <c r="K4770" s="2"/>
    </row>
    <row r="4771" spans="1:11" x14ac:dyDescent="0.2">
      <c r="A4771" s="2"/>
      <c r="B4771" s="1" t="s">
        <v>4372</v>
      </c>
      <c r="C4771" s="2"/>
      <c r="D4771" s="2"/>
      <c r="E4771" s="2"/>
      <c r="F4771" s="2"/>
      <c r="G4771" s="2"/>
      <c r="H4771" s="2"/>
      <c r="I4771" s="2"/>
      <c r="J4771" s="2"/>
      <c r="K4771" s="2"/>
    </row>
    <row r="4772" spans="1:11" x14ac:dyDescent="0.2">
      <c r="A4772" s="1" t="s">
        <v>4373</v>
      </c>
      <c r="B4772" s="1" t="s">
        <v>4374</v>
      </c>
      <c r="C4772" s="1" t="str">
        <f>"66298948313119"</f>
        <v>66298948313119</v>
      </c>
      <c r="D4772" s="1" t="str">
        <f>"CF010"</f>
        <v>CF010</v>
      </c>
      <c r="E4772" s="1" t="s">
        <v>17</v>
      </c>
      <c r="F4772" s="1">
        <v>4</v>
      </c>
      <c r="G4772" s="1">
        <v>1981</v>
      </c>
      <c r="H4772" s="1">
        <v>7924</v>
      </c>
      <c r="I4772" s="1">
        <v>0</v>
      </c>
      <c r="J4772" s="1">
        <v>4</v>
      </c>
      <c r="K4772" s="1">
        <v>0</v>
      </c>
    </row>
    <row r="4773" spans="1:11" x14ac:dyDescent="0.2">
      <c r="A4773" s="1" t="s">
        <v>4373</v>
      </c>
      <c r="B4773" s="1" t="s">
        <v>4375</v>
      </c>
      <c r="C4773" s="1" t="str">
        <f>"66298948352123"</f>
        <v>66298948352123</v>
      </c>
      <c r="D4773" s="1" t="str">
        <f>"21C-F5388-11GY"</f>
        <v>21C-F5388-11GY</v>
      </c>
      <c r="E4773" s="1" t="s">
        <v>17</v>
      </c>
      <c r="F4773" s="1">
        <v>1</v>
      </c>
      <c r="G4773" s="1">
        <v>4699</v>
      </c>
      <c r="H4773" s="1">
        <v>4699</v>
      </c>
      <c r="I4773" s="1">
        <v>0</v>
      </c>
      <c r="J4773" s="1">
        <v>1</v>
      </c>
      <c r="K4773" s="1">
        <v>0</v>
      </c>
    </row>
    <row r="4774" spans="1:11" x14ac:dyDescent="0.2">
      <c r="A4774" s="1" t="s">
        <v>4373</v>
      </c>
      <c r="B4774" s="1" t="s">
        <v>4376</v>
      </c>
      <c r="C4774" s="1" t="str">
        <f>"588025"</f>
        <v>588025</v>
      </c>
      <c r="D4774" s="1" t="str">
        <f>"588025"</f>
        <v>588025</v>
      </c>
      <c r="E4774" s="1" t="s">
        <v>17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</row>
    <row r="4775" spans="1:11" x14ac:dyDescent="0.2">
      <c r="A4775" s="1" t="s">
        <v>4373</v>
      </c>
      <c r="B4775" s="1" t="s">
        <v>4377</v>
      </c>
      <c r="C4775" s="1" t="str">
        <f>"66298948396051"</f>
        <v>66298948396051</v>
      </c>
      <c r="D4775" s="1" t="str">
        <f>"DM-T-00009"</f>
        <v>DM-T-00009</v>
      </c>
      <c r="E4775" s="1" t="s">
        <v>17</v>
      </c>
      <c r="F4775" s="1">
        <v>1</v>
      </c>
      <c r="G4775" s="1">
        <v>240</v>
      </c>
      <c r="H4775" s="1">
        <v>240</v>
      </c>
      <c r="I4775" s="1">
        <v>0</v>
      </c>
      <c r="J4775" s="1">
        <v>1</v>
      </c>
      <c r="K4775" s="1">
        <v>0</v>
      </c>
    </row>
    <row r="4776" spans="1:11" x14ac:dyDescent="0.2">
      <c r="A4776" s="1" t="s">
        <v>4373</v>
      </c>
      <c r="B4776" s="1" t="s">
        <v>4378</v>
      </c>
      <c r="C4776" s="1" t="str">
        <f>"66298948436103"</f>
        <v>66298948436103</v>
      </c>
      <c r="D4776" s="1" t="str">
        <f>"61041H2C000H000"</f>
        <v>61041H2C000H000</v>
      </c>
      <c r="E4776" s="1" t="s">
        <v>17</v>
      </c>
      <c r="F4776" s="1">
        <v>1</v>
      </c>
      <c r="G4776" s="1">
        <v>6800</v>
      </c>
      <c r="H4776" s="1">
        <v>6800</v>
      </c>
      <c r="I4776" s="1">
        <v>0</v>
      </c>
      <c r="J4776" s="1">
        <v>1</v>
      </c>
      <c r="K4776" s="1">
        <v>0</v>
      </c>
    </row>
    <row r="4777" spans="1:11" x14ac:dyDescent="0.2">
      <c r="A4777" s="1" t="s">
        <v>4373</v>
      </c>
      <c r="B4777" s="1" t="s">
        <v>4379</v>
      </c>
      <c r="C4777" s="1" t="str">
        <f>"588032"</f>
        <v>588032</v>
      </c>
      <c r="D4777" s="1" t="str">
        <f>"588032"</f>
        <v>588032</v>
      </c>
      <c r="E4777" s="1" t="s">
        <v>17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</row>
    <row r="4778" spans="1:11" x14ac:dyDescent="0.2">
      <c r="A4778" s="1" t="s">
        <v>4373</v>
      </c>
      <c r="B4778" s="1" t="s">
        <v>4380</v>
      </c>
      <c r="C4778" s="1" t="str">
        <f>"7843"</f>
        <v>7843</v>
      </c>
      <c r="D4778" s="1" t="str">
        <f>"7843"</f>
        <v>7843</v>
      </c>
      <c r="E4778" s="1" t="s">
        <v>17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</row>
    <row r="4779" spans="1:11" x14ac:dyDescent="0.2">
      <c r="A4779" s="1" t="s">
        <v>4373</v>
      </c>
      <c r="B4779" s="1" t="s">
        <v>4380</v>
      </c>
      <c r="C4779" s="1" t="str">
        <f>"CF015"</f>
        <v>CF015</v>
      </c>
      <c r="D4779" s="1" t="str">
        <f>"CF015"</f>
        <v>CF015</v>
      </c>
      <c r="E4779" s="1" t="s">
        <v>17</v>
      </c>
      <c r="F4779" s="1">
        <v>2</v>
      </c>
      <c r="G4779" s="1">
        <v>2304</v>
      </c>
      <c r="H4779" s="1">
        <v>4608</v>
      </c>
      <c r="I4779" s="1">
        <v>0</v>
      </c>
      <c r="J4779" s="1">
        <v>2</v>
      </c>
      <c r="K4779" s="1">
        <v>0</v>
      </c>
    </row>
    <row r="4780" spans="1:11" x14ac:dyDescent="0.2">
      <c r="A4780" s="1" t="s">
        <v>4373</v>
      </c>
      <c r="B4780" s="1" t="s">
        <v>4381</v>
      </c>
      <c r="C4780" s="1" t="str">
        <f>"66298948529091"</f>
        <v>66298948529091</v>
      </c>
      <c r="D4780" s="1" t="str">
        <f>"CF007"</f>
        <v>CF007</v>
      </c>
      <c r="E4780" s="1" t="s">
        <v>17</v>
      </c>
      <c r="F4780" s="1">
        <v>18</v>
      </c>
      <c r="G4780" s="1">
        <v>621</v>
      </c>
      <c r="H4780" s="1">
        <v>11178</v>
      </c>
      <c r="I4780" s="1">
        <v>0</v>
      </c>
      <c r="J4780" s="1">
        <v>18</v>
      </c>
      <c r="K4780" s="1">
        <v>0</v>
      </c>
    </row>
    <row r="4781" spans="1:11" x14ac:dyDescent="0.2">
      <c r="A4781" s="1" t="s">
        <v>4373</v>
      </c>
      <c r="B4781" s="1" t="s">
        <v>4382</v>
      </c>
      <c r="C4781" s="1" t="str">
        <f>"66298948571197"</f>
        <v>66298948571197</v>
      </c>
      <c r="D4781" s="1" t="str">
        <f>"CF006"</f>
        <v>CF006</v>
      </c>
      <c r="E4781" s="1" t="s">
        <v>17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</row>
    <row r="4782" spans="1:11" x14ac:dyDescent="0.2">
      <c r="A4782" s="1" t="s">
        <v>4373</v>
      </c>
      <c r="B4782" s="1" t="s">
        <v>4383</v>
      </c>
      <c r="C4782" s="1" t="str">
        <f>"66298948478230"</f>
        <v>66298948478230</v>
      </c>
      <c r="D4782" s="1" t="str">
        <f>"CF004"</f>
        <v>CF004</v>
      </c>
      <c r="E4782" s="1" t="s">
        <v>17</v>
      </c>
      <c r="F4782" s="1">
        <v>8</v>
      </c>
      <c r="G4782" s="1">
        <v>711</v>
      </c>
      <c r="H4782" s="1">
        <v>5688</v>
      </c>
      <c r="I4782" s="1">
        <v>0</v>
      </c>
      <c r="J4782" s="1">
        <v>8</v>
      </c>
      <c r="K4782" s="1">
        <v>0</v>
      </c>
    </row>
    <row r="4783" spans="1:11" x14ac:dyDescent="0.2">
      <c r="A4783" s="1" t="s">
        <v>4373</v>
      </c>
      <c r="B4783" s="1" t="s">
        <v>4384</v>
      </c>
      <c r="C4783" s="1" t="str">
        <f>"66298948608607"</f>
        <v>66298948608607</v>
      </c>
      <c r="D4783" s="1" t="str">
        <f>"CF011"</f>
        <v>CF011</v>
      </c>
      <c r="E4783" s="1" t="s">
        <v>17</v>
      </c>
      <c r="F4783" s="1">
        <v>10</v>
      </c>
      <c r="G4783" s="1">
        <v>1782</v>
      </c>
      <c r="H4783" s="1">
        <v>17820</v>
      </c>
      <c r="I4783" s="1">
        <v>0</v>
      </c>
      <c r="J4783" s="1">
        <v>10</v>
      </c>
      <c r="K4783" s="1">
        <v>0</v>
      </c>
    </row>
    <row r="4784" spans="1:11" x14ac:dyDescent="0.2">
      <c r="A4784" s="1" t="s">
        <v>4373</v>
      </c>
      <c r="B4784" s="1" t="s">
        <v>4385</v>
      </c>
      <c r="C4784" s="1" t="str">
        <f>"66298948651238"</f>
        <v>66298948651238</v>
      </c>
      <c r="D4784" s="1" t="str">
        <f>"CF008"</f>
        <v>CF008</v>
      </c>
      <c r="E4784" s="1" t="s">
        <v>17</v>
      </c>
      <c r="F4784" s="1">
        <v>1</v>
      </c>
      <c r="G4784" s="1">
        <v>529.20000000000005</v>
      </c>
      <c r="H4784" s="1">
        <v>529</v>
      </c>
      <c r="I4784" s="1">
        <v>0</v>
      </c>
      <c r="J4784" s="1">
        <v>1</v>
      </c>
      <c r="K4784" s="1">
        <v>0</v>
      </c>
    </row>
    <row r="4785" spans="1:11" x14ac:dyDescent="0.2">
      <c r="A4785" s="1" t="s">
        <v>4373</v>
      </c>
      <c r="B4785" s="1" t="s">
        <v>4386</v>
      </c>
      <c r="C4785" s="1" t="str">
        <f>"CF002"</f>
        <v>CF002</v>
      </c>
      <c r="D4785" s="1" t="str">
        <f>"CF002"</f>
        <v>CF002</v>
      </c>
      <c r="E4785" s="1" t="s">
        <v>17</v>
      </c>
      <c r="F4785" s="1">
        <v>18</v>
      </c>
      <c r="G4785" s="1">
        <v>1890.5</v>
      </c>
      <c r="H4785" s="1">
        <v>34029</v>
      </c>
      <c r="I4785" s="1">
        <v>0</v>
      </c>
      <c r="J4785" s="1">
        <v>18</v>
      </c>
      <c r="K4785" s="1">
        <v>0</v>
      </c>
    </row>
    <row r="4786" spans="1:11" x14ac:dyDescent="0.2">
      <c r="A4786" s="1" t="s">
        <v>4373</v>
      </c>
      <c r="B4786" s="1" t="s">
        <v>4387</v>
      </c>
      <c r="C4786" s="1" t="str">
        <f>"66298948729608"</f>
        <v>66298948729608</v>
      </c>
      <c r="D4786" s="1" t="str">
        <f>"CF017"</f>
        <v>CF017</v>
      </c>
      <c r="E4786" s="1" t="s">
        <v>17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</row>
    <row r="4787" spans="1:11" x14ac:dyDescent="0.2">
      <c r="A4787" s="1" t="s">
        <v>4373</v>
      </c>
      <c r="B4787" s="1" t="s">
        <v>4388</v>
      </c>
      <c r="C4787" s="1" t="str">
        <f>"66298948769800"</f>
        <v>66298948769800</v>
      </c>
      <c r="D4787" s="1" t="str">
        <f>"CF001"</f>
        <v>CF001</v>
      </c>
      <c r="E4787" s="1" t="s">
        <v>17</v>
      </c>
      <c r="F4787" s="1">
        <v>2</v>
      </c>
      <c r="G4787" s="1">
        <v>2385</v>
      </c>
      <c r="H4787" s="1">
        <v>4770</v>
      </c>
      <c r="I4787" s="1">
        <v>0</v>
      </c>
      <c r="J4787" s="1">
        <v>2</v>
      </c>
      <c r="K4787" s="1">
        <v>0</v>
      </c>
    </row>
    <row r="4788" spans="1:11" x14ac:dyDescent="0.2">
      <c r="A4788" s="1" t="s">
        <v>4373</v>
      </c>
      <c r="B4788" s="1" t="s">
        <v>4389</v>
      </c>
      <c r="C4788" s="1" t="str">
        <f>"66298948807923"</f>
        <v>66298948807923</v>
      </c>
      <c r="D4788" s="1" t="str">
        <f>"CF012"</f>
        <v>CF012</v>
      </c>
      <c r="E4788" s="1" t="s">
        <v>17</v>
      </c>
      <c r="F4788" s="1">
        <v>5</v>
      </c>
      <c r="G4788" s="1">
        <v>2043</v>
      </c>
      <c r="H4788" s="1">
        <v>10215</v>
      </c>
      <c r="I4788" s="1">
        <v>0</v>
      </c>
      <c r="J4788" s="1">
        <v>5</v>
      </c>
      <c r="K4788" s="1">
        <v>0</v>
      </c>
    </row>
    <row r="4789" spans="1:11" x14ac:dyDescent="0.2">
      <c r="A4789" s="1" t="s">
        <v>4373</v>
      </c>
      <c r="B4789" s="1" t="s">
        <v>4390</v>
      </c>
      <c r="C4789" s="1" t="str">
        <f>"66298948847013"</f>
        <v>66298948847013</v>
      </c>
      <c r="D4789" s="1" t="str">
        <f>"CF005"</f>
        <v>CF005</v>
      </c>
      <c r="E4789" s="1" t="s">
        <v>17</v>
      </c>
      <c r="F4789" s="1">
        <v>18</v>
      </c>
      <c r="G4789" s="1">
        <v>873</v>
      </c>
      <c r="H4789" s="1">
        <v>15714</v>
      </c>
      <c r="I4789" s="1">
        <v>0</v>
      </c>
      <c r="J4789" s="1">
        <v>18</v>
      </c>
      <c r="K4789" s="1">
        <v>0</v>
      </c>
    </row>
    <row r="4790" spans="1:11" x14ac:dyDescent="0.2">
      <c r="A4790" s="1" t="s">
        <v>4373</v>
      </c>
      <c r="B4790" s="1" t="s">
        <v>4391</v>
      </c>
      <c r="C4790" s="1" t="str">
        <f>"66298948888115"</f>
        <v>66298948888115</v>
      </c>
      <c r="D4790" s="1" t="str">
        <f>"TC-WY"</f>
        <v>TC-WY</v>
      </c>
      <c r="E4790" s="1" t="s">
        <v>17</v>
      </c>
      <c r="F4790" s="1">
        <v>1</v>
      </c>
      <c r="G4790" s="1">
        <v>1030</v>
      </c>
      <c r="H4790" s="1">
        <v>1030</v>
      </c>
      <c r="I4790" s="1">
        <v>0</v>
      </c>
      <c r="J4790" s="1">
        <v>1</v>
      </c>
      <c r="K4790" s="1">
        <v>0</v>
      </c>
    </row>
    <row r="4791" spans="1:11" x14ac:dyDescent="0.2">
      <c r="A4791" s="1" t="s">
        <v>98</v>
      </c>
      <c r="B4791" s="1" t="s">
        <v>4392</v>
      </c>
      <c r="C4791" s="1" t="str">
        <f>"66298948929867"</f>
        <v>66298948929867</v>
      </c>
      <c r="D4791" s="1" t="str">
        <f>"QBA001"</f>
        <v>QBA001</v>
      </c>
      <c r="E4791" s="1" t="s">
        <v>17</v>
      </c>
      <c r="F4791" s="1">
        <v>13</v>
      </c>
      <c r="G4791" s="1">
        <v>8119</v>
      </c>
      <c r="H4791" s="1">
        <v>105547</v>
      </c>
      <c r="I4791" s="1">
        <v>0</v>
      </c>
      <c r="J4791" s="1">
        <v>13</v>
      </c>
      <c r="K4791" s="1">
        <v>0</v>
      </c>
    </row>
    <row r="4792" spans="1:11" x14ac:dyDescent="0.2">
      <c r="A4792" s="1" t="s">
        <v>98</v>
      </c>
      <c r="B4792" s="1" t="s">
        <v>4393</v>
      </c>
      <c r="C4792" s="1" t="str">
        <f>"66298948971427"</f>
        <v>66298948971427</v>
      </c>
      <c r="D4792" s="1" t="str">
        <f>"ZZC004"</f>
        <v>ZZC004</v>
      </c>
      <c r="E4792" s="1" t="s">
        <v>17</v>
      </c>
      <c r="F4792" s="1">
        <v>8</v>
      </c>
      <c r="G4792" s="1">
        <v>5041</v>
      </c>
      <c r="H4792" s="1">
        <v>40328</v>
      </c>
      <c r="I4792" s="1">
        <v>0</v>
      </c>
      <c r="J4792" s="1">
        <v>8</v>
      </c>
      <c r="K4792" s="1">
        <v>0</v>
      </c>
    </row>
    <row r="4793" spans="1:11" x14ac:dyDescent="0.2">
      <c r="A4793" s="1" t="s">
        <v>98</v>
      </c>
      <c r="B4793" s="1" t="s">
        <v>4394</v>
      </c>
      <c r="C4793" s="1" t="str">
        <f>"66298949014318"</f>
        <v>66298949014318</v>
      </c>
      <c r="D4793" s="1" t="str">
        <f>"ZZC003"</f>
        <v>ZZC003</v>
      </c>
      <c r="E4793" s="1" t="s">
        <v>17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</row>
    <row r="4794" spans="1:11" x14ac:dyDescent="0.2">
      <c r="A4794" s="1" t="s">
        <v>98</v>
      </c>
      <c r="B4794" s="1" t="s">
        <v>4395</v>
      </c>
      <c r="C4794" s="1" t="str">
        <f>"66298949051614"</f>
        <v>66298949051614</v>
      </c>
      <c r="D4794" s="1" t="str">
        <f>"WJ013"</f>
        <v>WJ013</v>
      </c>
      <c r="E4794" s="1" t="s">
        <v>17</v>
      </c>
      <c r="F4794" s="1">
        <v>1</v>
      </c>
      <c r="G4794" s="1">
        <v>3608</v>
      </c>
      <c r="H4794" s="1">
        <v>3608</v>
      </c>
      <c r="I4794" s="1">
        <v>0</v>
      </c>
      <c r="J4794" s="1">
        <v>1</v>
      </c>
      <c r="K4794" s="1">
        <v>0</v>
      </c>
    </row>
    <row r="4795" spans="1:11" x14ac:dyDescent="0.2">
      <c r="A4795" s="1" t="s">
        <v>98</v>
      </c>
      <c r="B4795" s="1" t="s">
        <v>4396</v>
      </c>
      <c r="C4795" s="1" t="str">
        <f>"66298949089756"</f>
        <v>66298949089756</v>
      </c>
      <c r="D4795" s="1" t="str">
        <f>"WJ015"</f>
        <v>WJ015</v>
      </c>
      <c r="E4795" s="1" t="s">
        <v>17</v>
      </c>
      <c r="F4795" s="1">
        <v>3</v>
      </c>
      <c r="G4795" s="1">
        <v>5561</v>
      </c>
      <c r="H4795" s="1">
        <v>16683</v>
      </c>
      <c r="I4795" s="1">
        <v>0</v>
      </c>
      <c r="J4795" s="1">
        <v>3</v>
      </c>
      <c r="K4795" s="1">
        <v>0</v>
      </c>
    </row>
    <row r="4796" spans="1:11" x14ac:dyDescent="0.2">
      <c r="A4796" s="1" t="s">
        <v>98</v>
      </c>
      <c r="B4796" s="1" t="s">
        <v>4397</v>
      </c>
      <c r="C4796" s="1" t="str">
        <f>"66298949128800"</f>
        <v>66298949128800</v>
      </c>
      <c r="D4796" s="1" t="str">
        <f>"HK-Y-101H"</f>
        <v>HK-Y-101H</v>
      </c>
      <c r="E4796" s="1" t="s">
        <v>17</v>
      </c>
      <c r="F4796" s="1">
        <v>1</v>
      </c>
      <c r="G4796" s="1">
        <v>8485</v>
      </c>
      <c r="H4796" s="1">
        <v>8485</v>
      </c>
      <c r="I4796" s="1">
        <v>0</v>
      </c>
      <c r="J4796" s="1">
        <v>1</v>
      </c>
      <c r="K4796" s="1">
        <v>0</v>
      </c>
    </row>
    <row r="4797" spans="1:11" x14ac:dyDescent="0.2">
      <c r="A4797" s="1" t="s">
        <v>4398</v>
      </c>
      <c r="B4797" s="1" t="s">
        <v>4399</v>
      </c>
      <c r="C4797" s="1" t="str">
        <f>"66298949171937"</f>
        <v>66298949171937</v>
      </c>
      <c r="D4797" s="1" t="str">
        <f>"Y078-ROJO"</f>
        <v>Y078-ROJO</v>
      </c>
      <c r="E4797" s="1" t="s">
        <v>17</v>
      </c>
      <c r="F4797" s="1">
        <v>1</v>
      </c>
      <c r="G4797" s="1">
        <v>5794</v>
      </c>
      <c r="H4797" s="1">
        <v>5794</v>
      </c>
      <c r="I4797" s="1">
        <v>0</v>
      </c>
      <c r="J4797" s="1">
        <v>1</v>
      </c>
      <c r="K4797" s="1">
        <v>0</v>
      </c>
    </row>
    <row r="4798" spans="1:11" x14ac:dyDescent="0.2">
      <c r="A4798" s="1" t="s">
        <v>4398</v>
      </c>
      <c r="B4798" s="1" t="s">
        <v>4400</v>
      </c>
      <c r="C4798" s="1" t="str">
        <f>"Y011-AZUL"</f>
        <v>Y011-AZUL</v>
      </c>
      <c r="D4798" s="1" t="str">
        <f>"Y011-AZUL"</f>
        <v>Y011-AZUL</v>
      </c>
      <c r="E4798" s="1" t="s">
        <v>17</v>
      </c>
      <c r="F4798" s="1">
        <v>1</v>
      </c>
      <c r="G4798" s="1">
        <v>6501</v>
      </c>
      <c r="H4798" s="1">
        <v>6501</v>
      </c>
      <c r="I4798" s="1">
        <v>0</v>
      </c>
      <c r="J4798" s="1">
        <v>1</v>
      </c>
      <c r="K4798" s="1">
        <v>0</v>
      </c>
    </row>
    <row r="4799" spans="1:11" x14ac:dyDescent="0.2">
      <c r="A4799" s="1" t="s">
        <v>4398</v>
      </c>
      <c r="B4799" s="1" t="s">
        <v>4401</v>
      </c>
      <c r="C4799" s="1" t="str">
        <f>"Y011-NEGRO"</f>
        <v>Y011-NEGRO</v>
      </c>
      <c r="D4799" s="1" t="str">
        <f>"Y011-NEGRO"</f>
        <v>Y011-NEGRO</v>
      </c>
      <c r="E4799" s="1" t="s">
        <v>17</v>
      </c>
      <c r="F4799" s="1">
        <v>3</v>
      </c>
      <c r="G4799" s="1">
        <v>5484.99</v>
      </c>
      <c r="H4799" s="1">
        <v>16455</v>
      </c>
      <c r="I4799" s="1">
        <v>0</v>
      </c>
      <c r="J4799" s="1">
        <v>3</v>
      </c>
      <c r="K4799" s="1">
        <v>0</v>
      </c>
    </row>
    <row r="4800" spans="1:11" x14ac:dyDescent="0.2">
      <c r="A4800" s="1" t="s">
        <v>4398</v>
      </c>
      <c r="B4800" s="1" t="s">
        <v>4402</v>
      </c>
      <c r="C4800" s="1" t="str">
        <f>"Y011-ROJO"</f>
        <v>Y011-ROJO</v>
      </c>
      <c r="D4800" s="1" t="str">
        <f>"Y011-ROJO"</f>
        <v>Y011-ROJO</v>
      </c>
      <c r="E4800" s="1" t="s">
        <v>17</v>
      </c>
      <c r="F4800" s="1">
        <v>2</v>
      </c>
      <c r="G4800" s="1">
        <v>5738.99</v>
      </c>
      <c r="H4800" s="1">
        <v>11478</v>
      </c>
      <c r="I4800" s="1">
        <v>0</v>
      </c>
      <c r="J4800" s="1">
        <v>2</v>
      </c>
      <c r="K4800" s="1">
        <v>0</v>
      </c>
    </row>
    <row r="4801" spans="1:11" x14ac:dyDescent="0.2">
      <c r="A4801" s="1" t="s">
        <v>4398</v>
      </c>
      <c r="B4801" s="1" t="s">
        <v>4403</v>
      </c>
      <c r="C4801" s="1" t="str">
        <f>"66298950566649"</f>
        <v>66298950566649</v>
      </c>
      <c r="D4801" s="1" t="str">
        <f>"Y069-A"</f>
        <v>Y069-A</v>
      </c>
      <c r="E4801" s="1" t="s">
        <v>17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</row>
    <row r="4802" spans="1:11" x14ac:dyDescent="0.2">
      <c r="A4802" s="1" t="s">
        <v>98</v>
      </c>
      <c r="B4802" s="1" t="s">
        <v>4404</v>
      </c>
      <c r="C4802" s="1" t="str">
        <f>"31359"</f>
        <v>31359</v>
      </c>
      <c r="D4802" s="1" t="str">
        <f>"31359"</f>
        <v>31359</v>
      </c>
      <c r="E4802" s="1" t="s">
        <v>17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</row>
    <row r="4803" spans="1:11" x14ac:dyDescent="0.2">
      <c r="A4803" s="1" t="s">
        <v>98</v>
      </c>
      <c r="B4803" s="1" t="s">
        <v>4405</v>
      </c>
      <c r="C4803" s="1" t="str">
        <f>"31360"</f>
        <v>31360</v>
      </c>
      <c r="D4803" s="1" t="str">
        <f>"31360"</f>
        <v>31360</v>
      </c>
      <c r="E4803" s="1" t="s">
        <v>17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</row>
    <row r="4804" spans="1:11" x14ac:dyDescent="0.2">
      <c r="A4804" s="1" t="s">
        <v>18</v>
      </c>
      <c r="B4804" s="1" t="s">
        <v>4406</v>
      </c>
      <c r="C4804" s="1" t="str">
        <f>"66298950607315"</f>
        <v>66298950607315</v>
      </c>
      <c r="D4804" s="1" t="str">
        <f>"JC003-AMARILLO"</f>
        <v>JC003-AMARILLO</v>
      </c>
      <c r="E4804" s="1" t="s">
        <v>17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</row>
    <row r="4805" spans="1:11" x14ac:dyDescent="0.2">
      <c r="A4805" s="1" t="s">
        <v>18</v>
      </c>
      <c r="B4805" s="1" t="s">
        <v>4407</v>
      </c>
      <c r="C4805" s="1" t="str">
        <f>"66298950649523"</f>
        <v>66298950649523</v>
      </c>
      <c r="D4805" s="1" t="str">
        <f>"JC003-AZUL"</f>
        <v>JC003-AZUL</v>
      </c>
      <c r="E4805" s="1" t="s">
        <v>17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</row>
    <row r="4806" spans="1:11" x14ac:dyDescent="0.2">
      <c r="A4806" s="1" t="s">
        <v>18</v>
      </c>
      <c r="B4806" s="1" t="s">
        <v>4408</v>
      </c>
      <c r="C4806" s="1" t="str">
        <f>"JC002-2-AZUL"</f>
        <v>JC002-2-AZUL</v>
      </c>
      <c r="D4806" s="1" t="str">
        <f>"JC002-2-AZUL"</f>
        <v>JC002-2-AZUL</v>
      </c>
      <c r="E4806" s="1" t="s">
        <v>17</v>
      </c>
      <c r="F4806" s="1">
        <v>3</v>
      </c>
      <c r="G4806" s="1">
        <v>4806</v>
      </c>
      <c r="H4806" s="1">
        <v>14418</v>
      </c>
      <c r="I4806" s="1">
        <v>0</v>
      </c>
      <c r="J4806" s="1">
        <v>3</v>
      </c>
      <c r="K4806" s="1">
        <v>0</v>
      </c>
    </row>
    <row r="4807" spans="1:11" x14ac:dyDescent="0.2">
      <c r="A4807" s="1" t="s">
        <v>18</v>
      </c>
      <c r="B4807" s="1" t="s">
        <v>4409</v>
      </c>
      <c r="C4807" s="1" t="str">
        <f>"66298950692409"</f>
        <v>66298950692409</v>
      </c>
      <c r="D4807" s="1" t="str">
        <f>"JC003-BLANCO"</f>
        <v>JC003-BLANCO</v>
      </c>
      <c r="E4807" s="1" t="s">
        <v>17</v>
      </c>
      <c r="F4807" s="1">
        <v>1</v>
      </c>
      <c r="G4807" s="1">
        <v>3153</v>
      </c>
      <c r="H4807" s="1">
        <v>3153</v>
      </c>
      <c r="I4807" s="1">
        <v>0</v>
      </c>
      <c r="J4807" s="1">
        <v>1</v>
      </c>
      <c r="K4807" s="1">
        <v>0</v>
      </c>
    </row>
    <row r="4808" spans="1:11" x14ac:dyDescent="0.2">
      <c r="A4808" s="1" t="s">
        <v>18</v>
      </c>
      <c r="B4808" s="1" t="s">
        <v>4410</v>
      </c>
      <c r="C4808" s="1" t="str">
        <f>"66298950733176"</f>
        <v>66298950733176</v>
      </c>
      <c r="D4808" s="1" t="str">
        <f>"JC003-NARANJA"</f>
        <v>JC003-NARANJA</v>
      </c>
      <c r="E4808" s="1" t="s">
        <v>17</v>
      </c>
      <c r="F4808" s="1">
        <v>4</v>
      </c>
      <c r="G4808" s="1">
        <v>3153</v>
      </c>
      <c r="H4808" s="1">
        <v>12612</v>
      </c>
      <c r="I4808" s="1">
        <v>0</v>
      </c>
      <c r="J4808" s="1">
        <v>4</v>
      </c>
      <c r="K4808" s="1">
        <v>0</v>
      </c>
    </row>
    <row r="4809" spans="1:11" x14ac:dyDescent="0.2">
      <c r="A4809" s="1" t="s">
        <v>18</v>
      </c>
      <c r="B4809" s="1" t="s">
        <v>4411</v>
      </c>
      <c r="C4809" s="1" t="str">
        <f>"66298950778651"</f>
        <v>66298950778651</v>
      </c>
      <c r="D4809" s="1" t="str">
        <f>"JC008-B-NEGRO"</f>
        <v>JC008-B-NEGRO</v>
      </c>
      <c r="E4809" s="1" t="s">
        <v>17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</row>
    <row r="4810" spans="1:11" x14ac:dyDescent="0.2">
      <c r="A4810" s="1" t="s">
        <v>18</v>
      </c>
      <c r="B4810" s="1" t="s">
        <v>4411</v>
      </c>
      <c r="C4810" s="1" t="str">
        <f>"66298950829683"</f>
        <v>66298950829683</v>
      </c>
      <c r="D4810" s="1" t="str">
        <f>"JC003-NEGRO"</f>
        <v>JC003-NEGRO</v>
      </c>
      <c r="E4810" s="1" t="s">
        <v>17</v>
      </c>
      <c r="F4810" s="1">
        <v>8</v>
      </c>
      <c r="G4810" s="1">
        <v>3051</v>
      </c>
      <c r="H4810" s="1">
        <v>24408</v>
      </c>
      <c r="I4810" s="1">
        <v>0</v>
      </c>
      <c r="J4810" s="1">
        <v>8</v>
      </c>
      <c r="K4810" s="1">
        <v>0</v>
      </c>
    </row>
    <row r="4811" spans="1:11" x14ac:dyDescent="0.2">
      <c r="A4811" s="1" t="s">
        <v>18</v>
      </c>
      <c r="B4811" s="1" t="s">
        <v>4412</v>
      </c>
      <c r="C4811" s="1" t="str">
        <f>"122198-NEGRO"</f>
        <v>122198-NEGRO</v>
      </c>
      <c r="D4811" s="1" t="str">
        <f>"122198-NEGRO"</f>
        <v>122198-NEGRO</v>
      </c>
      <c r="E4811" s="1" t="s">
        <v>17</v>
      </c>
      <c r="F4811" s="1">
        <v>8</v>
      </c>
      <c r="G4811" s="1">
        <v>2353</v>
      </c>
      <c r="H4811" s="1">
        <v>18824</v>
      </c>
      <c r="I4811" s="1">
        <v>0</v>
      </c>
      <c r="J4811" s="1">
        <v>8</v>
      </c>
      <c r="K4811" s="1">
        <v>0</v>
      </c>
    </row>
    <row r="4812" spans="1:11" ht="30" x14ac:dyDescent="0.2">
      <c r="A4812" s="1" t="s">
        <v>18</v>
      </c>
      <c r="B4812" s="1" t="s">
        <v>4413</v>
      </c>
      <c r="C4812" s="1" t="str">
        <f>"0690-AZUL"</f>
        <v>0690-AZUL</v>
      </c>
      <c r="D4812" s="1" t="str">
        <f>"0690-AZUL"</f>
        <v>0690-AZUL</v>
      </c>
      <c r="E4812" s="1" t="s">
        <v>17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</row>
    <row r="4813" spans="1:11" ht="30" x14ac:dyDescent="0.2">
      <c r="A4813" s="1" t="s">
        <v>18</v>
      </c>
      <c r="B4813" s="1" t="s">
        <v>4414</v>
      </c>
      <c r="C4813" s="1" t="str">
        <f>"0690-DORADO"</f>
        <v>0690-DORADO</v>
      </c>
      <c r="D4813" s="1" t="str">
        <f>"0690-DORADO"</f>
        <v>0690-DORADO</v>
      </c>
      <c r="E4813" s="1" t="s">
        <v>17</v>
      </c>
      <c r="F4813" s="1">
        <v>4</v>
      </c>
      <c r="G4813" s="1">
        <v>1840.27</v>
      </c>
      <c r="H4813" s="1">
        <v>7361</v>
      </c>
      <c r="I4813" s="1">
        <v>0</v>
      </c>
      <c r="J4813" s="1">
        <v>4</v>
      </c>
      <c r="K4813" s="1">
        <v>0</v>
      </c>
    </row>
    <row r="4814" spans="1:11" ht="30" x14ac:dyDescent="0.2">
      <c r="A4814" s="1" t="s">
        <v>18</v>
      </c>
      <c r="B4814" s="1" t="s">
        <v>4415</v>
      </c>
      <c r="C4814" s="1" t="str">
        <f>"0690-MORADO"</f>
        <v>0690-MORADO</v>
      </c>
      <c r="D4814" s="1" t="str">
        <f>"0690-MORADO"</f>
        <v>0690-MORADO</v>
      </c>
      <c r="E4814" s="1" t="s">
        <v>17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</row>
    <row r="4815" spans="1:11" ht="30" x14ac:dyDescent="0.2">
      <c r="A4815" s="1" t="s">
        <v>18</v>
      </c>
      <c r="B4815" s="1" t="s">
        <v>4416</v>
      </c>
      <c r="C4815" s="1" t="str">
        <f>"0690-NEGRO"</f>
        <v>0690-NEGRO</v>
      </c>
      <c r="D4815" s="1" t="str">
        <f>"0690-NEGRO"</f>
        <v>0690-NEGRO</v>
      </c>
      <c r="E4815" s="1" t="s">
        <v>17</v>
      </c>
      <c r="F4815" s="1">
        <v>1</v>
      </c>
      <c r="G4815" s="1">
        <v>1840.26</v>
      </c>
      <c r="H4815" s="1">
        <v>1840</v>
      </c>
      <c r="I4815" s="1">
        <v>0</v>
      </c>
      <c r="J4815" s="1">
        <v>1</v>
      </c>
      <c r="K4815" s="1">
        <v>0</v>
      </c>
    </row>
    <row r="4816" spans="1:11" ht="30" x14ac:dyDescent="0.2">
      <c r="A4816" s="1" t="s">
        <v>18</v>
      </c>
      <c r="B4816" s="1" t="s">
        <v>4416</v>
      </c>
      <c r="C4816" s="1" t="str">
        <f>"126268-NEGRO"</f>
        <v>126268-NEGRO</v>
      </c>
      <c r="D4816" s="1" t="str">
        <f>"126268-NEGRO"</f>
        <v>126268-NEGRO</v>
      </c>
      <c r="E4816" s="1" t="s">
        <v>17</v>
      </c>
      <c r="F4816" s="1">
        <v>5</v>
      </c>
      <c r="G4816" s="1">
        <v>2311</v>
      </c>
      <c r="H4816" s="1">
        <v>11555</v>
      </c>
      <c r="I4816" s="1">
        <v>0</v>
      </c>
      <c r="J4816" s="1">
        <v>5</v>
      </c>
      <c r="K4816" s="1">
        <v>0</v>
      </c>
    </row>
    <row r="4817" spans="1:11" ht="30" x14ac:dyDescent="0.2">
      <c r="A4817" s="1" t="s">
        <v>18</v>
      </c>
      <c r="B4817" s="1" t="s">
        <v>4417</v>
      </c>
      <c r="C4817" s="1" t="str">
        <f>"0690-PLATEADO"</f>
        <v>0690-PLATEADO</v>
      </c>
      <c r="D4817" s="1" t="str">
        <f>"0690-PLATEADO"</f>
        <v>0690-PLATEADO</v>
      </c>
      <c r="E4817" s="1" t="s">
        <v>17</v>
      </c>
      <c r="F4817" s="1">
        <v>3</v>
      </c>
      <c r="G4817" s="1">
        <v>1840.26</v>
      </c>
      <c r="H4817" s="1">
        <v>5521</v>
      </c>
      <c r="I4817" s="1">
        <v>0</v>
      </c>
      <c r="J4817" s="1">
        <v>3</v>
      </c>
      <c r="K4817" s="1">
        <v>0</v>
      </c>
    </row>
    <row r="4818" spans="1:11" ht="30" x14ac:dyDescent="0.2">
      <c r="A4818" s="1" t="s">
        <v>18</v>
      </c>
      <c r="B4818" s="1" t="s">
        <v>4418</v>
      </c>
      <c r="C4818" s="1" t="str">
        <f>"0690-ROJO"</f>
        <v>0690-ROJO</v>
      </c>
      <c r="D4818" s="1" t="str">
        <f>"0690-ROJO"</f>
        <v>0690-ROJO</v>
      </c>
      <c r="E4818" s="1" t="s">
        <v>17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</row>
    <row r="4819" spans="1:11" x14ac:dyDescent="0.2">
      <c r="A4819" s="1" t="s">
        <v>18</v>
      </c>
      <c r="B4819" s="1" t="s">
        <v>4419</v>
      </c>
      <c r="C4819" s="1" t="str">
        <f>"126246-NEGRO"</f>
        <v>126246-NEGRO</v>
      </c>
      <c r="D4819" s="1" t="str">
        <f>"126246-NEGRO"</f>
        <v>126246-NEGRO</v>
      </c>
      <c r="E4819" s="1" t="s">
        <v>17</v>
      </c>
      <c r="F4819" s="1">
        <v>9</v>
      </c>
      <c r="G4819" s="1">
        <v>2983</v>
      </c>
      <c r="H4819" s="1">
        <v>26847</v>
      </c>
      <c r="I4819" s="1">
        <v>0</v>
      </c>
      <c r="J4819" s="1">
        <v>9</v>
      </c>
      <c r="K4819" s="1">
        <v>0</v>
      </c>
    </row>
    <row r="4820" spans="1:11" x14ac:dyDescent="0.2">
      <c r="A4820" s="1" t="s">
        <v>3466</v>
      </c>
      <c r="B4820" s="1" t="s">
        <v>4420</v>
      </c>
      <c r="C4820" s="1" t="str">
        <f>"H-2228"</f>
        <v>H-2228</v>
      </c>
      <c r="D4820" s="1" t="str">
        <f>"H-2228"</f>
        <v>H-2228</v>
      </c>
      <c r="E4820" s="1" t="s">
        <v>17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</row>
    <row r="4821" spans="1:11" x14ac:dyDescent="0.2">
      <c r="A4821" s="1" t="s">
        <v>3466</v>
      </c>
      <c r="B4821" s="1" t="s">
        <v>4421</v>
      </c>
      <c r="C4821" s="1" t="str">
        <f>"66298950868368"</f>
        <v>66298950868368</v>
      </c>
      <c r="D4821" s="1" t="str">
        <f>"H148"</f>
        <v>H148</v>
      </c>
      <c r="E4821" s="1" t="s">
        <v>17</v>
      </c>
      <c r="F4821" s="1">
        <v>44</v>
      </c>
      <c r="G4821" s="1">
        <v>114</v>
      </c>
      <c r="H4821" s="1">
        <v>5016</v>
      </c>
      <c r="I4821" s="1">
        <v>0</v>
      </c>
      <c r="J4821" s="1">
        <v>44</v>
      </c>
      <c r="K4821" s="1">
        <v>0</v>
      </c>
    </row>
    <row r="4822" spans="1:11" x14ac:dyDescent="0.2">
      <c r="A4822" s="1" t="s">
        <v>98</v>
      </c>
      <c r="B4822" s="1" t="s">
        <v>4422</v>
      </c>
      <c r="C4822" s="1" t="str">
        <f>"7781"</f>
        <v>7781</v>
      </c>
      <c r="D4822" s="1" t="str">
        <f>"7781"</f>
        <v>7781</v>
      </c>
      <c r="E4822" s="1" t="s">
        <v>17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</row>
    <row r="4823" spans="1:11" x14ac:dyDescent="0.2">
      <c r="A4823" s="1" t="s">
        <v>98</v>
      </c>
      <c r="B4823" s="1" t="s">
        <v>4423</v>
      </c>
      <c r="C4823" s="1" t="str">
        <f>"66298950907208"</f>
        <v>66298950907208</v>
      </c>
      <c r="D4823" s="1" t="str">
        <f>"WYT40-F3-9"</f>
        <v>WYT40-F3-9</v>
      </c>
      <c r="E4823" s="1" t="s">
        <v>17</v>
      </c>
      <c r="F4823" s="1">
        <v>1</v>
      </c>
      <c r="G4823" s="1">
        <v>18424</v>
      </c>
      <c r="H4823" s="1">
        <v>18424</v>
      </c>
      <c r="I4823" s="1">
        <v>0</v>
      </c>
      <c r="J4823" s="1">
        <v>1</v>
      </c>
      <c r="K4823" s="1">
        <v>0</v>
      </c>
    </row>
    <row r="4824" spans="1:11" x14ac:dyDescent="0.2">
      <c r="A4824" s="1" t="s">
        <v>98</v>
      </c>
      <c r="B4824" s="1" t="s">
        <v>4424</v>
      </c>
      <c r="C4824" s="1" t="str">
        <f>"66298950951050"</f>
        <v>66298950951050</v>
      </c>
      <c r="D4824" s="1" t="str">
        <f>"84886"</f>
        <v>84886</v>
      </c>
      <c r="E4824" s="1" t="s">
        <v>17</v>
      </c>
      <c r="F4824" s="1">
        <v>3</v>
      </c>
      <c r="G4824" s="1">
        <v>4141</v>
      </c>
      <c r="H4824" s="1">
        <v>12423</v>
      </c>
      <c r="I4824" s="1">
        <v>0</v>
      </c>
      <c r="J4824" s="1">
        <v>3</v>
      </c>
      <c r="K4824" s="1">
        <v>0</v>
      </c>
    </row>
    <row r="4825" spans="1:11" x14ac:dyDescent="0.2">
      <c r="A4825" s="2" t="s">
        <v>1567</v>
      </c>
      <c r="B4825" s="1" t="s">
        <v>4425</v>
      </c>
      <c r="C4825" s="2" t="str">
        <f>"RO-3178"</f>
        <v>RO-3178</v>
      </c>
      <c r="D4825" s="2" t="str">
        <f>"RO-3178"</f>
        <v>RO-3178</v>
      </c>
      <c r="E4825" s="2" t="s">
        <v>17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</row>
    <row r="4826" spans="1:11" x14ac:dyDescent="0.2">
      <c r="A4826" s="2"/>
      <c r="B4826" s="1" t="s">
        <v>1569</v>
      </c>
      <c r="C4826" s="2"/>
      <c r="D4826" s="2"/>
      <c r="E4826" s="2"/>
      <c r="F4826" s="2"/>
      <c r="G4826" s="2"/>
      <c r="H4826" s="2"/>
      <c r="I4826" s="2"/>
      <c r="J4826" s="2"/>
      <c r="K4826" s="2"/>
    </row>
    <row r="4827" spans="1:11" x14ac:dyDescent="0.2">
      <c r="A4827" s="2"/>
      <c r="B4827" s="1" t="s">
        <v>4426</v>
      </c>
      <c r="C4827" s="2"/>
      <c r="D4827" s="2"/>
      <c r="E4827" s="2"/>
      <c r="F4827" s="2"/>
      <c r="G4827" s="2"/>
      <c r="H4827" s="2"/>
      <c r="I4827" s="2"/>
      <c r="J4827" s="2"/>
      <c r="K4827" s="2"/>
    </row>
    <row r="4828" spans="1:11" x14ac:dyDescent="0.2">
      <c r="A4828" s="2"/>
      <c r="B4828" s="1" t="s">
        <v>1571</v>
      </c>
      <c r="C4828" s="2"/>
      <c r="D4828" s="2"/>
      <c r="E4828" s="2"/>
      <c r="F4828" s="2"/>
      <c r="G4828" s="2"/>
      <c r="H4828" s="2"/>
      <c r="I4828" s="2"/>
      <c r="J4828" s="2"/>
      <c r="K4828" s="2"/>
    </row>
    <row r="4829" spans="1:11" x14ac:dyDescent="0.2">
      <c r="A4829" s="2"/>
      <c r="B4829" s="1" t="s">
        <v>2545</v>
      </c>
      <c r="C4829" s="2"/>
      <c r="D4829" s="2"/>
      <c r="E4829" s="2"/>
      <c r="F4829" s="2"/>
      <c r="G4829" s="2"/>
      <c r="H4829" s="2"/>
      <c r="I4829" s="2"/>
      <c r="J4829" s="2"/>
      <c r="K4829" s="2"/>
    </row>
    <row r="4830" spans="1:11" x14ac:dyDescent="0.2">
      <c r="A4830" s="2"/>
      <c r="B4830" s="1" t="s">
        <v>1573</v>
      </c>
      <c r="C4830" s="2"/>
      <c r="D4830" s="2"/>
      <c r="E4830" s="2"/>
      <c r="F4830" s="2"/>
      <c r="G4830" s="2"/>
      <c r="H4830" s="2"/>
      <c r="I4830" s="2"/>
      <c r="J4830" s="2"/>
      <c r="K4830" s="2"/>
    </row>
    <row r="4831" spans="1:11" x14ac:dyDescent="0.2">
      <c r="A4831" s="2"/>
      <c r="B4831" s="1" t="s">
        <v>1574</v>
      </c>
      <c r="C4831" s="2"/>
      <c r="D4831" s="2"/>
      <c r="E4831" s="2"/>
      <c r="F4831" s="2"/>
      <c r="G4831" s="2"/>
      <c r="H4831" s="2"/>
      <c r="I4831" s="2"/>
      <c r="J4831" s="2"/>
      <c r="K4831" s="2"/>
    </row>
    <row r="4832" spans="1:11" x14ac:dyDescent="0.2">
      <c r="A4832" s="2"/>
      <c r="B4832" s="1" t="s">
        <v>1575</v>
      </c>
      <c r="C4832" s="2"/>
      <c r="D4832" s="2"/>
      <c r="E4832" s="2"/>
      <c r="F4832" s="2"/>
      <c r="G4832" s="2"/>
      <c r="H4832" s="2"/>
      <c r="I4832" s="2"/>
      <c r="J4832" s="2"/>
      <c r="K4832" s="2"/>
    </row>
    <row r="4833" spans="1:11" x14ac:dyDescent="0.2">
      <c r="A4833" s="2"/>
      <c r="B4833" s="1" t="s">
        <v>4427</v>
      </c>
      <c r="C4833" s="2"/>
      <c r="D4833" s="2"/>
      <c r="E4833" s="2"/>
      <c r="F4833" s="2"/>
      <c r="G4833" s="2"/>
      <c r="H4833" s="2"/>
      <c r="I4833" s="2"/>
      <c r="J4833" s="2"/>
      <c r="K4833" s="2"/>
    </row>
    <row r="4834" spans="1:11" x14ac:dyDescent="0.2">
      <c r="A4834" s="2"/>
      <c r="B4834" s="1" t="s">
        <v>4428</v>
      </c>
      <c r="C4834" s="2"/>
      <c r="D4834" s="2"/>
      <c r="E4834" s="2"/>
      <c r="F4834" s="2"/>
      <c r="G4834" s="2"/>
      <c r="H4834" s="2"/>
      <c r="I4834" s="2"/>
      <c r="J4834" s="2"/>
      <c r="K4834" s="2"/>
    </row>
    <row r="4835" spans="1:11" x14ac:dyDescent="0.2">
      <c r="A4835" s="1" t="s">
        <v>18</v>
      </c>
      <c r="B4835" s="1" t="s">
        <v>4429</v>
      </c>
      <c r="C4835" s="1" t="str">
        <f>"TRAJE-L"</f>
        <v>TRAJE-L</v>
      </c>
      <c r="D4835" s="1" t="str">
        <f>"TRAJE-L"</f>
        <v>TRAJE-L</v>
      </c>
      <c r="E4835" s="1" t="s">
        <v>17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</row>
    <row r="4836" spans="1:11" x14ac:dyDescent="0.2">
      <c r="A4836" s="1" t="s">
        <v>18</v>
      </c>
      <c r="B4836" s="1" t="s">
        <v>4430</v>
      </c>
      <c r="C4836" s="1" t="str">
        <f>"66298950993140"</f>
        <v>66298950993140</v>
      </c>
      <c r="D4836" s="1" t="str">
        <f>"TRAJE-XL"</f>
        <v>TRAJE-XL</v>
      </c>
      <c r="E4836" s="1" t="s">
        <v>17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</row>
    <row r="4837" spans="1:11" x14ac:dyDescent="0.2">
      <c r="A4837" s="1" t="s">
        <v>18</v>
      </c>
      <c r="B4837" s="1" t="s">
        <v>4431</v>
      </c>
      <c r="C4837" s="1" t="str">
        <f>"9950036"</f>
        <v>9950036</v>
      </c>
      <c r="D4837" s="1" t="str">
        <f>"9950036"</f>
        <v>9950036</v>
      </c>
      <c r="E4837" s="1" t="s">
        <v>17</v>
      </c>
      <c r="F4837" s="1">
        <v>4</v>
      </c>
      <c r="G4837" s="1">
        <v>5462</v>
      </c>
      <c r="H4837" s="1">
        <v>21848</v>
      </c>
      <c r="I4837" s="1">
        <v>0</v>
      </c>
      <c r="J4837" s="1">
        <v>4</v>
      </c>
      <c r="K4837" s="1">
        <v>0</v>
      </c>
    </row>
    <row r="4838" spans="1:11" x14ac:dyDescent="0.2">
      <c r="A4838" s="1" t="s">
        <v>18</v>
      </c>
      <c r="B4838" s="1" t="s">
        <v>4432</v>
      </c>
      <c r="C4838" s="1" t="str">
        <f>"9950037"</f>
        <v>9950037</v>
      </c>
      <c r="D4838" s="1" t="str">
        <f>"9950037"</f>
        <v>9950037</v>
      </c>
      <c r="E4838" s="1" t="s">
        <v>17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</row>
    <row r="4839" spans="1:11" x14ac:dyDescent="0.2">
      <c r="A4839" s="1" t="s">
        <v>98</v>
      </c>
      <c r="B4839" s="1" t="s">
        <v>4433</v>
      </c>
      <c r="C4839" s="1" t="str">
        <f>"66298951038093"</f>
        <v>66298951038093</v>
      </c>
      <c r="D4839" s="1" t="str">
        <f>"JC012"</f>
        <v>JC012</v>
      </c>
      <c r="E4839" s="1" t="s">
        <v>17</v>
      </c>
      <c r="F4839" s="1">
        <v>1</v>
      </c>
      <c r="G4839" s="1">
        <v>4631</v>
      </c>
      <c r="H4839" s="1">
        <v>4631</v>
      </c>
      <c r="I4839" s="1">
        <v>0</v>
      </c>
      <c r="J4839" s="1">
        <v>1</v>
      </c>
      <c r="K4839" s="1">
        <v>0</v>
      </c>
    </row>
    <row r="4840" spans="1:11" x14ac:dyDescent="0.2">
      <c r="A4840" s="1" t="s">
        <v>98</v>
      </c>
      <c r="B4840" s="1" t="s">
        <v>4434</v>
      </c>
      <c r="C4840" s="1" t="str">
        <f>"66298951174574"</f>
        <v>66298951174574</v>
      </c>
      <c r="D4840" s="1" t="str">
        <f>"400446"</f>
        <v>400446</v>
      </c>
      <c r="E4840" s="1" t="s">
        <v>17</v>
      </c>
      <c r="F4840" s="1">
        <v>18</v>
      </c>
      <c r="G4840" s="1">
        <v>6510</v>
      </c>
      <c r="H4840" s="1">
        <v>117180</v>
      </c>
      <c r="I4840" s="1">
        <v>0</v>
      </c>
      <c r="J4840" s="1">
        <v>18</v>
      </c>
      <c r="K4840" s="1">
        <v>0</v>
      </c>
    </row>
    <row r="4841" spans="1:11" x14ac:dyDescent="0.2">
      <c r="A4841" s="1" t="s">
        <v>98</v>
      </c>
      <c r="B4841" s="1" t="s">
        <v>4435</v>
      </c>
      <c r="C4841" s="1" t="str">
        <f>"66298951127641"</f>
        <v>66298951127641</v>
      </c>
      <c r="D4841" s="1" t="str">
        <f>"JC030-AZUL"</f>
        <v>JC030-AZUL</v>
      </c>
      <c r="E4841" s="1" t="s">
        <v>17</v>
      </c>
      <c r="F4841" s="1">
        <v>2</v>
      </c>
      <c r="G4841" s="1">
        <v>3934</v>
      </c>
      <c r="H4841" s="1">
        <v>7868</v>
      </c>
      <c r="I4841" s="1">
        <v>0</v>
      </c>
      <c r="J4841" s="1">
        <v>2</v>
      </c>
      <c r="K4841" s="1">
        <v>0</v>
      </c>
    </row>
    <row r="4842" spans="1:11" x14ac:dyDescent="0.2">
      <c r="A4842" s="1" t="s">
        <v>98</v>
      </c>
      <c r="B4842" s="1" t="s">
        <v>4436</v>
      </c>
      <c r="C4842" s="1" t="str">
        <f>"66298951213346"</f>
        <v>66298951213346</v>
      </c>
      <c r="D4842" s="1" t="str">
        <f>"JC030-DORADO"</f>
        <v>JC030-DORADO</v>
      </c>
      <c r="E4842" s="1" t="s">
        <v>17</v>
      </c>
      <c r="F4842" s="1">
        <v>1</v>
      </c>
      <c r="G4842" s="1">
        <v>3934</v>
      </c>
      <c r="H4842" s="1">
        <v>3934</v>
      </c>
      <c r="I4842" s="1">
        <v>0</v>
      </c>
      <c r="J4842" s="1">
        <v>1</v>
      </c>
      <c r="K4842" s="1">
        <v>0</v>
      </c>
    </row>
    <row r="4843" spans="1:11" x14ac:dyDescent="0.2">
      <c r="A4843" s="1" t="s">
        <v>98</v>
      </c>
      <c r="B4843" s="1" t="s">
        <v>4437</v>
      </c>
      <c r="C4843" s="1" t="str">
        <f>"66298951255045"</f>
        <v>66298951255045</v>
      </c>
      <c r="D4843" s="1" t="str">
        <f>"400449"</f>
        <v>400449</v>
      </c>
      <c r="E4843" s="1" t="s">
        <v>17</v>
      </c>
      <c r="F4843" s="1">
        <v>11</v>
      </c>
      <c r="G4843" s="1">
        <v>6510</v>
      </c>
      <c r="H4843" s="1">
        <v>71610</v>
      </c>
      <c r="I4843" s="1">
        <v>0</v>
      </c>
      <c r="J4843" s="1">
        <v>11</v>
      </c>
      <c r="K4843" s="1">
        <v>0</v>
      </c>
    </row>
    <row r="4844" spans="1:11" x14ac:dyDescent="0.2">
      <c r="A4844" s="1" t="s">
        <v>98</v>
      </c>
      <c r="B4844" s="1" t="s">
        <v>4438</v>
      </c>
      <c r="C4844" s="1" t="str">
        <f>"66298951297211"</f>
        <v>66298951297211</v>
      </c>
      <c r="D4844" s="1" t="str">
        <f>"JC030-NARANJO"</f>
        <v>JC030-NARANJO</v>
      </c>
      <c r="E4844" s="1" t="s">
        <v>17</v>
      </c>
      <c r="F4844" s="1">
        <v>3</v>
      </c>
      <c r="G4844" s="1">
        <v>3934</v>
      </c>
      <c r="H4844" s="1">
        <v>11802</v>
      </c>
      <c r="I4844" s="1">
        <v>0</v>
      </c>
      <c r="J4844" s="1">
        <v>3</v>
      </c>
      <c r="K4844" s="1">
        <v>0</v>
      </c>
    </row>
    <row r="4845" spans="1:11" x14ac:dyDescent="0.2">
      <c r="A4845" s="1" t="s">
        <v>98</v>
      </c>
      <c r="B4845" s="1" t="s">
        <v>4439</v>
      </c>
      <c r="C4845" s="1" t="str">
        <f>"66298951339558"</f>
        <v>66298951339558</v>
      </c>
      <c r="D4845" s="1" t="str">
        <f>"400447"</f>
        <v>400447</v>
      </c>
      <c r="E4845" s="1" t="s">
        <v>17</v>
      </c>
      <c r="F4845" s="1">
        <v>10</v>
      </c>
      <c r="G4845" s="1">
        <v>6510</v>
      </c>
      <c r="H4845" s="1">
        <v>65100</v>
      </c>
      <c r="I4845" s="1">
        <v>0</v>
      </c>
      <c r="J4845" s="1">
        <v>10</v>
      </c>
      <c r="K4845" s="1">
        <v>0</v>
      </c>
    </row>
    <row r="4846" spans="1:11" x14ac:dyDescent="0.2">
      <c r="A4846" s="1" t="s">
        <v>98</v>
      </c>
      <c r="B4846" s="1" t="s">
        <v>4440</v>
      </c>
      <c r="C4846" s="1" t="str">
        <f>"66298951426588"</f>
        <v>66298951426588</v>
      </c>
      <c r="D4846" s="1" t="str">
        <f>"400448"</f>
        <v>400448</v>
      </c>
      <c r="E4846" s="1" t="s">
        <v>17</v>
      </c>
      <c r="F4846" s="1">
        <v>13</v>
      </c>
      <c r="G4846" s="1">
        <v>6510</v>
      </c>
      <c r="H4846" s="1">
        <v>84630</v>
      </c>
      <c r="I4846" s="1">
        <v>0</v>
      </c>
      <c r="J4846" s="1">
        <v>13</v>
      </c>
      <c r="K4846" s="1">
        <v>0</v>
      </c>
    </row>
    <row r="4847" spans="1:11" x14ac:dyDescent="0.2">
      <c r="A4847" s="1" t="s">
        <v>98</v>
      </c>
      <c r="B4847" s="1" t="s">
        <v>4441</v>
      </c>
      <c r="C4847" s="1" t="str">
        <f>"66298951384337"</f>
        <v>66298951384337</v>
      </c>
      <c r="D4847" s="1" t="str">
        <f>"JC030-ROJO"</f>
        <v>JC030-ROJO</v>
      </c>
      <c r="E4847" s="1" t="s">
        <v>17</v>
      </c>
      <c r="F4847" s="1">
        <v>2</v>
      </c>
      <c r="G4847" s="1">
        <v>3934</v>
      </c>
      <c r="H4847" s="1">
        <v>7868</v>
      </c>
      <c r="I4847" s="1">
        <v>0</v>
      </c>
      <c r="J4847" s="1">
        <v>2</v>
      </c>
      <c r="K4847" s="1">
        <v>0</v>
      </c>
    </row>
    <row r="4848" spans="1:11" x14ac:dyDescent="0.2">
      <c r="A4848" s="1" t="s">
        <v>98</v>
      </c>
      <c r="B4848" s="1" t="s">
        <v>4442</v>
      </c>
      <c r="C4848" s="1" t="str">
        <f>"66298951080185"</f>
        <v>66298951080185</v>
      </c>
      <c r="D4848" s="1" t="str">
        <f>"JC107"</f>
        <v>JC107</v>
      </c>
      <c r="E4848" s="1" t="s">
        <v>17</v>
      </c>
      <c r="F4848" s="1">
        <v>1</v>
      </c>
      <c r="G4848" s="1">
        <v>3832</v>
      </c>
      <c r="H4848" s="1">
        <v>3832</v>
      </c>
      <c r="I4848" s="1">
        <v>0</v>
      </c>
      <c r="J4848" s="1">
        <v>1</v>
      </c>
      <c r="K4848" s="1">
        <v>0</v>
      </c>
    </row>
    <row r="4849" spans="1:11" x14ac:dyDescent="0.2">
      <c r="A4849" s="1" t="s">
        <v>98</v>
      </c>
      <c r="B4849" s="1" t="s">
        <v>4443</v>
      </c>
      <c r="C4849" s="1" t="str">
        <f>"66298951468118"</f>
        <v>66298951468118</v>
      </c>
      <c r="D4849" s="1" t="str">
        <f>"4722"</f>
        <v>4722</v>
      </c>
      <c r="E4849" s="1" t="s">
        <v>17</v>
      </c>
      <c r="F4849" s="1">
        <v>3</v>
      </c>
      <c r="G4849" s="1">
        <v>252.09</v>
      </c>
      <c r="H4849" s="1">
        <v>756</v>
      </c>
      <c r="I4849" s="1">
        <v>0</v>
      </c>
      <c r="J4849" s="1">
        <v>3</v>
      </c>
      <c r="K4849" s="1">
        <v>0</v>
      </c>
    </row>
    <row r="4850" spans="1:11" x14ac:dyDescent="0.2">
      <c r="A4850" s="1" t="s">
        <v>98</v>
      </c>
      <c r="B4850" s="1" t="s">
        <v>4444</v>
      </c>
      <c r="C4850" s="1" t="str">
        <f>"66298951513566"</f>
        <v>66298951513566</v>
      </c>
      <c r="D4850" s="1" t="str">
        <f>"H1113"</f>
        <v>H1113</v>
      </c>
      <c r="E4850" s="1" t="s">
        <v>17</v>
      </c>
      <c r="F4850" s="1">
        <v>4</v>
      </c>
      <c r="G4850" s="1">
        <v>385</v>
      </c>
      <c r="H4850" s="1">
        <v>1540</v>
      </c>
      <c r="I4850" s="1">
        <v>0</v>
      </c>
      <c r="J4850" s="1">
        <v>4</v>
      </c>
      <c r="K4850" s="1">
        <v>0</v>
      </c>
    </row>
    <row r="4851" spans="1:11" x14ac:dyDescent="0.2">
      <c r="A4851" s="1" t="s">
        <v>98</v>
      </c>
      <c r="B4851" s="1" t="s">
        <v>4445</v>
      </c>
      <c r="C4851" s="1" t="str">
        <f>"66298951554606"</f>
        <v>66298951554606</v>
      </c>
      <c r="D4851" s="1" t="str">
        <f>"25031BR"</f>
        <v>25031BR</v>
      </c>
      <c r="E4851" s="1" t="s">
        <v>17</v>
      </c>
      <c r="F4851" s="1">
        <v>3</v>
      </c>
      <c r="G4851" s="1">
        <v>536</v>
      </c>
      <c r="H4851" s="1">
        <v>1608</v>
      </c>
      <c r="I4851" s="1">
        <v>0</v>
      </c>
      <c r="J4851" s="1">
        <v>3</v>
      </c>
      <c r="K4851" s="1">
        <v>0</v>
      </c>
    </row>
    <row r="4852" spans="1:11" x14ac:dyDescent="0.2">
      <c r="A4852" s="1" t="s">
        <v>4446</v>
      </c>
      <c r="B4852" s="1" t="s">
        <v>4447</v>
      </c>
      <c r="C4852" s="1" t="str">
        <f>"66298951594116"</f>
        <v>66298951594116</v>
      </c>
      <c r="D4852" s="1" t="str">
        <f>"11556"</f>
        <v>11556</v>
      </c>
      <c r="E4852" s="1" t="s">
        <v>17</v>
      </c>
      <c r="F4852" s="1">
        <v>9</v>
      </c>
      <c r="G4852" s="1">
        <v>2294</v>
      </c>
      <c r="H4852" s="1">
        <v>20646</v>
      </c>
      <c r="I4852" s="1">
        <v>0</v>
      </c>
      <c r="J4852" s="1">
        <v>9</v>
      </c>
      <c r="K4852" s="1">
        <v>0</v>
      </c>
    </row>
    <row r="4853" spans="1:11" x14ac:dyDescent="0.2">
      <c r="A4853" s="1" t="s">
        <v>4446</v>
      </c>
      <c r="B4853" s="1" t="s">
        <v>4448</v>
      </c>
      <c r="C4853" s="1" t="str">
        <f>"66298951634810"</f>
        <v>66298951634810</v>
      </c>
      <c r="D4853" s="1" t="str">
        <f>"4C6-E2111-00"</f>
        <v>4C6-E2111-00</v>
      </c>
      <c r="E4853" s="1" t="s">
        <v>17</v>
      </c>
      <c r="F4853" s="1">
        <v>9</v>
      </c>
      <c r="G4853" s="1">
        <v>1918</v>
      </c>
      <c r="H4853" s="1">
        <v>17262</v>
      </c>
      <c r="I4853" s="1">
        <v>0</v>
      </c>
      <c r="J4853" s="1">
        <v>9</v>
      </c>
      <c r="K4853" s="1">
        <v>0</v>
      </c>
    </row>
    <row r="4854" spans="1:11" x14ac:dyDescent="0.2">
      <c r="A4854" s="1" t="s">
        <v>4449</v>
      </c>
      <c r="B4854" s="1" t="s">
        <v>4450</v>
      </c>
      <c r="C4854" s="1" t="str">
        <f>"YH0430A"</f>
        <v>YH0430A</v>
      </c>
      <c r="D4854" s="1" t="str">
        <f>"YH0430A"</f>
        <v>YH0430A</v>
      </c>
      <c r="E4854" s="1" t="s">
        <v>17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</row>
    <row r="4855" spans="1:11" x14ac:dyDescent="0.2">
      <c r="A4855" s="1" t="s">
        <v>4446</v>
      </c>
      <c r="B4855" s="1" t="s">
        <v>4451</v>
      </c>
      <c r="C4855" s="1" t="str">
        <f>"66298951678416"</f>
        <v>66298951678416</v>
      </c>
      <c r="D4855" s="1" t="str">
        <f>"14711-KTE-910"</f>
        <v>14711-KTE-910</v>
      </c>
      <c r="E4855" s="1" t="s">
        <v>17</v>
      </c>
      <c r="F4855" s="1">
        <v>7</v>
      </c>
      <c r="G4855" s="1">
        <v>885</v>
      </c>
      <c r="H4855" s="1">
        <v>6195</v>
      </c>
      <c r="I4855" s="1">
        <v>0</v>
      </c>
      <c r="J4855" s="1">
        <v>7</v>
      </c>
      <c r="K4855" s="1">
        <v>0</v>
      </c>
    </row>
    <row r="4856" spans="1:11" x14ac:dyDescent="0.2">
      <c r="A4856" s="1" t="s">
        <v>4446</v>
      </c>
      <c r="B4856" s="1" t="s">
        <v>4452</v>
      </c>
      <c r="C4856" s="1" t="str">
        <f>"66298951724883"</f>
        <v>66298951724883</v>
      </c>
      <c r="D4856" s="1" t="str">
        <f>"PP-30107-000"</f>
        <v>PP-30107-000</v>
      </c>
      <c r="E4856" s="1" t="s">
        <v>17</v>
      </c>
      <c r="F4856" s="1">
        <v>10</v>
      </c>
      <c r="G4856" s="1">
        <v>1441</v>
      </c>
      <c r="H4856" s="1">
        <v>14410</v>
      </c>
      <c r="I4856" s="1">
        <v>0</v>
      </c>
      <c r="J4856" s="1">
        <v>10</v>
      </c>
      <c r="K4856" s="1">
        <v>0</v>
      </c>
    </row>
    <row r="4857" spans="1:11" x14ac:dyDescent="0.2">
      <c r="A4857" s="1" t="s">
        <v>4446</v>
      </c>
      <c r="B4857" s="1" t="s">
        <v>4453</v>
      </c>
      <c r="C4857" s="1" t="str">
        <f>"66298951766899"</f>
        <v>66298951766899</v>
      </c>
      <c r="D4857" s="1" t="str">
        <f>"4ST-E2111-00"</f>
        <v>4ST-E2111-00</v>
      </c>
      <c r="E4857" s="1" t="s">
        <v>17</v>
      </c>
      <c r="F4857" s="1">
        <v>2</v>
      </c>
      <c r="G4857" s="1">
        <v>1554</v>
      </c>
      <c r="H4857" s="1">
        <v>3108</v>
      </c>
      <c r="I4857" s="1">
        <v>0</v>
      </c>
      <c r="J4857" s="1">
        <v>2</v>
      </c>
      <c r="K4857" s="1">
        <v>0</v>
      </c>
    </row>
    <row r="4858" spans="1:11" x14ac:dyDescent="0.2">
      <c r="A4858" s="1" t="s">
        <v>4446</v>
      </c>
      <c r="B4858" s="1" t="s">
        <v>4454</v>
      </c>
      <c r="C4858" s="1" t="str">
        <f>"66298951807794"</f>
        <v>66298951807794</v>
      </c>
      <c r="D4858" s="1" t="str">
        <f>"21C-E2111-01JP"</f>
        <v>21C-E2111-01JP</v>
      </c>
      <c r="E4858" s="1" t="s">
        <v>17</v>
      </c>
      <c r="F4858" s="1">
        <v>2</v>
      </c>
      <c r="G4858" s="1">
        <v>2076</v>
      </c>
      <c r="H4858" s="1">
        <v>4152</v>
      </c>
      <c r="I4858" s="1">
        <v>0</v>
      </c>
      <c r="J4858" s="1">
        <v>2</v>
      </c>
      <c r="K4858" s="1">
        <v>0</v>
      </c>
    </row>
    <row r="4859" spans="1:11" x14ac:dyDescent="0.2">
      <c r="A4859" s="1" t="s">
        <v>4446</v>
      </c>
      <c r="B4859" s="1" t="s">
        <v>4455</v>
      </c>
      <c r="C4859" s="1" t="str">
        <f>"66298951848180"</f>
        <v>66298951848180</v>
      </c>
      <c r="D4859" s="1" t="str">
        <f>"12911-09G00-000"</f>
        <v>12911-09G00-000</v>
      </c>
      <c r="E4859" s="1" t="s">
        <v>17</v>
      </c>
      <c r="F4859" s="1">
        <v>8</v>
      </c>
      <c r="G4859" s="1">
        <v>1932</v>
      </c>
      <c r="H4859" s="1">
        <v>15456</v>
      </c>
      <c r="I4859" s="1">
        <v>0</v>
      </c>
      <c r="J4859" s="1">
        <v>8</v>
      </c>
      <c r="K4859" s="1">
        <v>0</v>
      </c>
    </row>
    <row r="4860" spans="1:11" x14ac:dyDescent="0.2">
      <c r="A4860" s="1" t="s">
        <v>4446</v>
      </c>
      <c r="B4860" s="1" t="s">
        <v>4456</v>
      </c>
      <c r="C4860" s="1" t="str">
        <f>"66298951894959"</f>
        <v>66298951894959</v>
      </c>
      <c r="D4860" s="1" t="str">
        <f>"12911-12F50"</f>
        <v>12911-12F50</v>
      </c>
      <c r="E4860" s="1" t="s">
        <v>17</v>
      </c>
      <c r="F4860" s="1">
        <v>9</v>
      </c>
      <c r="G4860" s="1">
        <v>2121</v>
      </c>
      <c r="H4860" s="1">
        <v>19089</v>
      </c>
      <c r="I4860" s="1">
        <v>0</v>
      </c>
      <c r="J4860" s="1">
        <v>9</v>
      </c>
      <c r="K4860" s="1">
        <v>0</v>
      </c>
    </row>
    <row r="4861" spans="1:11" x14ac:dyDescent="0.2">
      <c r="A4861" s="1" t="s">
        <v>4446</v>
      </c>
      <c r="B4861" s="1" t="s">
        <v>4457</v>
      </c>
      <c r="C4861" s="1" t="str">
        <f>"66298951936133"</f>
        <v>66298951936133</v>
      </c>
      <c r="D4861" s="1" t="str">
        <f>"12911-25H01-00GS"</f>
        <v>12911-25H01-00GS</v>
      </c>
      <c r="E4861" s="1" t="s">
        <v>17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</row>
    <row r="4862" spans="1:11" x14ac:dyDescent="0.2">
      <c r="A4862" s="1" t="s">
        <v>4446</v>
      </c>
      <c r="B4862" s="1" t="s">
        <v>4458</v>
      </c>
      <c r="C4862" s="1" t="str">
        <f>"66298952029109"</f>
        <v>66298952029109</v>
      </c>
      <c r="D4862" s="1" t="str">
        <f>"XN-30107-000"</f>
        <v>XN-30107-000</v>
      </c>
      <c r="E4862" s="1" t="s">
        <v>17</v>
      </c>
      <c r="F4862" s="1">
        <v>12</v>
      </c>
      <c r="G4862" s="1">
        <v>1947</v>
      </c>
      <c r="H4862" s="1">
        <v>23364</v>
      </c>
      <c r="I4862" s="1">
        <v>0</v>
      </c>
      <c r="J4862" s="1">
        <v>12</v>
      </c>
      <c r="K4862" s="1">
        <v>0</v>
      </c>
    </row>
    <row r="4863" spans="1:11" x14ac:dyDescent="0.2">
      <c r="A4863" s="1" t="s">
        <v>4446</v>
      </c>
      <c r="B4863" s="1" t="s">
        <v>4459</v>
      </c>
      <c r="C4863" s="1" t="str">
        <f>"66298951980518"</f>
        <v>66298951980518</v>
      </c>
      <c r="D4863" s="1" t="str">
        <f>"14711-LBA8-C00"</f>
        <v>14711-LBA8-C00</v>
      </c>
      <c r="E4863" s="1" t="s">
        <v>17</v>
      </c>
      <c r="F4863" s="1">
        <v>4</v>
      </c>
      <c r="G4863" s="1">
        <v>1932</v>
      </c>
      <c r="H4863" s="1">
        <v>7728</v>
      </c>
      <c r="I4863" s="1">
        <v>0</v>
      </c>
      <c r="J4863" s="1">
        <v>4</v>
      </c>
      <c r="K4863" s="1">
        <v>0</v>
      </c>
    </row>
    <row r="4864" spans="1:11" x14ac:dyDescent="0.2">
      <c r="A4864" s="1" t="s">
        <v>4446</v>
      </c>
      <c r="B4864" s="1" t="s">
        <v>4460</v>
      </c>
      <c r="C4864" s="1" t="str">
        <f>"66298952068109"</f>
        <v>66298952068109</v>
      </c>
      <c r="D4864" s="1" t="str">
        <f>"FL-30107-000"</f>
        <v>FL-30107-000</v>
      </c>
      <c r="E4864" s="1" t="s">
        <v>17</v>
      </c>
      <c r="F4864" s="1">
        <v>11</v>
      </c>
      <c r="G4864" s="1">
        <v>1426</v>
      </c>
      <c r="H4864" s="1">
        <v>15686</v>
      </c>
      <c r="I4864" s="1">
        <v>0</v>
      </c>
      <c r="J4864" s="1">
        <v>11</v>
      </c>
      <c r="K4864" s="1">
        <v>0</v>
      </c>
    </row>
    <row r="4865" spans="1:11" x14ac:dyDescent="0.2">
      <c r="A4865" s="1" t="s">
        <v>4446</v>
      </c>
      <c r="B4865" s="1" t="s">
        <v>4461</v>
      </c>
      <c r="C4865" s="1" t="str">
        <f>"66298952105157"</f>
        <v>66298952105157</v>
      </c>
      <c r="D4865" s="1" t="str">
        <f>"12911H3J010H000"</f>
        <v>12911H3J010H000</v>
      </c>
      <c r="E4865" s="1" t="s">
        <v>17</v>
      </c>
      <c r="F4865" s="1">
        <v>2</v>
      </c>
      <c r="G4865" s="1">
        <v>3425</v>
      </c>
      <c r="H4865" s="1">
        <v>6850</v>
      </c>
      <c r="I4865" s="1">
        <v>0</v>
      </c>
      <c r="J4865" s="1">
        <v>2</v>
      </c>
      <c r="K4865" s="1">
        <v>0</v>
      </c>
    </row>
    <row r="4866" spans="1:11" x14ac:dyDescent="0.2">
      <c r="A4866" s="1" t="s">
        <v>4446</v>
      </c>
      <c r="B4866" s="1" t="s">
        <v>4462</v>
      </c>
      <c r="C4866" s="1" t="str">
        <f>"66298952149614"</f>
        <v>66298952149614</v>
      </c>
      <c r="D4866" s="1" t="str">
        <f>"JD-5112-01"</f>
        <v>JD-5112-01</v>
      </c>
      <c r="E4866" s="1" t="s">
        <v>17</v>
      </c>
      <c r="F4866" s="1">
        <v>7</v>
      </c>
      <c r="G4866" s="1">
        <v>2644</v>
      </c>
      <c r="H4866" s="1">
        <v>18508</v>
      </c>
      <c r="I4866" s="1">
        <v>0</v>
      </c>
      <c r="J4866" s="1">
        <v>7</v>
      </c>
      <c r="K4866" s="1">
        <v>0</v>
      </c>
    </row>
    <row r="4867" spans="1:11" x14ac:dyDescent="0.2">
      <c r="A4867" s="1" t="s">
        <v>4446</v>
      </c>
      <c r="B4867" s="1" t="s">
        <v>4463</v>
      </c>
      <c r="C4867" s="1" t="str">
        <f>"66298952194095"</f>
        <v>66298952194095</v>
      </c>
      <c r="D4867" s="1" t="str">
        <f>"DJ-1011-24"</f>
        <v>DJ-1011-24</v>
      </c>
      <c r="E4867" s="1" t="s">
        <v>17</v>
      </c>
      <c r="F4867" s="1">
        <v>9</v>
      </c>
      <c r="G4867" s="1">
        <v>1478</v>
      </c>
      <c r="H4867" s="1">
        <v>13302</v>
      </c>
      <c r="I4867" s="1">
        <v>0</v>
      </c>
      <c r="J4867" s="1">
        <v>9</v>
      </c>
      <c r="K4867" s="1">
        <v>0</v>
      </c>
    </row>
    <row r="4868" spans="1:11" x14ac:dyDescent="0.2">
      <c r="A4868" s="1" t="s">
        <v>4446</v>
      </c>
      <c r="B4868" s="1" t="s">
        <v>4464</v>
      </c>
      <c r="C4868" s="1" t="str">
        <f>"66298952242761"</f>
        <v>66298952242761</v>
      </c>
      <c r="D4868" s="1" t="str">
        <f>"DK-1010-52"</f>
        <v>DK-1010-52</v>
      </c>
      <c r="E4868" s="1" t="s">
        <v>17</v>
      </c>
      <c r="F4868" s="1">
        <v>2</v>
      </c>
      <c r="G4868" s="1">
        <v>1501</v>
      </c>
      <c r="H4868" s="1">
        <v>3002</v>
      </c>
      <c r="I4868" s="1">
        <v>0</v>
      </c>
      <c r="J4868" s="1">
        <v>2</v>
      </c>
      <c r="K4868" s="1">
        <v>0</v>
      </c>
    </row>
    <row r="4869" spans="1:11" x14ac:dyDescent="0.2">
      <c r="A4869" s="1" t="s">
        <v>4446</v>
      </c>
      <c r="B4869" s="1" t="s">
        <v>4464</v>
      </c>
      <c r="C4869" s="1" t="str">
        <f>"66298952248540"</f>
        <v>66298952248540</v>
      </c>
      <c r="D4869" s="1" t="str">
        <f>"JL-5110-10"</f>
        <v>JL-5110-10</v>
      </c>
      <c r="E4869" s="1" t="s">
        <v>17</v>
      </c>
      <c r="F4869" s="1">
        <v>7</v>
      </c>
      <c r="G4869" s="1">
        <v>2498</v>
      </c>
      <c r="H4869" s="1">
        <v>17486</v>
      </c>
      <c r="I4869" s="1">
        <v>0</v>
      </c>
      <c r="J4869" s="1">
        <v>7</v>
      </c>
      <c r="K4869" s="1">
        <v>0</v>
      </c>
    </row>
    <row r="4870" spans="1:11" x14ac:dyDescent="0.2">
      <c r="A4870" s="1" t="s">
        <v>4446</v>
      </c>
      <c r="B4870" s="1" t="s">
        <v>4465</v>
      </c>
      <c r="C4870" s="1" t="str">
        <f>"66298952306462"</f>
        <v>66298952306462</v>
      </c>
      <c r="D4870" s="1" t="str">
        <f>"14711-437-000JP"</f>
        <v>14711-437-000JP</v>
      </c>
      <c r="E4870" s="1" t="s">
        <v>17</v>
      </c>
      <c r="F4870" s="1">
        <v>2</v>
      </c>
      <c r="G4870" s="1">
        <v>1424</v>
      </c>
      <c r="H4870" s="1">
        <v>2848</v>
      </c>
      <c r="I4870" s="1">
        <v>0</v>
      </c>
      <c r="J4870" s="1">
        <v>2</v>
      </c>
      <c r="K4870" s="1">
        <v>0</v>
      </c>
    </row>
    <row r="4871" spans="1:11" x14ac:dyDescent="0.2">
      <c r="A4871" s="1" t="s">
        <v>4446</v>
      </c>
      <c r="B4871" s="1" t="s">
        <v>4466</v>
      </c>
      <c r="C4871" s="1" t="str">
        <f>"66298952346644"</f>
        <v>66298952346644</v>
      </c>
      <c r="D4871" s="1" t="str">
        <f>"14711-KGA-B00JP"</f>
        <v>14711-KGA-B00JP</v>
      </c>
      <c r="E4871" s="1" t="s">
        <v>17</v>
      </c>
      <c r="F4871" s="1">
        <v>7</v>
      </c>
      <c r="G4871" s="1">
        <v>1947</v>
      </c>
      <c r="H4871" s="1">
        <v>13629</v>
      </c>
      <c r="I4871" s="1">
        <v>0</v>
      </c>
      <c r="J4871" s="1">
        <v>7</v>
      </c>
      <c r="K4871" s="1">
        <v>0</v>
      </c>
    </row>
    <row r="4872" spans="1:11" x14ac:dyDescent="0.2">
      <c r="A4872" s="1" t="s">
        <v>4446</v>
      </c>
      <c r="B4872" s="1" t="s">
        <v>4467</v>
      </c>
      <c r="C4872" s="1" t="str">
        <f>"66298952395840"</f>
        <v>66298952395840</v>
      </c>
      <c r="D4872" s="1" t="str">
        <f>"14711-KBB-900"</f>
        <v>14711-KBB-900</v>
      </c>
      <c r="E4872" s="1" t="s">
        <v>17</v>
      </c>
      <c r="F4872" s="1">
        <v>13</v>
      </c>
      <c r="G4872" s="1">
        <v>1628</v>
      </c>
      <c r="H4872" s="1">
        <v>21164</v>
      </c>
      <c r="I4872" s="1">
        <v>0</v>
      </c>
      <c r="J4872" s="1">
        <v>13</v>
      </c>
      <c r="K4872" s="1">
        <v>0</v>
      </c>
    </row>
    <row r="4873" spans="1:11" x14ac:dyDescent="0.2">
      <c r="A4873" s="1" t="s">
        <v>4446</v>
      </c>
      <c r="B4873" s="1" t="s">
        <v>4468</v>
      </c>
      <c r="C4873" s="1" t="str">
        <f>"66298952438830"</f>
        <v>66298952438830</v>
      </c>
      <c r="D4873" s="1" t="str">
        <f>"14711-KPF-900"</f>
        <v>14711-KPF-900</v>
      </c>
      <c r="E4873" s="1" t="s">
        <v>17</v>
      </c>
      <c r="F4873" s="1">
        <v>2</v>
      </c>
      <c r="G4873" s="1">
        <v>1916</v>
      </c>
      <c r="H4873" s="1">
        <v>3832</v>
      </c>
      <c r="I4873" s="1">
        <v>0</v>
      </c>
      <c r="J4873" s="1">
        <v>2</v>
      </c>
      <c r="K4873" s="1">
        <v>0</v>
      </c>
    </row>
    <row r="4874" spans="1:11" x14ac:dyDescent="0.2">
      <c r="A4874" s="1" t="s">
        <v>4446</v>
      </c>
      <c r="B4874" s="1" t="s">
        <v>4469</v>
      </c>
      <c r="C4874" s="1" t="str">
        <f>"66298952484474"</f>
        <v>66298952484474</v>
      </c>
      <c r="D4874" s="1" t="str">
        <f>"5YP-E2111-00"</f>
        <v>5YP-E2111-00</v>
      </c>
      <c r="E4874" s="1" t="s">
        <v>17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</row>
    <row r="4875" spans="1:11" x14ac:dyDescent="0.2">
      <c r="A4875" s="1" t="s">
        <v>4446</v>
      </c>
      <c r="B4875" s="1" t="s">
        <v>4469</v>
      </c>
      <c r="C4875" s="1" t="str">
        <f>"5YP-E2111-00JP"</f>
        <v>5YP-E2111-00JP</v>
      </c>
      <c r="D4875" s="1" t="str">
        <f>"5YP-E2111-00JP"</f>
        <v>5YP-E2111-00JP</v>
      </c>
      <c r="E4875" s="1" t="s">
        <v>17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</row>
    <row r="4876" spans="1:11" x14ac:dyDescent="0.2">
      <c r="A4876" s="1" t="s">
        <v>4446</v>
      </c>
      <c r="B4876" s="1" t="s">
        <v>4470</v>
      </c>
      <c r="C4876" s="1" t="str">
        <f>"66298952529900"</f>
        <v>66298952529900</v>
      </c>
      <c r="D4876" s="1" t="str">
        <f>"11557"</f>
        <v>11557</v>
      </c>
      <c r="E4876" s="1" t="s">
        <v>17</v>
      </c>
      <c r="F4876" s="1">
        <v>8</v>
      </c>
      <c r="G4876" s="1">
        <v>2294</v>
      </c>
      <c r="H4876" s="1">
        <v>18352</v>
      </c>
      <c r="I4876" s="1">
        <v>0</v>
      </c>
      <c r="J4876" s="1">
        <v>8</v>
      </c>
      <c r="K4876" s="1">
        <v>0</v>
      </c>
    </row>
    <row r="4877" spans="1:11" x14ac:dyDescent="0.2">
      <c r="A4877" s="1" t="s">
        <v>4446</v>
      </c>
      <c r="B4877" s="1" t="s">
        <v>4471</v>
      </c>
      <c r="C4877" s="1" t="str">
        <f>"66298952572453"</f>
        <v>66298952572453</v>
      </c>
      <c r="D4877" s="1" t="str">
        <f>"14721-GF6-010"</f>
        <v>14721-GF6-010</v>
      </c>
      <c r="E4877" s="1" t="s">
        <v>17</v>
      </c>
      <c r="F4877" s="1">
        <v>2</v>
      </c>
      <c r="G4877" s="1">
        <v>2089</v>
      </c>
      <c r="H4877" s="1">
        <v>4178</v>
      </c>
      <c r="I4877" s="1">
        <v>0</v>
      </c>
      <c r="J4877" s="1">
        <v>2</v>
      </c>
      <c r="K4877" s="1">
        <v>0</v>
      </c>
    </row>
    <row r="4878" spans="1:11" x14ac:dyDescent="0.2">
      <c r="A4878" s="1" t="s">
        <v>4449</v>
      </c>
      <c r="B4878" s="1" t="s">
        <v>4472</v>
      </c>
      <c r="C4878" s="1" t="str">
        <f>"YH1430A"</f>
        <v>YH1430A</v>
      </c>
      <c r="D4878" s="1" t="str">
        <f>"YH1430A"</f>
        <v>YH1430A</v>
      </c>
      <c r="E4878" s="1" t="s">
        <v>17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</row>
    <row r="4879" spans="1:11" x14ac:dyDescent="0.2">
      <c r="A4879" s="1" t="s">
        <v>4446</v>
      </c>
      <c r="B4879" s="1" t="s">
        <v>4473</v>
      </c>
      <c r="C4879" s="1" t="str">
        <f>"66298952616461"</f>
        <v>66298952616461</v>
      </c>
      <c r="D4879" s="1" t="str">
        <f>"14721-KWF-900"</f>
        <v>14721-KWF-900</v>
      </c>
      <c r="E4879" s="1" t="s">
        <v>17</v>
      </c>
      <c r="F4879" s="1">
        <v>11</v>
      </c>
      <c r="G4879" s="1">
        <v>1879</v>
      </c>
      <c r="H4879" s="1">
        <v>20669</v>
      </c>
      <c r="I4879" s="1">
        <v>0</v>
      </c>
      <c r="J4879" s="1">
        <v>11</v>
      </c>
      <c r="K4879" s="1">
        <v>0</v>
      </c>
    </row>
    <row r="4880" spans="1:11" x14ac:dyDescent="0.2">
      <c r="A4880" s="1" t="s">
        <v>4446</v>
      </c>
      <c r="B4880" s="1" t="s">
        <v>4474</v>
      </c>
      <c r="C4880" s="1" t="str">
        <f>"66298952656025"</f>
        <v>66298952656025</v>
      </c>
      <c r="D4880" s="1" t="str">
        <f>"EV-30108-000"</f>
        <v>EV-30108-000</v>
      </c>
      <c r="E4880" s="1" t="s">
        <v>17</v>
      </c>
      <c r="F4880" s="1">
        <v>1</v>
      </c>
      <c r="G4880" s="1">
        <v>1793</v>
      </c>
      <c r="H4880" s="1">
        <v>1793</v>
      </c>
      <c r="I4880" s="1">
        <v>0</v>
      </c>
      <c r="J4880" s="1">
        <v>1</v>
      </c>
      <c r="K4880" s="1">
        <v>0</v>
      </c>
    </row>
    <row r="4881" spans="1:11" x14ac:dyDescent="0.2">
      <c r="A4881" s="1" t="s">
        <v>4446</v>
      </c>
      <c r="B4881" s="1" t="s">
        <v>4475</v>
      </c>
      <c r="C4881" s="1" t="str">
        <f>"66298952693855"</f>
        <v>66298952693855</v>
      </c>
      <c r="D4881" s="1" t="str">
        <f>"14721-KRM-840JP"</f>
        <v>14721-KRM-840JP</v>
      </c>
      <c r="E4881" s="1" t="s">
        <v>17</v>
      </c>
      <c r="F4881" s="1">
        <v>2</v>
      </c>
      <c r="G4881" s="1">
        <v>4541</v>
      </c>
      <c r="H4881" s="1">
        <v>9082</v>
      </c>
      <c r="I4881" s="1">
        <v>0</v>
      </c>
      <c r="J4881" s="1">
        <v>2</v>
      </c>
      <c r="K4881" s="1">
        <v>0</v>
      </c>
    </row>
    <row r="4882" spans="1:11" x14ac:dyDescent="0.2">
      <c r="A4882" s="1" t="s">
        <v>4446</v>
      </c>
      <c r="B4882" s="1" t="s">
        <v>4476</v>
      </c>
      <c r="C4882" s="1" t="str">
        <f>"66298952735541"</f>
        <v>66298952735541</v>
      </c>
      <c r="D4882" s="1" t="str">
        <f>"12912-12F50"</f>
        <v>12912-12F50</v>
      </c>
      <c r="E4882" s="1" t="s">
        <v>17</v>
      </c>
      <c r="F4882" s="1">
        <v>3</v>
      </c>
      <c r="G4882" s="1">
        <v>1683</v>
      </c>
      <c r="H4882" s="1">
        <v>5049</v>
      </c>
      <c r="I4882" s="1">
        <v>0</v>
      </c>
      <c r="J4882" s="1">
        <v>3</v>
      </c>
      <c r="K4882" s="1">
        <v>0</v>
      </c>
    </row>
    <row r="4883" spans="1:11" x14ac:dyDescent="0.2">
      <c r="A4883" s="1" t="s">
        <v>4446</v>
      </c>
      <c r="B4883" s="1" t="s">
        <v>4477</v>
      </c>
      <c r="C4883" s="1" t="str">
        <f>"66298952781342"</f>
        <v>66298952781342</v>
      </c>
      <c r="D4883" s="1" t="str">
        <f>"PP-30108-000"</f>
        <v>PP-30108-000</v>
      </c>
      <c r="E4883" s="1" t="s">
        <v>17</v>
      </c>
      <c r="F4883" s="1">
        <v>2</v>
      </c>
      <c r="G4883" s="1">
        <v>1748</v>
      </c>
      <c r="H4883" s="1">
        <v>3496</v>
      </c>
      <c r="I4883" s="1">
        <v>0</v>
      </c>
      <c r="J4883" s="1">
        <v>2</v>
      </c>
      <c r="K4883" s="1">
        <v>0</v>
      </c>
    </row>
    <row r="4884" spans="1:11" x14ac:dyDescent="0.2">
      <c r="A4884" s="1" t="s">
        <v>4446</v>
      </c>
      <c r="B4884" s="1" t="s">
        <v>4478</v>
      </c>
      <c r="C4884" s="1" t="str">
        <f>"66298952820261"</f>
        <v>66298952820261</v>
      </c>
      <c r="D4884" s="1" t="str">
        <f>"12912H3E002H000"</f>
        <v>12912H3E002H000</v>
      </c>
      <c r="E4884" s="1" t="s">
        <v>17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</row>
    <row r="4885" spans="1:11" x14ac:dyDescent="0.2">
      <c r="A4885" s="1" t="s">
        <v>4446</v>
      </c>
      <c r="B4885" s="1" t="s">
        <v>4479</v>
      </c>
      <c r="C4885" s="1" t="str">
        <f>"66298952858085"</f>
        <v>66298952858085</v>
      </c>
      <c r="D4885" s="1" t="str">
        <f>"JD-5112-02"</f>
        <v>JD-5112-02</v>
      </c>
      <c r="E4885" s="1" t="s">
        <v>17</v>
      </c>
      <c r="F4885" s="1">
        <v>5</v>
      </c>
      <c r="G4885" s="1">
        <v>1925</v>
      </c>
      <c r="H4885" s="1">
        <v>9625</v>
      </c>
      <c r="I4885" s="1">
        <v>0</v>
      </c>
      <c r="J4885" s="1">
        <v>5</v>
      </c>
      <c r="K4885" s="1">
        <v>0</v>
      </c>
    </row>
    <row r="4886" spans="1:11" x14ac:dyDescent="0.2">
      <c r="A4886" s="1" t="s">
        <v>4446</v>
      </c>
      <c r="B4886" s="1" t="s">
        <v>4480</v>
      </c>
      <c r="C4886" s="1" t="str">
        <f>"66298952902191"</f>
        <v>66298952902191</v>
      </c>
      <c r="D4886" s="1" t="str">
        <f>"DJ-1011-25"</f>
        <v>DJ-1011-25</v>
      </c>
      <c r="E4886" s="1" t="s">
        <v>17</v>
      </c>
      <c r="F4886" s="1">
        <v>6</v>
      </c>
      <c r="G4886" s="1">
        <v>2581</v>
      </c>
      <c r="H4886" s="1">
        <v>15486</v>
      </c>
      <c r="I4886" s="1">
        <v>0</v>
      </c>
      <c r="J4886" s="1">
        <v>6</v>
      </c>
      <c r="K4886" s="1">
        <v>0</v>
      </c>
    </row>
    <row r="4887" spans="1:11" x14ac:dyDescent="0.2">
      <c r="A4887" s="1" t="s">
        <v>4446</v>
      </c>
      <c r="B4887" s="1" t="s">
        <v>4481</v>
      </c>
      <c r="C4887" s="1" t="str">
        <f>"66298952947260"</f>
        <v>66298952947260</v>
      </c>
      <c r="D4887" s="1" t="str">
        <f>"DK-1010-11"</f>
        <v>DK-1010-11</v>
      </c>
      <c r="E4887" s="1" t="s">
        <v>17</v>
      </c>
      <c r="F4887" s="1">
        <v>7</v>
      </c>
      <c r="G4887" s="1">
        <v>2892</v>
      </c>
      <c r="H4887" s="1">
        <v>20244</v>
      </c>
      <c r="I4887" s="1">
        <v>0</v>
      </c>
      <c r="J4887" s="1">
        <v>7</v>
      </c>
      <c r="K4887" s="1">
        <v>0</v>
      </c>
    </row>
    <row r="4888" spans="1:11" x14ac:dyDescent="0.2">
      <c r="A4888" s="1" t="s">
        <v>4446</v>
      </c>
      <c r="B4888" s="1" t="s">
        <v>4482</v>
      </c>
      <c r="C4888" s="1" t="str">
        <f>"66298952985602"</f>
        <v>66298952985602</v>
      </c>
      <c r="D4888" s="1" t="str">
        <f>"14721-KUDU-C00"</f>
        <v>14721-KUDU-C00</v>
      </c>
      <c r="E4888" s="1" t="s">
        <v>17</v>
      </c>
      <c r="F4888" s="1">
        <v>2</v>
      </c>
      <c r="G4888" s="1">
        <v>2416</v>
      </c>
      <c r="H4888" s="1">
        <v>4832</v>
      </c>
      <c r="I4888" s="1">
        <v>0</v>
      </c>
      <c r="J4888" s="1">
        <v>2</v>
      </c>
      <c r="K4888" s="1">
        <v>0</v>
      </c>
    </row>
    <row r="4889" spans="1:11" x14ac:dyDescent="0.2">
      <c r="A4889" s="1" t="s">
        <v>4446</v>
      </c>
      <c r="B4889" s="1" t="s">
        <v>4483</v>
      </c>
      <c r="C4889" s="1" t="str">
        <f>"66298953024882"</f>
        <v>66298953024882</v>
      </c>
      <c r="D4889" s="1" t="str">
        <f>"14721-KCC-950"</f>
        <v>14721-KCC-950</v>
      </c>
      <c r="E4889" s="1" t="s">
        <v>17</v>
      </c>
      <c r="F4889" s="1">
        <v>12</v>
      </c>
      <c r="G4889" s="1">
        <v>2430</v>
      </c>
      <c r="H4889" s="1">
        <v>29160</v>
      </c>
      <c r="I4889" s="1">
        <v>0</v>
      </c>
      <c r="J4889" s="1">
        <v>12</v>
      </c>
      <c r="K4889" s="1">
        <v>0</v>
      </c>
    </row>
    <row r="4890" spans="1:11" x14ac:dyDescent="0.2">
      <c r="A4890" s="1" t="s">
        <v>4446</v>
      </c>
      <c r="B4890" s="1" t="s">
        <v>4484</v>
      </c>
      <c r="C4890" s="1" t="str">
        <f>"66298953066393"</f>
        <v>66298953066393</v>
      </c>
      <c r="D4890" s="1" t="str">
        <f>"14721-437-000JP"</f>
        <v>14721-437-000JP</v>
      </c>
      <c r="E4890" s="1" t="s">
        <v>17</v>
      </c>
      <c r="F4890" s="1">
        <v>2</v>
      </c>
      <c r="G4890" s="1">
        <v>1490</v>
      </c>
      <c r="H4890" s="1">
        <v>2980</v>
      </c>
      <c r="I4890" s="1">
        <v>0</v>
      </c>
      <c r="J4890" s="1">
        <v>2</v>
      </c>
      <c r="K4890" s="1">
        <v>0</v>
      </c>
    </row>
    <row r="4891" spans="1:11" x14ac:dyDescent="0.2">
      <c r="A4891" s="1" t="s">
        <v>4446</v>
      </c>
      <c r="B4891" s="1" t="s">
        <v>4485</v>
      </c>
      <c r="C4891" s="1" t="str">
        <f>"66298953104787"</f>
        <v>66298953104787</v>
      </c>
      <c r="D4891" s="1" t="str">
        <f>"14721-KGA-B00"</f>
        <v>14721-KGA-B00</v>
      </c>
      <c r="E4891" s="1" t="s">
        <v>17</v>
      </c>
      <c r="F4891" s="1">
        <v>16</v>
      </c>
      <c r="G4891" s="1">
        <v>2741</v>
      </c>
      <c r="H4891" s="1">
        <v>43856</v>
      </c>
      <c r="I4891" s="1">
        <v>0</v>
      </c>
      <c r="J4891" s="1">
        <v>16</v>
      </c>
      <c r="K4891" s="1">
        <v>0</v>
      </c>
    </row>
    <row r="4892" spans="1:11" x14ac:dyDescent="0.2">
      <c r="A4892" s="1" t="s">
        <v>4446</v>
      </c>
      <c r="B4892" s="1" t="s">
        <v>4486</v>
      </c>
      <c r="C4892" s="1" t="str">
        <f>"66298953144526"</f>
        <v>66298953144526</v>
      </c>
      <c r="D4892" s="1" t="str">
        <f>"14721-KBB-900"</f>
        <v>14721-KBB-900</v>
      </c>
      <c r="E4892" s="1" t="s">
        <v>17</v>
      </c>
      <c r="F4892" s="1">
        <v>8</v>
      </c>
      <c r="G4892" s="1">
        <v>2718</v>
      </c>
      <c r="H4892" s="1">
        <v>21744</v>
      </c>
      <c r="I4892" s="1">
        <v>0</v>
      </c>
      <c r="J4892" s="1">
        <v>8</v>
      </c>
      <c r="K4892" s="1">
        <v>0</v>
      </c>
    </row>
    <row r="4893" spans="1:11" x14ac:dyDescent="0.2">
      <c r="A4893" s="1" t="s">
        <v>4446</v>
      </c>
      <c r="B4893" s="1" t="s">
        <v>4487</v>
      </c>
      <c r="C4893" s="1" t="str">
        <f>"66298953217621"</f>
        <v>66298953217621</v>
      </c>
      <c r="D4893" s="1" t="str">
        <f>"14721-KPF-900"</f>
        <v>14721-KPF-900</v>
      </c>
      <c r="E4893" s="1" t="s">
        <v>17</v>
      </c>
      <c r="F4893" s="1">
        <v>8</v>
      </c>
      <c r="G4893" s="1">
        <v>2529</v>
      </c>
      <c r="H4893" s="1">
        <v>20232</v>
      </c>
      <c r="I4893" s="1">
        <v>0</v>
      </c>
      <c r="J4893" s="1">
        <v>8</v>
      </c>
      <c r="K4893" s="1">
        <v>0</v>
      </c>
    </row>
    <row r="4894" spans="1:11" x14ac:dyDescent="0.2">
      <c r="A4894" s="1" t="s">
        <v>4446</v>
      </c>
      <c r="B4894" s="1" t="s">
        <v>4488</v>
      </c>
      <c r="C4894" s="1" t="str">
        <f>"66298953350867"</f>
        <v>66298953350867</v>
      </c>
      <c r="D4894" s="1" t="str">
        <f>"14721-KR6-000JPN"</f>
        <v>14721-KR6-000JPN</v>
      </c>
      <c r="E4894" s="1" t="s">
        <v>17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</row>
    <row r="4895" spans="1:11" x14ac:dyDescent="0.2">
      <c r="A4895" s="1" t="s">
        <v>4446</v>
      </c>
      <c r="B4895" s="1" t="s">
        <v>4489</v>
      </c>
      <c r="C4895" s="1" t="str">
        <f>"66298953267545"</f>
        <v>66298953267545</v>
      </c>
      <c r="D4895" s="1" t="str">
        <f>"14721-KR6-000JP"</f>
        <v>14721-KR6-000JP</v>
      </c>
      <c r="E4895" s="1" t="s">
        <v>17</v>
      </c>
      <c r="F4895" s="1">
        <v>4</v>
      </c>
      <c r="G4895" s="1">
        <v>1896</v>
      </c>
      <c r="H4895" s="1">
        <v>7584</v>
      </c>
      <c r="I4895" s="1">
        <v>0</v>
      </c>
      <c r="J4895" s="1">
        <v>4</v>
      </c>
      <c r="K4895" s="1">
        <v>0</v>
      </c>
    </row>
    <row r="4896" spans="1:11" x14ac:dyDescent="0.2">
      <c r="A4896" s="1" t="s">
        <v>4446</v>
      </c>
      <c r="B4896" s="1" t="s">
        <v>4489</v>
      </c>
      <c r="C4896" s="1" t="str">
        <f>"66298953309404"</f>
        <v>66298953309404</v>
      </c>
      <c r="D4896" s="1" t="str">
        <f>"14721-KR6-000"</f>
        <v>14721-KR6-000</v>
      </c>
      <c r="E4896" s="1" t="s">
        <v>17</v>
      </c>
      <c r="F4896" s="1">
        <v>2</v>
      </c>
      <c r="G4896" s="1">
        <v>4000</v>
      </c>
      <c r="H4896" s="1">
        <v>8000</v>
      </c>
      <c r="I4896" s="1">
        <v>0</v>
      </c>
      <c r="J4896" s="1">
        <v>2</v>
      </c>
      <c r="K4896" s="1">
        <v>0</v>
      </c>
    </row>
    <row r="4897" spans="1:11" x14ac:dyDescent="0.2">
      <c r="A4897" s="1" t="s">
        <v>4446</v>
      </c>
      <c r="B4897" s="1" t="s">
        <v>4490</v>
      </c>
      <c r="C4897" s="1" t="str">
        <f>"66298953390137"</f>
        <v>66298953390137</v>
      </c>
      <c r="D4897" s="1" t="str">
        <f>"5HH-E2121-00"</f>
        <v>5HH-E2121-00</v>
      </c>
      <c r="E4897" s="1" t="s">
        <v>17</v>
      </c>
      <c r="F4897" s="1">
        <v>7</v>
      </c>
      <c r="G4897" s="1">
        <v>2105</v>
      </c>
      <c r="H4897" s="1">
        <v>14735</v>
      </c>
      <c r="I4897" s="1">
        <v>0</v>
      </c>
      <c r="J4897" s="1">
        <v>7</v>
      </c>
      <c r="K4897" s="1">
        <v>0</v>
      </c>
    </row>
    <row r="4898" spans="1:11" x14ac:dyDescent="0.2">
      <c r="A4898" s="1" t="s">
        <v>4446</v>
      </c>
      <c r="B4898" s="1" t="s">
        <v>4491</v>
      </c>
      <c r="C4898" s="1" t="str">
        <f>"66298953432973"</f>
        <v>66298953432973</v>
      </c>
      <c r="D4898" s="1" t="str">
        <f>"5KA-E2121-00"</f>
        <v>5KA-E2121-00</v>
      </c>
      <c r="E4898" s="1" t="s">
        <v>17</v>
      </c>
      <c r="F4898" s="1">
        <v>5</v>
      </c>
      <c r="G4898" s="1">
        <v>2458</v>
      </c>
      <c r="H4898" s="1">
        <v>12290</v>
      </c>
      <c r="I4898" s="1">
        <v>0</v>
      </c>
      <c r="J4898" s="1">
        <v>5</v>
      </c>
      <c r="K4898" s="1">
        <v>0</v>
      </c>
    </row>
    <row r="4899" spans="1:11" x14ac:dyDescent="0.2">
      <c r="A4899" s="1" t="s">
        <v>4446</v>
      </c>
      <c r="B4899" s="1" t="s">
        <v>4492</v>
      </c>
      <c r="C4899" s="1" t="str">
        <f>"66298953471454"</f>
        <v>66298953471454</v>
      </c>
      <c r="D4899" s="1" t="str">
        <f>"4C6-E2121-00"</f>
        <v>4C6-E2121-00</v>
      </c>
      <c r="E4899" s="1" t="s">
        <v>17</v>
      </c>
      <c r="F4899" s="1">
        <v>2</v>
      </c>
      <c r="G4899" s="1">
        <v>1679</v>
      </c>
      <c r="H4899" s="1">
        <v>3358</v>
      </c>
      <c r="I4899" s="1">
        <v>0</v>
      </c>
      <c r="J4899" s="1">
        <v>2</v>
      </c>
      <c r="K4899" s="1">
        <v>0</v>
      </c>
    </row>
    <row r="4900" spans="1:11" x14ac:dyDescent="0.2">
      <c r="A4900" s="1" t="s">
        <v>4446</v>
      </c>
      <c r="B4900" s="1" t="s">
        <v>4493</v>
      </c>
      <c r="C4900" s="1" t="str">
        <f>"66298953515180"</f>
        <v>66298953515180</v>
      </c>
      <c r="D4900" s="1" t="str">
        <f>"5YP-E2121-00"</f>
        <v>5YP-E2121-00</v>
      </c>
      <c r="E4900" s="1" t="s">
        <v>17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</row>
    <row r="4901" spans="1:11" x14ac:dyDescent="0.2">
      <c r="A4901" s="1" t="s">
        <v>4446</v>
      </c>
      <c r="B4901" s="1" t="s">
        <v>4493</v>
      </c>
      <c r="C4901" s="1" t="str">
        <f>"5YP-E2121-00JP"</f>
        <v>5YP-E2121-00JP</v>
      </c>
      <c r="D4901" s="1" t="str">
        <f>"5YP-E2121-00JP"</f>
        <v>5YP-E2121-00JP</v>
      </c>
      <c r="E4901" s="1" t="s">
        <v>17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</row>
    <row r="4902" spans="1:11" x14ac:dyDescent="0.2">
      <c r="A4902" s="1" t="s">
        <v>98</v>
      </c>
      <c r="B4902" s="1" t="s">
        <v>4494</v>
      </c>
      <c r="C4902" s="1" t="str">
        <f>"66298953560357"</f>
        <v>66298953560357</v>
      </c>
      <c r="D4902" s="1" t="str">
        <f>"H014"</f>
        <v>H014</v>
      </c>
      <c r="E4902" s="1" t="s">
        <v>17</v>
      </c>
      <c r="F4902" s="1">
        <v>71</v>
      </c>
      <c r="G4902" s="1">
        <v>345.6</v>
      </c>
      <c r="H4902" s="1">
        <v>24538</v>
      </c>
      <c r="I4902" s="1">
        <v>0</v>
      </c>
      <c r="J4902" s="1">
        <v>71</v>
      </c>
      <c r="K4902" s="1">
        <v>0</v>
      </c>
    </row>
    <row r="4903" spans="1:11" x14ac:dyDescent="0.2">
      <c r="A4903" s="1" t="s">
        <v>4446</v>
      </c>
      <c r="B4903" s="1" t="s">
        <v>4494</v>
      </c>
      <c r="C4903" s="1" t="str">
        <f>"H013"</f>
        <v>H013</v>
      </c>
      <c r="D4903" s="1" t="str">
        <f>"H013"</f>
        <v>H013</v>
      </c>
      <c r="E4903" s="1" t="s">
        <v>17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</row>
    <row r="4904" spans="1:11" x14ac:dyDescent="0.2">
      <c r="A4904" s="1" t="s">
        <v>3042</v>
      </c>
      <c r="B4904" s="1" t="s">
        <v>4495</v>
      </c>
      <c r="C4904" s="1" t="str">
        <f>"VALV-CURVA"</f>
        <v>VALV-CURVA</v>
      </c>
      <c r="D4904" s="1" t="str">
        <f>"VALV-CURVA"</f>
        <v>VALV-CURVA</v>
      </c>
      <c r="E4904" s="1" t="s">
        <v>17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</row>
    <row r="4905" spans="1:11" x14ac:dyDescent="0.2">
      <c r="A4905" s="1" t="s">
        <v>3042</v>
      </c>
      <c r="B4905" s="1" t="s">
        <v>4496</v>
      </c>
      <c r="C4905" s="1" t="str">
        <f>"VALV-RECTA"</f>
        <v>VALV-RECTA</v>
      </c>
      <c r="D4905" s="1" t="str">
        <f>"VALV-RECTA"</f>
        <v>VALV-RECTA</v>
      </c>
      <c r="E4905" s="1" t="s">
        <v>17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</row>
    <row r="4906" spans="1:11" x14ac:dyDescent="0.2">
      <c r="A4906" s="1" t="s">
        <v>98</v>
      </c>
      <c r="B4906" s="1" t="s">
        <v>4497</v>
      </c>
      <c r="C4906" s="1" t="str">
        <f>"66298953597421"</f>
        <v>66298953597421</v>
      </c>
      <c r="D4906" s="1" t="str">
        <f>"H015"</f>
        <v>H015</v>
      </c>
      <c r="E4906" s="1" t="s">
        <v>17</v>
      </c>
      <c r="F4906" s="1">
        <v>11</v>
      </c>
      <c r="G4906" s="1">
        <v>270</v>
      </c>
      <c r="H4906" s="1">
        <v>2970</v>
      </c>
      <c r="I4906" s="1">
        <v>0</v>
      </c>
      <c r="J4906" s="1">
        <v>11</v>
      </c>
      <c r="K4906" s="1">
        <v>0</v>
      </c>
    </row>
    <row r="4907" spans="1:11" x14ac:dyDescent="0.2">
      <c r="A4907" s="1" t="s">
        <v>4446</v>
      </c>
      <c r="B4907" s="1" t="s">
        <v>4498</v>
      </c>
      <c r="C4907" s="1" t="str">
        <f>"66298953639367"</f>
        <v>66298953639367</v>
      </c>
      <c r="D4907" s="1" t="str">
        <f>"82006"</f>
        <v>82006</v>
      </c>
      <c r="E4907" s="1" t="s">
        <v>17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</row>
    <row r="4908" spans="1:11" x14ac:dyDescent="0.2">
      <c r="A4908" s="1" t="s">
        <v>4446</v>
      </c>
      <c r="B4908" s="1" t="s">
        <v>4499</v>
      </c>
      <c r="C4908" s="1" t="str">
        <f>"11482"</f>
        <v>11482</v>
      </c>
      <c r="D4908" s="1" t="str">
        <f>"11482"</f>
        <v>11482</v>
      </c>
      <c r="E4908" s="1" t="s">
        <v>17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</row>
    <row r="4909" spans="1:11" x14ac:dyDescent="0.2">
      <c r="A4909" s="1" t="s">
        <v>4446</v>
      </c>
      <c r="B4909" s="1" t="s">
        <v>4500</v>
      </c>
      <c r="C4909" s="1" t="str">
        <f>"66298953729049"</f>
        <v>66298953729049</v>
      </c>
      <c r="D4909" s="1" t="str">
        <f>"11477"</f>
        <v>11477</v>
      </c>
      <c r="E4909" s="1" t="s">
        <v>17</v>
      </c>
      <c r="F4909" s="1">
        <v>1</v>
      </c>
      <c r="G4909" s="1">
        <v>4648</v>
      </c>
      <c r="H4909" s="1">
        <v>4648</v>
      </c>
      <c r="I4909" s="1">
        <v>0</v>
      </c>
      <c r="J4909" s="1">
        <v>1</v>
      </c>
      <c r="K4909" s="1">
        <v>0</v>
      </c>
    </row>
    <row r="4910" spans="1:11" x14ac:dyDescent="0.2">
      <c r="A4910" s="1" t="s">
        <v>4446</v>
      </c>
      <c r="B4910" s="1" t="s">
        <v>4501</v>
      </c>
      <c r="C4910" s="1" t="str">
        <f>"66298953684217"</f>
        <v>66298953684217</v>
      </c>
      <c r="D4910" s="1" t="str">
        <f>"DC002"</f>
        <v>DC002</v>
      </c>
      <c r="E4910" s="1" t="s">
        <v>17</v>
      </c>
      <c r="F4910" s="1">
        <v>1</v>
      </c>
      <c r="G4910" s="1">
        <v>3302</v>
      </c>
      <c r="H4910" s="1">
        <v>3302</v>
      </c>
      <c r="I4910" s="1">
        <v>0</v>
      </c>
      <c r="J4910" s="1">
        <v>1</v>
      </c>
      <c r="K4910" s="1">
        <v>0</v>
      </c>
    </row>
    <row r="4911" spans="1:11" x14ac:dyDescent="0.2">
      <c r="A4911" s="1" t="s">
        <v>4446</v>
      </c>
      <c r="B4911" s="1" t="s">
        <v>4502</v>
      </c>
      <c r="C4911" s="1" t="str">
        <f>"7847"</f>
        <v>7847</v>
      </c>
      <c r="D4911" s="1" t="str">
        <f>"7847"</f>
        <v>7847</v>
      </c>
      <c r="E4911" s="1" t="s">
        <v>17</v>
      </c>
      <c r="F4911" s="1">
        <v>2</v>
      </c>
      <c r="G4911" s="1">
        <v>4991.6000000000004</v>
      </c>
      <c r="H4911" s="1">
        <v>9983</v>
      </c>
      <c r="I4911" s="1">
        <v>0</v>
      </c>
      <c r="J4911" s="1">
        <v>2</v>
      </c>
      <c r="K4911" s="1">
        <v>0</v>
      </c>
    </row>
    <row r="4912" spans="1:11" ht="30" x14ac:dyDescent="0.2">
      <c r="A4912" s="1" t="s">
        <v>4446</v>
      </c>
      <c r="B4912" s="1" t="s">
        <v>4503</v>
      </c>
      <c r="C4912" s="1" t="str">
        <f>"66298953780749"</f>
        <v>66298953780749</v>
      </c>
      <c r="D4912" s="1" t="str">
        <f>"400084"</f>
        <v>400084</v>
      </c>
      <c r="E4912" s="1" t="s">
        <v>17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</row>
    <row r="4913" spans="1:11" x14ac:dyDescent="0.2">
      <c r="A4913" s="1" t="s">
        <v>4446</v>
      </c>
      <c r="B4913" s="1" t="s">
        <v>4504</v>
      </c>
      <c r="C4913" s="1" t="str">
        <f>"66298953824167"</f>
        <v>66298953824167</v>
      </c>
      <c r="D4913" s="1" t="str">
        <f>"400074"</f>
        <v>400074</v>
      </c>
      <c r="E4913" s="1" t="s">
        <v>17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</row>
    <row r="4914" spans="1:11" x14ac:dyDescent="0.2">
      <c r="A4914" s="1" t="s">
        <v>4446</v>
      </c>
      <c r="B4914" s="1" t="s">
        <v>4505</v>
      </c>
      <c r="C4914" s="1" t="str">
        <f>"66298953970946"</f>
        <v>66298953970946</v>
      </c>
      <c r="D4914" s="1" t="str">
        <f>"400075"</f>
        <v>400075</v>
      </c>
      <c r="E4914" s="1" t="s">
        <v>17</v>
      </c>
      <c r="F4914" s="1">
        <v>32</v>
      </c>
      <c r="G4914" s="1">
        <v>1816</v>
      </c>
      <c r="H4914" s="1">
        <v>58112</v>
      </c>
      <c r="I4914" s="1">
        <v>0</v>
      </c>
      <c r="J4914" s="1">
        <v>32</v>
      </c>
      <c r="K4914" s="1">
        <v>0</v>
      </c>
    </row>
    <row r="4915" spans="1:11" x14ac:dyDescent="0.2">
      <c r="A4915" s="1" t="s">
        <v>4446</v>
      </c>
      <c r="B4915" s="1" t="s">
        <v>4506</v>
      </c>
      <c r="C4915" s="1" t="str">
        <f>"66298953866752"</f>
        <v>66298953866752</v>
      </c>
      <c r="D4915" s="1" t="str">
        <f>"2695"</f>
        <v>2695</v>
      </c>
      <c r="E4915" s="1" t="s">
        <v>17</v>
      </c>
      <c r="F4915" s="1">
        <v>3</v>
      </c>
      <c r="G4915" s="1">
        <v>4059</v>
      </c>
      <c r="H4915" s="1">
        <v>12177</v>
      </c>
      <c r="I4915" s="1">
        <v>0</v>
      </c>
      <c r="J4915" s="1">
        <v>3</v>
      </c>
      <c r="K4915" s="1">
        <v>0</v>
      </c>
    </row>
    <row r="4916" spans="1:11" x14ac:dyDescent="0.2">
      <c r="A4916" s="1" t="s">
        <v>4446</v>
      </c>
      <c r="B4916" s="1" t="s">
        <v>4506</v>
      </c>
      <c r="C4916" s="1" t="str">
        <f>"66298953914263"</f>
        <v>66298953914263</v>
      </c>
      <c r="D4916" s="1" t="str">
        <f>"DM-V-00006"</f>
        <v>DM-V-00006</v>
      </c>
      <c r="E4916" s="1" t="s">
        <v>17</v>
      </c>
      <c r="F4916" s="1">
        <v>1</v>
      </c>
      <c r="G4916" s="1">
        <v>1261</v>
      </c>
      <c r="H4916" s="1">
        <v>1261</v>
      </c>
      <c r="I4916" s="1">
        <v>0</v>
      </c>
      <c r="J4916" s="1">
        <v>1</v>
      </c>
      <c r="K4916" s="1">
        <v>0</v>
      </c>
    </row>
    <row r="4917" spans="1:11" x14ac:dyDescent="0.2">
      <c r="A4917" s="1" t="s">
        <v>4446</v>
      </c>
      <c r="B4917" s="1" t="s">
        <v>4506</v>
      </c>
      <c r="C4917" s="1" t="str">
        <f>"66298953919693"</f>
        <v>66298953919693</v>
      </c>
      <c r="D4917" s="1" t="str">
        <f>"DC007"</f>
        <v>DC007</v>
      </c>
      <c r="E4917" s="1" t="s">
        <v>17</v>
      </c>
      <c r="F4917" s="1">
        <v>1</v>
      </c>
      <c r="G4917" s="1">
        <v>2074</v>
      </c>
      <c r="H4917" s="1">
        <v>2074</v>
      </c>
      <c r="I4917" s="1">
        <v>0</v>
      </c>
      <c r="J4917" s="1">
        <v>1</v>
      </c>
      <c r="K4917" s="1">
        <v>0</v>
      </c>
    </row>
    <row r="4918" spans="1:11" x14ac:dyDescent="0.2">
      <c r="A4918" s="1" t="s">
        <v>4446</v>
      </c>
      <c r="B4918" s="1" t="s">
        <v>4507</v>
      </c>
      <c r="C4918" s="1" t="str">
        <f>"66298954055132"</f>
        <v>66298954055132</v>
      </c>
      <c r="D4918" s="1" t="str">
        <f>"400076"</f>
        <v>400076</v>
      </c>
      <c r="E4918" s="1" t="s">
        <v>17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</row>
    <row r="4919" spans="1:11" x14ac:dyDescent="0.2">
      <c r="A4919" s="1" t="s">
        <v>4446</v>
      </c>
      <c r="B4919" s="1" t="s">
        <v>4508</v>
      </c>
      <c r="C4919" s="1" t="str">
        <f>"66298954012747"</f>
        <v>66298954012747</v>
      </c>
      <c r="D4919" s="1" t="str">
        <f>"808"</f>
        <v>808</v>
      </c>
      <c r="E4919" s="1" t="s">
        <v>17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</row>
    <row r="4920" spans="1:11" x14ac:dyDescent="0.2">
      <c r="A4920" s="1" t="s">
        <v>4446</v>
      </c>
      <c r="B4920" s="1" t="s">
        <v>4509</v>
      </c>
      <c r="C4920" s="1" t="str">
        <f>"66298954096629"</f>
        <v>66298954096629</v>
      </c>
      <c r="D4920" s="1" t="str">
        <f>"400077"</f>
        <v>400077</v>
      </c>
      <c r="E4920" s="1" t="s">
        <v>17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</row>
    <row r="4921" spans="1:11" x14ac:dyDescent="0.2">
      <c r="A4921" s="1" t="s">
        <v>4446</v>
      </c>
      <c r="B4921" s="1" t="s">
        <v>4510</v>
      </c>
      <c r="C4921" s="1" t="str">
        <f>"66298954189161"</f>
        <v>66298954189161</v>
      </c>
      <c r="D4921" s="1" t="str">
        <f>"400078"</f>
        <v>400078</v>
      </c>
      <c r="E4921" s="1" t="s">
        <v>17</v>
      </c>
      <c r="F4921" s="1">
        <v>24</v>
      </c>
      <c r="G4921" s="1">
        <v>3358</v>
      </c>
      <c r="H4921" s="1">
        <v>80592</v>
      </c>
      <c r="I4921" s="1">
        <v>0</v>
      </c>
      <c r="J4921" s="1">
        <v>24</v>
      </c>
      <c r="K4921" s="1">
        <v>0</v>
      </c>
    </row>
    <row r="4922" spans="1:11" x14ac:dyDescent="0.2">
      <c r="A4922" s="1" t="s">
        <v>4446</v>
      </c>
      <c r="B4922" s="1" t="s">
        <v>4511</v>
      </c>
      <c r="C4922" s="1" t="str">
        <f>"66298954143524"</f>
        <v>66298954143524</v>
      </c>
      <c r="D4922" s="1" t="str">
        <f>"11476"</f>
        <v>11476</v>
      </c>
      <c r="E4922" s="1" t="s">
        <v>17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</row>
    <row r="4923" spans="1:11" x14ac:dyDescent="0.2">
      <c r="A4923" s="1" t="s">
        <v>4446</v>
      </c>
      <c r="B4923" s="1" t="s">
        <v>4512</v>
      </c>
      <c r="C4923" s="1" t="str">
        <f>"400079"</f>
        <v>400079</v>
      </c>
      <c r="D4923" s="1" t="str">
        <f>"400079"</f>
        <v>400079</v>
      </c>
      <c r="E4923" s="1" t="s">
        <v>17</v>
      </c>
      <c r="F4923" s="1">
        <v>31</v>
      </c>
      <c r="G4923" s="1">
        <v>2034</v>
      </c>
      <c r="H4923" s="1">
        <v>63054</v>
      </c>
      <c r="I4923" s="1">
        <v>0</v>
      </c>
      <c r="J4923" s="1">
        <v>31</v>
      </c>
      <c r="K4923" s="1">
        <v>0</v>
      </c>
    </row>
    <row r="4924" spans="1:11" x14ac:dyDescent="0.2">
      <c r="A4924" s="1" t="s">
        <v>4446</v>
      </c>
      <c r="B4924" s="1" t="s">
        <v>4513</v>
      </c>
      <c r="C4924" s="1" t="str">
        <f>"KGY-FG-41"</f>
        <v>KGY-FG-41</v>
      </c>
      <c r="D4924" s="1" t="str">
        <f>"KGY-FG-41"</f>
        <v>KGY-FG-41</v>
      </c>
      <c r="E4924" s="1" t="s">
        <v>17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</row>
    <row r="4925" spans="1:11" x14ac:dyDescent="0.2">
      <c r="A4925" s="1" t="s">
        <v>4446</v>
      </c>
      <c r="B4925" s="1" t="s">
        <v>4514</v>
      </c>
      <c r="C4925" s="1" t="str">
        <f>"2277"</f>
        <v>2277</v>
      </c>
      <c r="D4925" s="1" t="str">
        <f>"2277"</f>
        <v>2277</v>
      </c>
      <c r="E4925" s="1" t="s">
        <v>17</v>
      </c>
      <c r="F4925" s="1">
        <v>1</v>
      </c>
      <c r="G4925" s="1">
        <v>5490.76</v>
      </c>
      <c r="H4925" s="1">
        <v>5491</v>
      </c>
      <c r="I4925" s="1">
        <v>0</v>
      </c>
      <c r="J4925" s="1">
        <v>1</v>
      </c>
      <c r="K4925" s="1">
        <v>0</v>
      </c>
    </row>
    <row r="4926" spans="1:11" ht="30" x14ac:dyDescent="0.2">
      <c r="A4926" s="1" t="s">
        <v>4446</v>
      </c>
      <c r="B4926" s="1" t="s">
        <v>4515</v>
      </c>
      <c r="C4926" s="1" t="str">
        <f>"11707"</f>
        <v>11707</v>
      </c>
      <c r="D4926" s="1" t="str">
        <f>"11707"</f>
        <v>11707</v>
      </c>
      <c r="E4926" s="1" t="s">
        <v>17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</row>
    <row r="4927" spans="1:11" x14ac:dyDescent="0.2">
      <c r="A4927" s="1" t="s">
        <v>4446</v>
      </c>
      <c r="B4927" s="1" t="s">
        <v>4516</v>
      </c>
      <c r="C4927" s="1" t="str">
        <f>"66298954313640"</f>
        <v>66298954313640</v>
      </c>
      <c r="D4927" s="1" t="str">
        <f>"0810-5-5MM"</f>
        <v>0810-5-5MM</v>
      </c>
      <c r="E4927" s="1" t="s">
        <v>17</v>
      </c>
      <c r="F4927" s="1">
        <v>1</v>
      </c>
      <c r="G4927" s="1">
        <v>2320</v>
      </c>
      <c r="H4927" s="1">
        <v>2320</v>
      </c>
      <c r="I4927" s="1">
        <v>0</v>
      </c>
      <c r="J4927" s="1">
        <v>1</v>
      </c>
      <c r="K4927" s="1">
        <v>0</v>
      </c>
    </row>
    <row r="4928" spans="1:11" x14ac:dyDescent="0.2">
      <c r="A4928" s="1" t="s">
        <v>4446</v>
      </c>
      <c r="B4928" s="1" t="s">
        <v>4517</v>
      </c>
      <c r="C4928" s="1" t="str">
        <f>"66298954270324"</f>
        <v>66298954270324</v>
      </c>
      <c r="D4928" s="1" t="str">
        <f>"0810"</f>
        <v>0810</v>
      </c>
      <c r="E4928" s="1" t="s">
        <v>17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</row>
    <row r="4929" spans="1:11" x14ac:dyDescent="0.2">
      <c r="A4929" s="1" t="s">
        <v>4446</v>
      </c>
      <c r="B4929" s="1" t="s">
        <v>4518</v>
      </c>
      <c r="C4929" s="1" t="str">
        <f>"1549"</f>
        <v>1549</v>
      </c>
      <c r="D4929" s="1" t="str">
        <f>"1549"</f>
        <v>1549</v>
      </c>
      <c r="E4929" s="1" t="s">
        <v>17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</row>
    <row r="4930" spans="1:11" x14ac:dyDescent="0.2">
      <c r="A4930" s="1" t="s">
        <v>4446</v>
      </c>
      <c r="B4930" s="1" t="s">
        <v>4519</v>
      </c>
      <c r="C4930" s="1" t="str">
        <f>"66298954355957"</f>
        <v>66298954355957</v>
      </c>
      <c r="D4930" s="1" t="str">
        <f>"DC003"</f>
        <v>DC003</v>
      </c>
      <c r="E4930" s="1" t="s">
        <v>17</v>
      </c>
      <c r="F4930" s="1">
        <v>3</v>
      </c>
      <c r="G4930" s="1">
        <v>2074</v>
      </c>
      <c r="H4930" s="1">
        <v>6222</v>
      </c>
      <c r="I4930" s="1">
        <v>0</v>
      </c>
      <c r="J4930" s="1">
        <v>3</v>
      </c>
      <c r="K4930" s="1">
        <v>0</v>
      </c>
    </row>
    <row r="4931" spans="1:11" x14ac:dyDescent="0.2">
      <c r="A4931" s="1" t="s">
        <v>4446</v>
      </c>
      <c r="B4931" s="1" t="s">
        <v>4520</v>
      </c>
      <c r="C4931" s="1" t="str">
        <f>"66298954435267"</f>
        <v>66298954435267</v>
      </c>
      <c r="D4931" s="1" t="str">
        <f>"12042"</f>
        <v>12042</v>
      </c>
      <c r="E4931" s="1" t="s">
        <v>17</v>
      </c>
      <c r="F4931" s="1">
        <v>2</v>
      </c>
      <c r="G4931" s="1">
        <v>7000</v>
      </c>
      <c r="H4931" s="1">
        <v>14000</v>
      </c>
      <c r="I4931" s="1">
        <v>0</v>
      </c>
      <c r="J4931" s="1">
        <v>2</v>
      </c>
      <c r="K4931" s="1">
        <v>0</v>
      </c>
    </row>
    <row r="4932" spans="1:11" x14ac:dyDescent="0.2">
      <c r="A4932" s="1" t="s">
        <v>4446</v>
      </c>
      <c r="B4932" s="1" t="s">
        <v>4521</v>
      </c>
      <c r="C4932" s="1" t="str">
        <f>"66298954395946"</f>
        <v>66298954395946</v>
      </c>
      <c r="D4932" s="1" t="str">
        <f>"DC012"</f>
        <v>DC012</v>
      </c>
      <c r="E4932" s="1" t="s">
        <v>17</v>
      </c>
      <c r="F4932" s="1">
        <v>1</v>
      </c>
      <c r="G4932" s="1">
        <v>2214</v>
      </c>
      <c r="H4932" s="1">
        <v>2214</v>
      </c>
      <c r="I4932" s="1">
        <v>0</v>
      </c>
      <c r="J4932" s="1">
        <v>1</v>
      </c>
      <c r="K4932" s="1">
        <v>0</v>
      </c>
    </row>
    <row r="4933" spans="1:11" x14ac:dyDescent="0.2">
      <c r="A4933" s="1" t="s">
        <v>4446</v>
      </c>
      <c r="B4933" s="1" t="s">
        <v>4522</v>
      </c>
      <c r="C4933" s="1" t="str">
        <f>"83165"</f>
        <v>83165</v>
      </c>
      <c r="D4933" s="1" t="str">
        <f>"83165"</f>
        <v>83165</v>
      </c>
      <c r="E4933" s="1" t="s">
        <v>17</v>
      </c>
      <c r="F4933" s="1">
        <v>4</v>
      </c>
      <c r="G4933" s="1">
        <v>657</v>
      </c>
      <c r="H4933" s="1">
        <v>2628</v>
      </c>
      <c r="I4933" s="1">
        <v>0</v>
      </c>
      <c r="J4933" s="1">
        <v>4</v>
      </c>
      <c r="K4933" s="1">
        <v>0</v>
      </c>
    </row>
    <row r="4934" spans="1:11" x14ac:dyDescent="0.2">
      <c r="A4934" s="1" t="s">
        <v>4446</v>
      </c>
      <c r="B4934" s="1" t="s">
        <v>4523</v>
      </c>
      <c r="C4934" s="1" t="str">
        <f>"66298954522500"</f>
        <v>66298954522500</v>
      </c>
      <c r="D4934" s="1" t="str">
        <f>"DC008"</f>
        <v>DC008</v>
      </c>
      <c r="E4934" s="1" t="s">
        <v>17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</row>
    <row r="4935" spans="1:11" x14ac:dyDescent="0.2">
      <c r="A4935" s="1" t="s">
        <v>4446</v>
      </c>
      <c r="B4935" s="1" t="s">
        <v>4524</v>
      </c>
      <c r="C4935" s="1" t="str">
        <f>"11474"</f>
        <v>11474</v>
      </c>
      <c r="D4935" s="1" t="str">
        <f>"11474"</f>
        <v>11474</v>
      </c>
      <c r="E4935" s="1" t="s">
        <v>17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</row>
    <row r="4936" spans="1:11" x14ac:dyDescent="0.2">
      <c r="A4936" s="1" t="s">
        <v>4446</v>
      </c>
      <c r="B4936" s="1" t="s">
        <v>4525</v>
      </c>
      <c r="C4936" s="1" t="str">
        <f>"66298954558929"</f>
        <v>66298954558929</v>
      </c>
      <c r="D4936" s="1" t="str">
        <f>"DC005"</f>
        <v>DC005</v>
      </c>
      <c r="E4936" s="1" t="s">
        <v>17</v>
      </c>
      <c r="F4936" s="1">
        <v>2</v>
      </c>
      <c r="G4936" s="1">
        <v>2353</v>
      </c>
      <c r="H4936" s="1">
        <v>4706</v>
      </c>
      <c r="I4936" s="1">
        <v>0</v>
      </c>
      <c r="J4936" s="1">
        <v>2</v>
      </c>
      <c r="K4936" s="1">
        <v>0</v>
      </c>
    </row>
    <row r="4937" spans="1:11" x14ac:dyDescent="0.2">
      <c r="A4937" s="1" t="s">
        <v>4446</v>
      </c>
      <c r="B4937" s="1" t="s">
        <v>4526</v>
      </c>
      <c r="C4937" s="1" t="str">
        <f>"66298954645171"</f>
        <v>66298954645171</v>
      </c>
      <c r="D4937" s="1" t="str">
        <f>"400082"</f>
        <v>400082</v>
      </c>
      <c r="E4937" s="1" t="s">
        <v>17</v>
      </c>
      <c r="F4937" s="1">
        <v>9</v>
      </c>
      <c r="G4937" s="1">
        <v>2274</v>
      </c>
      <c r="H4937" s="1">
        <v>20466</v>
      </c>
      <c r="I4937" s="1">
        <v>0</v>
      </c>
      <c r="J4937" s="1">
        <v>9</v>
      </c>
      <c r="K4937" s="1">
        <v>0</v>
      </c>
    </row>
    <row r="4938" spans="1:11" x14ac:dyDescent="0.2">
      <c r="A4938" s="1" t="s">
        <v>4446</v>
      </c>
      <c r="B4938" s="1" t="s">
        <v>4527</v>
      </c>
      <c r="C4938" s="1" t="str">
        <f>"66298954599272"</f>
        <v>66298954599272</v>
      </c>
      <c r="D4938" s="1" t="str">
        <f>"ENT005"</f>
        <v>ENT005</v>
      </c>
      <c r="E4938" s="1" t="s">
        <v>17</v>
      </c>
      <c r="F4938" s="1">
        <v>6</v>
      </c>
      <c r="G4938" s="1">
        <v>756</v>
      </c>
      <c r="H4938" s="1">
        <v>4536</v>
      </c>
      <c r="I4938" s="1">
        <v>0</v>
      </c>
      <c r="J4938" s="1">
        <v>6</v>
      </c>
      <c r="K4938" s="1">
        <v>0</v>
      </c>
    </row>
    <row r="4939" spans="1:11" x14ac:dyDescent="0.2">
      <c r="A4939" s="1" t="s">
        <v>4446</v>
      </c>
      <c r="B4939" s="1" t="s">
        <v>4528</v>
      </c>
      <c r="C4939" s="1" t="str">
        <f>"66298954688694"</f>
        <v>66298954688694</v>
      </c>
      <c r="D4939" s="1" t="str">
        <f>"400073"</f>
        <v>400073</v>
      </c>
      <c r="E4939" s="1" t="s">
        <v>17</v>
      </c>
      <c r="F4939" s="1">
        <v>44</v>
      </c>
      <c r="G4939" s="1">
        <v>2370</v>
      </c>
      <c r="H4939" s="1">
        <v>104280</v>
      </c>
      <c r="I4939" s="1">
        <v>0</v>
      </c>
      <c r="J4939" s="1">
        <v>44</v>
      </c>
      <c r="K4939" s="1">
        <v>0</v>
      </c>
    </row>
    <row r="4940" spans="1:11" x14ac:dyDescent="0.2">
      <c r="A4940" s="1" t="s">
        <v>4446</v>
      </c>
      <c r="B4940" s="1" t="s">
        <v>4529</v>
      </c>
      <c r="C4940" s="1" t="str">
        <f>"66298954731126"</f>
        <v>66298954731126</v>
      </c>
      <c r="D4940" s="1" t="str">
        <f>"400087"</f>
        <v>400087</v>
      </c>
      <c r="E4940" s="1" t="s">
        <v>17</v>
      </c>
      <c r="F4940" s="1">
        <v>53</v>
      </c>
      <c r="G4940" s="1">
        <v>4006</v>
      </c>
      <c r="H4940" s="1">
        <v>212318</v>
      </c>
      <c r="I4940" s="1">
        <v>0</v>
      </c>
      <c r="J4940" s="1">
        <v>53</v>
      </c>
      <c r="K4940" s="1">
        <v>0</v>
      </c>
    </row>
    <row r="4941" spans="1:11" x14ac:dyDescent="0.2">
      <c r="A4941" s="1" t="s">
        <v>4446</v>
      </c>
      <c r="B4941" s="1" t="s">
        <v>4530</v>
      </c>
      <c r="C4941" s="1" t="str">
        <f>"66298954818187"</f>
        <v>66298954818187</v>
      </c>
      <c r="D4941" s="1" t="str">
        <f>"400088"</f>
        <v>400088</v>
      </c>
      <c r="E4941" s="1" t="s">
        <v>17</v>
      </c>
      <c r="F4941" s="1">
        <v>5</v>
      </c>
      <c r="G4941" s="1">
        <v>1188</v>
      </c>
      <c r="H4941" s="1">
        <v>5940</v>
      </c>
      <c r="I4941" s="1">
        <v>0</v>
      </c>
      <c r="J4941" s="1">
        <v>5</v>
      </c>
      <c r="K4941" s="1">
        <v>0</v>
      </c>
    </row>
    <row r="4942" spans="1:11" x14ac:dyDescent="0.2">
      <c r="A4942" s="1" t="s">
        <v>4446</v>
      </c>
      <c r="B4942" s="1" t="s">
        <v>4531</v>
      </c>
      <c r="C4942" s="1" t="str">
        <f>"66298954776377"</f>
        <v>66298954776377</v>
      </c>
      <c r="D4942" s="1" t="str">
        <f>"2401-VALVULAS"</f>
        <v>2401-VALVULAS</v>
      </c>
      <c r="E4942" s="1" t="s">
        <v>17</v>
      </c>
      <c r="F4942" s="1">
        <v>1</v>
      </c>
      <c r="G4942" s="1">
        <v>4059</v>
      </c>
      <c r="H4942" s="1">
        <v>4059</v>
      </c>
      <c r="I4942" s="1">
        <v>0</v>
      </c>
      <c r="J4942" s="1">
        <v>1</v>
      </c>
      <c r="K4942" s="1">
        <v>0</v>
      </c>
    </row>
    <row r="4943" spans="1:11" x14ac:dyDescent="0.2">
      <c r="A4943" s="1" t="s">
        <v>4532</v>
      </c>
      <c r="B4943" s="1" t="s">
        <v>4533</v>
      </c>
      <c r="C4943" s="1" t="str">
        <f>"2364"</f>
        <v>2364</v>
      </c>
      <c r="D4943" s="1" t="str">
        <f>"2364"</f>
        <v>2364</v>
      </c>
      <c r="E4943" s="1" t="s">
        <v>17</v>
      </c>
      <c r="F4943" s="1">
        <v>2</v>
      </c>
      <c r="G4943" s="1">
        <v>18801.68</v>
      </c>
      <c r="H4943" s="1">
        <v>37603</v>
      </c>
      <c r="I4943" s="1">
        <v>0</v>
      </c>
      <c r="J4943" s="1">
        <v>2</v>
      </c>
      <c r="K4943" s="1">
        <v>0</v>
      </c>
    </row>
    <row r="4944" spans="1:11" x14ac:dyDescent="0.2">
      <c r="A4944" s="1" t="s">
        <v>4532</v>
      </c>
      <c r="B4944" s="1" t="s">
        <v>4534</v>
      </c>
      <c r="C4944" s="1" t="str">
        <f>"12677"</f>
        <v>12677</v>
      </c>
      <c r="D4944" s="1" t="str">
        <f>"12677"</f>
        <v>12677</v>
      </c>
      <c r="E4944" s="1" t="s">
        <v>17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</row>
    <row r="4945" spans="1:11" x14ac:dyDescent="0.2">
      <c r="A4945" s="1" t="s">
        <v>4532</v>
      </c>
      <c r="B4945" s="1" t="s">
        <v>4535</v>
      </c>
      <c r="C4945" s="1" t="str">
        <f>"66298954860124"</f>
        <v>66298954860124</v>
      </c>
      <c r="D4945" s="1" t="str">
        <f>"400032"</f>
        <v>400032</v>
      </c>
      <c r="E4945" s="1" t="s">
        <v>17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</row>
    <row r="4946" spans="1:11" x14ac:dyDescent="0.2">
      <c r="A4946" s="1" t="s">
        <v>4532</v>
      </c>
      <c r="B4946" s="1" t="s">
        <v>4536</v>
      </c>
      <c r="C4946" s="1" t="str">
        <f>"CA001"</f>
        <v>CA001</v>
      </c>
      <c r="D4946" s="1" t="str">
        <f>"CA001"</f>
        <v>CA001</v>
      </c>
      <c r="E4946" s="1" t="s">
        <v>17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</row>
    <row r="4947" spans="1:11" x14ac:dyDescent="0.2">
      <c r="A4947" s="1" t="s">
        <v>4532</v>
      </c>
      <c r="B4947" s="1" t="s">
        <v>4537</v>
      </c>
      <c r="C4947" s="1" t="str">
        <f>"66298954901999"</f>
        <v>66298954901999</v>
      </c>
      <c r="D4947" s="1" t="str">
        <f>"400757"</f>
        <v>400757</v>
      </c>
      <c r="E4947" s="1" t="s">
        <v>17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</row>
    <row r="4948" spans="1:11" x14ac:dyDescent="0.2">
      <c r="A4948" s="1" t="s">
        <v>4532</v>
      </c>
      <c r="B4948" s="1" t="s">
        <v>4538</v>
      </c>
      <c r="C4948" s="1" t="str">
        <f>"66298954990331"</f>
        <v>66298954990331</v>
      </c>
      <c r="D4948" s="1" t="str">
        <f>"400758"</f>
        <v>400758</v>
      </c>
      <c r="E4948" s="1" t="s">
        <v>17</v>
      </c>
      <c r="F4948" s="1">
        <v>20</v>
      </c>
      <c r="G4948" s="1">
        <v>4684</v>
      </c>
      <c r="H4948" s="1">
        <v>93680</v>
      </c>
      <c r="I4948" s="1">
        <v>0</v>
      </c>
      <c r="J4948" s="1">
        <v>20</v>
      </c>
      <c r="K4948" s="1">
        <v>0</v>
      </c>
    </row>
    <row r="4949" spans="1:11" x14ac:dyDescent="0.2">
      <c r="A4949" s="1" t="s">
        <v>4532</v>
      </c>
      <c r="B4949" s="1" t="s">
        <v>4539</v>
      </c>
      <c r="C4949" s="1" t="str">
        <f>"66298954944934"</f>
        <v>66298954944934</v>
      </c>
      <c r="D4949" s="1" t="str">
        <f>"CA005"</f>
        <v>CA005</v>
      </c>
      <c r="E4949" s="1" t="s">
        <v>17</v>
      </c>
      <c r="F4949" s="1">
        <v>4</v>
      </c>
      <c r="G4949" s="1">
        <v>6491</v>
      </c>
      <c r="H4949" s="1">
        <v>25964</v>
      </c>
      <c r="I4949" s="1">
        <v>0</v>
      </c>
      <c r="J4949" s="1">
        <v>4</v>
      </c>
      <c r="K4949" s="1">
        <v>0</v>
      </c>
    </row>
    <row r="4950" spans="1:11" x14ac:dyDescent="0.2">
      <c r="A4950" s="1" t="s">
        <v>4532</v>
      </c>
      <c r="B4950" s="1" t="s">
        <v>4540</v>
      </c>
      <c r="C4950" s="1" t="str">
        <f>"66298955069993"</f>
        <v>66298955069993</v>
      </c>
      <c r="D4950" s="1" t="str">
        <f>"400759"</f>
        <v>400759</v>
      </c>
      <c r="E4950" s="1" t="s">
        <v>17</v>
      </c>
      <c r="F4950" s="1">
        <v>4</v>
      </c>
      <c r="G4950" s="1">
        <v>6206</v>
      </c>
      <c r="H4950" s="1">
        <v>24824</v>
      </c>
      <c r="I4950" s="1">
        <v>0</v>
      </c>
      <c r="J4950" s="1">
        <v>4</v>
      </c>
      <c r="K4950" s="1">
        <v>0</v>
      </c>
    </row>
    <row r="4951" spans="1:11" x14ac:dyDescent="0.2">
      <c r="A4951" s="1" t="s">
        <v>4532</v>
      </c>
      <c r="B4951" s="1" t="s">
        <v>4541</v>
      </c>
      <c r="C4951" s="1" t="str">
        <f>"66298955026544"</f>
        <v>66298955026544</v>
      </c>
      <c r="D4951" s="1" t="str">
        <f>"CA006"</f>
        <v>CA006</v>
      </c>
      <c r="E4951" s="1" t="s">
        <v>17</v>
      </c>
      <c r="F4951" s="1">
        <v>4</v>
      </c>
      <c r="G4951" s="1">
        <v>8268</v>
      </c>
      <c r="H4951" s="1">
        <v>33072</v>
      </c>
      <c r="I4951" s="1">
        <v>0</v>
      </c>
      <c r="J4951" s="1">
        <v>4</v>
      </c>
      <c r="K4951" s="1">
        <v>0</v>
      </c>
    </row>
    <row r="4952" spans="1:11" x14ac:dyDescent="0.2">
      <c r="A4952" s="1" t="s">
        <v>4542</v>
      </c>
      <c r="B4952" s="1" t="s">
        <v>4543</v>
      </c>
      <c r="C4952" s="1" t="str">
        <f>"66298955110759"</f>
        <v>66298955110759</v>
      </c>
      <c r="D4952" s="1" t="str">
        <f>"PP-32108-000JP"</f>
        <v>PP-32108-000JP</v>
      </c>
      <c r="E4952" s="1" t="s">
        <v>17</v>
      </c>
      <c r="F4952" s="1">
        <v>4</v>
      </c>
      <c r="G4952" s="1">
        <v>663</v>
      </c>
      <c r="H4952" s="1">
        <v>2652</v>
      </c>
      <c r="I4952" s="1">
        <v>0</v>
      </c>
      <c r="J4952" s="1">
        <v>4</v>
      </c>
      <c r="K4952" s="1">
        <v>0</v>
      </c>
    </row>
    <row r="4953" spans="1:11" x14ac:dyDescent="0.2">
      <c r="A4953" s="1" t="s">
        <v>4544</v>
      </c>
      <c r="B4953" s="1" t="s">
        <v>4545</v>
      </c>
      <c r="C4953" s="1" t="str">
        <f>"GJ007"</f>
        <v>GJ007</v>
      </c>
      <c r="D4953" s="1" t="str">
        <f>"GJ007"</f>
        <v>GJ007</v>
      </c>
      <c r="E4953" s="1" t="s">
        <v>17</v>
      </c>
      <c r="F4953" s="1">
        <v>2</v>
      </c>
      <c r="G4953" s="1">
        <v>1017.01</v>
      </c>
      <c r="H4953" s="1">
        <v>2034</v>
      </c>
      <c r="I4953" s="1">
        <v>0</v>
      </c>
      <c r="J4953" s="1">
        <v>2</v>
      </c>
      <c r="K4953" s="1">
        <v>0</v>
      </c>
    </row>
    <row r="4954" spans="1:11" x14ac:dyDescent="0.2">
      <c r="A4954" s="1" t="s">
        <v>4544</v>
      </c>
      <c r="B4954" s="1" t="s">
        <v>4546</v>
      </c>
      <c r="C4954" s="1" t="str">
        <f>"Y545"</f>
        <v>Y545</v>
      </c>
      <c r="D4954" s="1" t="str">
        <f>"Y545"</f>
        <v>Y545</v>
      </c>
      <c r="E4954" s="1" t="s">
        <v>17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</row>
    <row r="4955" spans="1:11" x14ac:dyDescent="0.2">
      <c r="A4955" s="1" t="s">
        <v>4544</v>
      </c>
      <c r="B4955" s="1" t="s">
        <v>4547</v>
      </c>
      <c r="C4955" s="1" t="str">
        <f>"Y546"</f>
        <v>Y546</v>
      </c>
      <c r="D4955" s="1" t="str">
        <f>"Y546"</f>
        <v>Y546</v>
      </c>
      <c r="E4955" s="1" t="s">
        <v>17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</row>
    <row r="4956" spans="1:11" x14ac:dyDescent="0.2">
      <c r="A4956" s="1" t="s">
        <v>4542</v>
      </c>
      <c r="B4956" s="1" t="s">
        <v>4548</v>
      </c>
      <c r="C4956" s="1" t="str">
        <f>"66298955194150"</f>
        <v>66298955194150</v>
      </c>
      <c r="D4956" s="1" t="str">
        <f>"401024"</f>
        <v>401024</v>
      </c>
      <c r="E4956" s="1" t="s">
        <v>17</v>
      </c>
      <c r="F4956" s="1">
        <v>132</v>
      </c>
      <c r="G4956" s="1">
        <v>739</v>
      </c>
      <c r="H4956" s="1">
        <v>97548</v>
      </c>
      <c r="I4956" s="1">
        <v>0</v>
      </c>
      <c r="J4956" s="1">
        <v>132</v>
      </c>
      <c r="K4956" s="1">
        <v>0</v>
      </c>
    </row>
    <row r="4957" spans="1:11" x14ac:dyDescent="0.2">
      <c r="A4957" s="1" t="s">
        <v>4542</v>
      </c>
      <c r="B4957" s="1" t="s">
        <v>4549</v>
      </c>
      <c r="C4957" s="1" t="str">
        <f>"DD001"</f>
        <v>DD001</v>
      </c>
      <c r="D4957" s="1" t="str">
        <f>"DD001"</f>
        <v>DD001</v>
      </c>
      <c r="E4957" s="1" t="s">
        <v>17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</row>
    <row r="4958" spans="1:11" x14ac:dyDescent="0.2">
      <c r="A4958" s="1" t="s">
        <v>4542</v>
      </c>
      <c r="B4958" s="1" t="s">
        <v>4550</v>
      </c>
      <c r="C4958" s="1" t="str">
        <f>"DD002"</f>
        <v>DD002</v>
      </c>
      <c r="D4958" s="1" t="str">
        <f>"DD002"</f>
        <v>DD002</v>
      </c>
      <c r="E4958" s="1" t="s">
        <v>17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</row>
    <row r="4959" spans="1:11" x14ac:dyDescent="0.2">
      <c r="A4959" s="1" t="s">
        <v>4542</v>
      </c>
      <c r="B4959" s="1" t="s">
        <v>4551</v>
      </c>
      <c r="C4959" s="1" t="str">
        <f>"66298955231932"</f>
        <v>66298955231932</v>
      </c>
      <c r="D4959" s="1" t="str">
        <f>"401025"</f>
        <v>401025</v>
      </c>
      <c r="E4959" s="1" t="s">
        <v>17</v>
      </c>
      <c r="F4959" s="1">
        <v>140</v>
      </c>
      <c r="G4959" s="1">
        <v>739</v>
      </c>
      <c r="H4959" s="1">
        <v>103460</v>
      </c>
      <c r="I4959" s="1">
        <v>0</v>
      </c>
      <c r="J4959" s="1">
        <v>140</v>
      </c>
      <c r="K4959" s="1">
        <v>0</v>
      </c>
    </row>
    <row r="4960" spans="1:11" x14ac:dyDescent="0.2">
      <c r="A4960" s="1" t="s">
        <v>4542</v>
      </c>
      <c r="B4960" s="1" t="s">
        <v>4552</v>
      </c>
      <c r="C4960" s="1" t="str">
        <f>"DD003"</f>
        <v>DD003</v>
      </c>
      <c r="D4960" s="1" t="str">
        <f>"DD003"</f>
        <v>DD003</v>
      </c>
      <c r="E4960" s="1" t="s">
        <v>17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</row>
    <row r="4961" spans="1:11" x14ac:dyDescent="0.2">
      <c r="A4961" s="1" t="s">
        <v>4553</v>
      </c>
      <c r="B4961" s="1" t="s">
        <v>4554</v>
      </c>
      <c r="C4961" s="1" t="str">
        <f>"66298955275686"</f>
        <v>66298955275686</v>
      </c>
      <c r="D4961" s="1" t="str">
        <f>"61301-K70-600GIM"</f>
        <v>61301-K70-600GIM</v>
      </c>
      <c r="E4961" s="1" t="s">
        <v>17</v>
      </c>
      <c r="F4961" s="1">
        <v>1</v>
      </c>
      <c r="G4961" s="1">
        <v>4606</v>
      </c>
      <c r="H4961" s="1">
        <v>4606</v>
      </c>
      <c r="I4961" s="1">
        <v>0</v>
      </c>
      <c r="J4961" s="1">
        <v>1</v>
      </c>
      <c r="K4961" s="1">
        <v>0</v>
      </c>
    </row>
    <row r="4962" spans="1:11" x14ac:dyDescent="0.2">
      <c r="A4962" s="1" t="s">
        <v>4553</v>
      </c>
      <c r="B4962" s="1" t="s">
        <v>4555</v>
      </c>
      <c r="C4962" s="1" t="str">
        <f>"66298955318818"</f>
        <v>66298955318818</v>
      </c>
      <c r="D4962" s="1" t="str">
        <f>"Y125"</f>
        <v>Y125</v>
      </c>
      <c r="E4962" s="1" t="s">
        <v>17</v>
      </c>
      <c r="F4962" s="1">
        <v>2</v>
      </c>
      <c r="G4962" s="1">
        <v>5515</v>
      </c>
      <c r="H4962" s="1">
        <v>11030</v>
      </c>
      <c r="I4962" s="1">
        <v>0</v>
      </c>
      <c r="J4962" s="1">
        <v>2</v>
      </c>
      <c r="K4962" s="1">
        <v>0</v>
      </c>
    </row>
    <row r="4963" spans="1:11" x14ac:dyDescent="0.2">
      <c r="A4963" s="1" t="s">
        <v>4553</v>
      </c>
      <c r="B4963" s="1" t="s">
        <v>4556</v>
      </c>
      <c r="C4963" s="1" t="str">
        <f>"66298955396169"</f>
        <v>66298955396169</v>
      </c>
      <c r="D4963" s="1" t="str">
        <f>"Y173"</f>
        <v>Y173</v>
      </c>
      <c r="E4963" s="1" t="s">
        <v>17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</row>
    <row r="4964" spans="1:11" x14ac:dyDescent="0.2">
      <c r="A4964" s="1" t="s">
        <v>4553</v>
      </c>
      <c r="B4964" s="1" t="s">
        <v>4557</v>
      </c>
      <c r="C4964" s="1" t="str">
        <f>"66298955354624"</f>
        <v>66298955354624</v>
      </c>
      <c r="D4964" s="1" t="str">
        <f>"Y172"</f>
        <v>Y172</v>
      </c>
      <c r="E4964" s="1" t="s">
        <v>17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</row>
    <row r="4965" spans="1:11" x14ac:dyDescent="0.2">
      <c r="A4965" s="1" t="s">
        <v>98</v>
      </c>
      <c r="B4965" s="1" t="s">
        <v>4558</v>
      </c>
      <c r="C4965" s="1" t="str">
        <f>"66298955441670"</f>
        <v>66298955441670</v>
      </c>
      <c r="D4965" s="1" t="str">
        <f>"FB034"</f>
        <v>FB034</v>
      </c>
      <c r="E4965" s="1" t="s">
        <v>17</v>
      </c>
      <c r="F4965" s="1">
        <v>3</v>
      </c>
      <c r="G4965" s="1">
        <v>12834</v>
      </c>
      <c r="H4965" s="1">
        <v>38502</v>
      </c>
      <c r="I4965" s="1">
        <v>0</v>
      </c>
      <c r="J4965" s="1">
        <v>3</v>
      </c>
      <c r="K4965" s="1">
        <v>0</v>
      </c>
    </row>
    <row r="4966" spans="1:11" x14ac:dyDescent="0.2">
      <c r="A4966" s="2" t="s">
        <v>1567</v>
      </c>
      <c r="B4966" s="1" t="s">
        <v>4559</v>
      </c>
      <c r="C4966" s="2" t="str">
        <f>"RO-3154"</f>
        <v>RO-3154</v>
      </c>
      <c r="D4966" s="2" t="str">
        <f>"RO-3154"</f>
        <v>RO-3154</v>
      </c>
      <c r="E4966" s="2" t="s">
        <v>17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</row>
    <row r="4967" spans="1:11" x14ac:dyDescent="0.2">
      <c r="A4967" s="2"/>
      <c r="B4967" s="1" t="s">
        <v>1569</v>
      </c>
      <c r="C4967" s="2"/>
      <c r="D4967" s="2"/>
      <c r="E4967" s="2"/>
      <c r="F4967" s="2"/>
      <c r="G4967" s="2"/>
      <c r="H4967" s="2"/>
      <c r="I4967" s="2"/>
      <c r="J4967" s="2"/>
      <c r="K4967" s="2"/>
    </row>
    <row r="4968" spans="1:11" x14ac:dyDescent="0.2">
      <c r="A4968" s="2"/>
      <c r="B4968" s="1" t="s">
        <v>4560</v>
      </c>
      <c r="C4968" s="2"/>
      <c r="D4968" s="2"/>
      <c r="E4968" s="2"/>
      <c r="F4968" s="2"/>
      <c r="G4968" s="2"/>
      <c r="H4968" s="2"/>
      <c r="I4968" s="2"/>
      <c r="J4968" s="2"/>
      <c r="K4968" s="2"/>
    </row>
    <row r="4969" spans="1:11" x14ac:dyDescent="0.2">
      <c r="A4969" s="2"/>
      <c r="B4969" s="1" t="s">
        <v>1571</v>
      </c>
      <c r="C4969" s="2"/>
      <c r="D4969" s="2"/>
      <c r="E4969" s="2"/>
      <c r="F4969" s="2"/>
      <c r="G4969" s="2"/>
      <c r="H4969" s="2"/>
      <c r="I4969" s="2"/>
      <c r="J4969" s="2"/>
      <c r="K4969" s="2"/>
    </row>
    <row r="4970" spans="1:11" x14ac:dyDescent="0.2">
      <c r="A4970" s="2"/>
      <c r="B4970" s="1" t="s">
        <v>4561</v>
      </c>
      <c r="C4970" s="2"/>
      <c r="D4970" s="2"/>
      <c r="E4970" s="2"/>
      <c r="F4970" s="2"/>
      <c r="G4970" s="2"/>
      <c r="H4970" s="2"/>
      <c r="I4970" s="2"/>
      <c r="J4970" s="2"/>
      <c r="K4970" s="2"/>
    </row>
    <row r="4971" spans="1:11" x14ac:dyDescent="0.2">
      <c r="A4971" s="2"/>
      <c r="B4971" s="1" t="s">
        <v>2546</v>
      </c>
      <c r="C4971" s="2"/>
      <c r="D4971" s="2"/>
      <c r="E4971" s="2"/>
      <c r="F4971" s="2"/>
      <c r="G4971" s="2"/>
      <c r="H4971" s="2"/>
      <c r="I4971" s="2"/>
      <c r="J4971" s="2"/>
      <c r="K4971" s="2"/>
    </row>
    <row r="4972" spans="1:11" x14ac:dyDescent="0.2">
      <c r="A4972" s="2"/>
      <c r="B4972" s="1" t="s">
        <v>1574</v>
      </c>
      <c r="C4972" s="2"/>
      <c r="D4972" s="2"/>
      <c r="E4972" s="2"/>
      <c r="F4972" s="2"/>
      <c r="G4972" s="2"/>
      <c r="H4972" s="2"/>
      <c r="I4972" s="2"/>
      <c r="J4972" s="2"/>
      <c r="K4972" s="2"/>
    </row>
    <row r="4973" spans="1:11" x14ac:dyDescent="0.2">
      <c r="A4973" s="2"/>
      <c r="B4973" s="1" t="s">
        <v>1575</v>
      </c>
      <c r="C4973" s="2"/>
      <c r="D4973" s="2"/>
      <c r="E4973" s="2"/>
      <c r="F4973" s="2"/>
      <c r="G4973" s="2"/>
      <c r="H4973" s="2"/>
      <c r="I4973" s="2"/>
      <c r="J4973" s="2"/>
      <c r="K4973" s="2"/>
    </row>
    <row r="4974" spans="1:11" x14ac:dyDescent="0.2">
      <c r="A4974" s="2"/>
      <c r="B4974" s="1" t="s">
        <v>4562</v>
      </c>
      <c r="C4974" s="2"/>
      <c r="D4974" s="2"/>
      <c r="E4974" s="2"/>
      <c r="F4974" s="2"/>
      <c r="G4974" s="2"/>
      <c r="H4974" s="2"/>
      <c r="I4974" s="2"/>
      <c r="J4974" s="2"/>
      <c r="K4974" s="2"/>
    </row>
    <row r="4975" spans="1:11" x14ac:dyDescent="0.2">
      <c r="A4975" s="2"/>
      <c r="B4975" s="1" t="s">
        <v>4563</v>
      </c>
      <c r="C4975" s="2"/>
      <c r="D4975" s="2"/>
      <c r="E4975" s="2"/>
      <c r="F4975" s="2"/>
      <c r="G4975" s="2"/>
      <c r="H4975" s="2"/>
      <c r="I4975" s="2"/>
      <c r="J4975" s="2"/>
      <c r="K4975" s="2"/>
    </row>
    <row r="4976" spans="1:11" x14ac:dyDescent="0.2">
      <c r="A4976" s="2" t="s">
        <v>1567</v>
      </c>
      <c r="B4976" s="1" t="s">
        <v>4559</v>
      </c>
      <c r="C4976" s="2" t="str">
        <f>"RO-3153"</f>
        <v>RO-3153</v>
      </c>
      <c r="D4976" s="2" t="str">
        <f>"RO-3153"</f>
        <v>RO-3153</v>
      </c>
      <c r="E4976" s="2" t="s">
        <v>17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</row>
    <row r="4977" spans="1:11" x14ac:dyDescent="0.2">
      <c r="A4977" s="2"/>
      <c r="B4977" s="1" t="s">
        <v>1569</v>
      </c>
      <c r="C4977" s="2"/>
      <c r="D4977" s="2"/>
      <c r="E4977" s="2"/>
      <c r="F4977" s="2"/>
      <c r="G4977" s="2"/>
      <c r="H4977" s="2"/>
      <c r="I4977" s="2"/>
      <c r="J4977" s="2"/>
      <c r="K4977" s="2"/>
    </row>
    <row r="4978" spans="1:11" x14ac:dyDescent="0.2">
      <c r="A4978" s="2"/>
      <c r="B4978" s="1" t="s">
        <v>4560</v>
      </c>
      <c r="C4978" s="2"/>
      <c r="D4978" s="2"/>
      <c r="E4978" s="2"/>
      <c r="F4978" s="2"/>
      <c r="G4978" s="2"/>
      <c r="H4978" s="2"/>
      <c r="I4978" s="2"/>
      <c r="J4978" s="2"/>
      <c r="K4978" s="2"/>
    </row>
    <row r="4979" spans="1:11" x14ac:dyDescent="0.2">
      <c r="A4979" s="2"/>
      <c r="B4979" s="1" t="s">
        <v>1571</v>
      </c>
      <c r="C4979" s="2"/>
      <c r="D4979" s="2"/>
      <c r="E4979" s="2"/>
      <c r="F4979" s="2"/>
      <c r="G4979" s="2"/>
      <c r="H4979" s="2"/>
      <c r="I4979" s="2"/>
      <c r="J4979" s="2"/>
      <c r="K4979" s="2"/>
    </row>
    <row r="4980" spans="1:11" x14ac:dyDescent="0.2">
      <c r="A4980" s="2"/>
      <c r="B4980" s="1" t="s">
        <v>4561</v>
      </c>
      <c r="C4980" s="2"/>
      <c r="D4980" s="2"/>
      <c r="E4980" s="2"/>
      <c r="F4980" s="2"/>
      <c r="G4980" s="2"/>
      <c r="H4980" s="2"/>
      <c r="I4980" s="2"/>
      <c r="J4980" s="2"/>
      <c r="K4980" s="2"/>
    </row>
    <row r="4981" spans="1:11" x14ac:dyDescent="0.2">
      <c r="A4981" s="2"/>
      <c r="B4981" s="1" t="s">
        <v>2546</v>
      </c>
      <c r="C4981" s="2"/>
      <c r="D4981" s="2"/>
      <c r="E4981" s="2"/>
      <c r="F4981" s="2"/>
      <c r="G4981" s="2"/>
      <c r="H4981" s="2"/>
      <c r="I4981" s="2"/>
      <c r="J4981" s="2"/>
      <c r="K4981" s="2"/>
    </row>
    <row r="4982" spans="1:11" x14ac:dyDescent="0.2">
      <c r="A4982" s="2"/>
      <c r="B4982" s="1" t="s">
        <v>1574</v>
      </c>
      <c r="C4982" s="2"/>
      <c r="D4982" s="2"/>
      <c r="E4982" s="2"/>
      <c r="F4982" s="2"/>
      <c r="G4982" s="2"/>
      <c r="H4982" s="2"/>
      <c r="I4982" s="2"/>
      <c r="J4982" s="2"/>
      <c r="K4982" s="2"/>
    </row>
    <row r="4983" spans="1:11" x14ac:dyDescent="0.2">
      <c r="A4983" s="2"/>
      <c r="B4983" s="1" t="s">
        <v>1575</v>
      </c>
      <c r="C4983" s="2"/>
      <c r="D4983" s="2"/>
      <c r="E4983" s="2"/>
      <c r="F4983" s="2"/>
      <c r="G4983" s="2"/>
      <c r="H4983" s="2"/>
      <c r="I4983" s="2"/>
      <c r="J4983" s="2"/>
      <c r="K4983" s="2"/>
    </row>
    <row r="4984" spans="1:11" x14ac:dyDescent="0.2">
      <c r="A4984" s="2"/>
      <c r="B4984" s="1" t="s">
        <v>4564</v>
      </c>
      <c r="C4984" s="2"/>
      <c r="D4984" s="2"/>
      <c r="E4984" s="2"/>
      <c r="F4984" s="2"/>
      <c r="G4984" s="2"/>
      <c r="H4984" s="2"/>
      <c r="I4984" s="2"/>
      <c r="J4984" s="2"/>
      <c r="K4984" s="2"/>
    </row>
    <row r="4985" spans="1:11" x14ac:dyDescent="0.2">
      <c r="A4985" s="2"/>
      <c r="B4985" s="1" t="s">
        <v>4565</v>
      </c>
      <c r="C4985" s="2"/>
      <c r="D4985" s="2"/>
      <c r="E4985" s="2"/>
      <c r="F4985" s="2"/>
      <c r="G4985" s="2"/>
      <c r="H4985" s="2"/>
      <c r="I4985" s="2"/>
      <c r="J4985" s="2"/>
      <c r="K4985" s="2"/>
    </row>
    <row r="4986" spans="1:11" x14ac:dyDescent="0.2">
      <c r="A4986" s="1" t="s">
        <v>15</v>
      </c>
      <c r="B4986" s="1" t="s">
        <v>16</v>
      </c>
      <c r="C4986" s="1" t="str">
        <f>"66298785811225"</f>
        <v>66298785811225</v>
      </c>
      <c r="D4986" s="1" t="str">
        <f>"7837"</f>
        <v>7837</v>
      </c>
      <c r="E4986" s="1" t="s">
        <v>4566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</row>
    <row r="4987" spans="1:11" x14ac:dyDescent="0.2">
      <c r="A4987" s="1" t="s">
        <v>18</v>
      </c>
      <c r="B4987" s="1" t="s">
        <v>19</v>
      </c>
      <c r="C4987" s="1" t="str">
        <f>"H1066"</f>
        <v>H1066</v>
      </c>
      <c r="D4987" s="1" t="str">
        <f>"H1066"</f>
        <v>H1066</v>
      </c>
      <c r="E4987" s="1" t="s">
        <v>4566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</row>
    <row r="4988" spans="1:11" x14ac:dyDescent="0.2">
      <c r="A4988" s="1" t="s">
        <v>18</v>
      </c>
      <c r="B4988" s="1" t="s">
        <v>20</v>
      </c>
      <c r="C4988" s="1" t="str">
        <f>"66298785890928"</f>
        <v>66298785890928</v>
      </c>
      <c r="D4988" s="1" t="str">
        <f>"A-SCOOTER"</f>
        <v>A-SCOOTER</v>
      </c>
      <c r="E4988" s="1" t="s">
        <v>4566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</row>
    <row r="4989" spans="1:11" x14ac:dyDescent="0.2">
      <c r="A4989" s="1" t="s">
        <v>18</v>
      </c>
      <c r="B4989" s="1" t="s">
        <v>21</v>
      </c>
      <c r="C4989" s="1" t="str">
        <f>"66298785932760"</f>
        <v>66298785932760</v>
      </c>
      <c r="D4989" s="1" t="str">
        <f>"H257"</f>
        <v>H257</v>
      </c>
      <c r="E4989" s="1" t="s">
        <v>4566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</row>
    <row r="4990" spans="1:11" x14ac:dyDescent="0.2">
      <c r="A4990" s="1" t="s">
        <v>18</v>
      </c>
      <c r="B4990" s="1" t="s">
        <v>22</v>
      </c>
      <c r="C4990" s="1" t="str">
        <f>"66298785974589"</f>
        <v>66298785974589</v>
      </c>
      <c r="D4990" s="1" t="str">
        <f>"82780"</f>
        <v>82780</v>
      </c>
      <c r="E4990" s="1" t="s">
        <v>4566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</row>
    <row r="4991" spans="1:11" x14ac:dyDescent="0.2">
      <c r="A4991" s="1" t="s">
        <v>15</v>
      </c>
      <c r="B4991" s="1" t="s">
        <v>23</v>
      </c>
      <c r="C4991" s="1" t="str">
        <f>"66298786013798"</f>
        <v>66298786013798</v>
      </c>
      <c r="D4991" s="1" t="str">
        <f>"2716"</f>
        <v>2716</v>
      </c>
      <c r="E4991" s="1" t="s">
        <v>4566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</row>
    <row r="4992" spans="1:11" x14ac:dyDescent="0.2">
      <c r="A4992" s="1" t="s">
        <v>15</v>
      </c>
      <c r="B4992" s="1" t="s">
        <v>24</v>
      </c>
      <c r="C4992" s="1" t="str">
        <f>"66298786051003"</f>
        <v>66298786051003</v>
      </c>
      <c r="D4992" s="1" t="str">
        <f>"2715"</f>
        <v>2715</v>
      </c>
      <c r="E4992" s="1" t="s">
        <v>4566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</row>
    <row r="4993" spans="1:11" x14ac:dyDescent="0.2">
      <c r="A4993" s="1" t="s">
        <v>15</v>
      </c>
      <c r="B4993" s="1" t="s">
        <v>25</v>
      </c>
      <c r="C4993" s="1" t="str">
        <f>"66298786092420"</f>
        <v>66298786092420</v>
      </c>
      <c r="D4993" s="1" t="str">
        <f>"2717"</f>
        <v>2717</v>
      </c>
      <c r="E4993" s="1" t="s">
        <v>4566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</row>
    <row r="4994" spans="1:11" x14ac:dyDescent="0.2">
      <c r="A4994" s="1" t="s">
        <v>15</v>
      </c>
      <c r="B4994" s="1" t="s">
        <v>26</v>
      </c>
      <c r="C4994" s="1" t="str">
        <f>"66298786132099"</f>
        <v>66298786132099</v>
      </c>
      <c r="D4994" s="1" t="str">
        <f>"2719"</f>
        <v>2719</v>
      </c>
      <c r="E4994" s="1" t="s">
        <v>4566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</row>
    <row r="4995" spans="1:11" x14ac:dyDescent="0.2">
      <c r="A4995" s="1" t="s">
        <v>15</v>
      </c>
      <c r="B4995" s="1" t="s">
        <v>27</v>
      </c>
      <c r="C4995" s="1" t="str">
        <f>"66298786174946"</f>
        <v>66298786174946</v>
      </c>
      <c r="D4995" s="1" t="str">
        <f>"15AE86"</f>
        <v>15AE86</v>
      </c>
      <c r="E4995" s="1" t="s">
        <v>4566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</row>
    <row r="4996" spans="1:11" x14ac:dyDescent="0.2">
      <c r="A4996" s="1" t="s">
        <v>15</v>
      </c>
      <c r="B4996" s="1" t="s">
        <v>28</v>
      </c>
      <c r="C4996" s="1" t="str">
        <f>"66298786219665"</f>
        <v>66298786219665</v>
      </c>
      <c r="D4996" s="1" t="str">
        <f>"15AEAB"</f>
        <v>15AEAB</v>
      </c>
      <c r="E4996" s="1" t="s">
        <v>4566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</row>
    <row r="4997" spans="1:11" x14ac:dyDescent="0.2">
      <c r="A4997" s="1" t="s">
        <v>15</v>
      </c>
      <c r="B4997" s="1" t="s">
        <v>29</v>
      </c>
      <c r="C4997" s="1" t="str">
        <f>"66298786260155"</f>
        <v>66298786260155</v>
      </c>
      <c r="D4997" s="1" t="str">
        <f>"15D905"</f>
        <v>15D905</v>
      </c>
      <c r="E4997" s="1" t="s">
        <v>4566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</row>
    <row r="4998" spans="1:11" x14ac:dyDescent="0.2">
      <c r="A4998" s="1" t="s">
        <v>15</v>
      </c>
      <c r="B4998" s="1" t="s">
        <v>30</v>
      </c>
      <c r="C4998" s="1" t="str">
        <f>"15DEA9"</f>
        <v>15DEA9</v>
      </c>
      <c r="D4998" s="1" t="str">
        <f>"15DEA9"</f>
        <v>15DEA9</v>
      </c>
      <c r="E4998" s="1" t="s">
        <v>4566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</row>
    <row r="4999" spans="1:11" x14ac:dyDescent="0.2">
      <c r="A4999" s="1" t="s">
        <v>15</v>
      </c>
      <c r="B4999" s="1" t="s">
        <v>31</v>
      </c>
      <c r="C4999" s="1" t="str">
        <f>"66298786302608"</f>
        <v>66298786302608</v>
      </c>
      <c r="D4999" s="1" t="str">
        <f>"15D906"</f>
        <v>15D906</v>
      </c>
      <c r="E4999" s="1" t="s">
        <v>4566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</row>
    <row r="5000" spans="1:11" x14ac:dyDescent="0.2">
      <c r="A5000" s="1" t="s">
        <v>15</v>
      </c>
      <c r="B5000" s="1" t="s">
        <v>32</v>
      </c>
      <c r="C5000" s="1" t="str">
        <f>"15D2C2"</f>
        <v>15D2C2</v>
      </c>
      <c r="D5000" s="1" t="str">
        <f>"15D2C2"</f>
        <v>15D2C2</v>
      </c>
      <c r="E5000" s="1" t="s">
        <v>4566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</row>
    <row r="5001" spans="1:11" x14ac:dyDescent="0.2">
      <c r="A5001" s="1" t="s">
        <v>15</v>
      </c>
      <c r="B5001" s="1" t="s">
        <v>33</v>
      </c>
      <c r="C5001" s="1" t="str">
        <f>"15AF5D"</f>
        <v>15AF5D</v>
      </c>
      <c r="D5001" s="1" t="str">
        <f>"15AF5D"</f>
        <v>15AF5D</v>
      </c>
      <c r="E5001" s="1" t="s">
        <v>4566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</row>
    <row r="5002" spans="1:11" x14ac:dyDescent="0.2">
      <c r="A5002" s="1" t="s">
        <v>15</v>
      </c>
      <c r="B5002" s="1" t="s">
        <v>34</v>
      </c>
      <c r="C5002" s="1" t="str">
        <f>"15C7C9"</f>
        <v>15C7C9</v>
      </c>
      <c r="D5002" s="1" t="str">
        <f>"15C7C9"</f>
        <v>15C7C9</v>
      </c>
      <c r="E5002" s="1" t="s">
        <v>4566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</row>
    <row r="5003" spans="1:11" x14ac:dyDescent="0.2">
      <c r="A5003" s="1" t="s">
        <v>15</v>
      </c>
      <c r="B5003" s="1" t="s">
        <v>35</v>
      </c>
      <c r="C5003" s="1" t="str">
        <f>"15D2C4"</f>
        <v>15D2C4</v>
      </c>
      <c r="D5003" s="1" t="str">
        <f>"15D2C4"</f>
        <v>15D2C4</v>
      </c>
      <c r="E5003" s="1" t="s">
        <v>4566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</row>
    <row r="5004" spans="1:11" x14ac:dyDescent="0.2">
      <c r="A5004" s="1" t="s">
        <v>15</v>
      </c>
      <c r="B5004" s="1" t="s">
        <v>36</v>
      </c>
      <c r="C5004" s="1" t="str">
        <f>"66298786386572"</f>
        <v>66298786386572</v>
      </c>
      <c r="D5004" s="1" t="str">
        <f>"15D9C1"</f>
        <v>15D9C1</v>
      </c>
      <c r="E5004" s="1" t="s">
        <v>4566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</row>
    <row r="5005" spans="1:11" x14ac:dyDescent="0.2">
      <c r="A5005" s="1" t="s">
        <v>15</v>
      </c>
      <c r="B5005" s="1" t="s">
        <v>37</v>
      </c>
      <c r="C5005" s="1" t="str">
        <f>"51426LUB01LT"</f>
        <v>51426LUB01LT</v>
      </c>
      <c r="D5005" s="1" t="str">
        <f>"51426LUB01LT"</f>
        <v>51426LUB01LT</v>
      </c>
      <c r="E5005" s="1" t="s">
        <v>4566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</row>
    <row r="5006" spans="1:11" x14ac:dyDescent="0.2">
      <c r="A5006" s="1" t="s">
        <v>15</v>
      </c>
      <c r="B5006" s="1" t="s">
        <v>38</v>
      </c>
      <c r="C5006" s="1" t="str">
        <f>"51428LUB01LT"</f>
        <v>51428LUB01LT</v>
      </c>
      <c r="D5006" s="1" t="str">
        <f>"51428LUB01LT"</f>
        <v>51428LUB01LT</v>
      </c>
      <c r="E5006" s="1" t="s">
        <v>4566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</row>
    <row r="5007" spans="1:11" x14ac:dyDescent="0.2">
      <c r="A5007" s="1" t="s">
        <v>15</v>
      </c>
      <c r="B5007" s="1" t="s">
        <v>39</v>
      </c>
      <c r="C5007" s="1" t="str">
        <f>"51423LUB01LT"</f>
        <v>51423LUB01LT</v>
      </c>
      <c r="D5007" s="1" t="str">
        <f>"51423LUB01LT"</f>
        <v>51423LUB01LT</v>
      </c>
      <c r="E5007" s="1" t="s">
        <v>4566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</row>
    <row r="5008" spans="1:11" ht="30" x14ac:dyDescent="0.2">
      <c r="A5008" s="1" t="s">
        <v>15</v>
      </c>
      <c r="B5008" s="1" t="s">
        <v>40</v>
      </c>
      <c r="C5008" s="1" t="str">
        <f>"66298786429982"</f>
        <v>66298786429982</v>
      </c>
      <c r="D5008" s="1" t="str">
        <f>"800090"</f>
        <v>800090</v>
      </c>
      <c r="E5008" s="1" t="s">
        <v>4566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</row>
    <row r="5009" spans="1:11" x14ac:dyDescent="0.2">
      <c r="A5009" s="1" t="s">
        <v>15</v>
      </c>
      <c r="B5009" s="1" t="s">
        <v>41</v>
      </c>
      <c r="C5009" s="1" t="str">
        <f>"66298786468714"</f>
        <v>66298786468714</v>
      </c>
      <c r="D5009" s="1" t="str">
        <f>"800043"</f>
        <v>800043</v>
      </c>
      <c r="E5009" s="1" t="s">
        <v>4566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</row>
    <row r="5010" spans="1:11" ht="30" x14ac:dyDescent="0.2">
      <c r="A5010" s="1" t="s">
        <v>15</v>
      </c>
      <c r="B5010" s="1" t="s">
        <v>42</v>
      </c>
      <c r="C5010" s="1" t="str">
        <f>"66298786516712"</f>
        <v>66298786516712</v>
      </c>
      <c r="D5010" s="1" t="str">
        <f>"20753"</f>
        <v>20753</v>
      </c>
      <c r="E5010" s="1" t="s">
        <v>4566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</row>
    <row r="5011" spans="1:11" ht="30" x14ac:dyDescent="0.2">
      <c r="A5011" s="1" t="s">
        <v>15</v>
      </c>
      <c r="B5011" s="1" t="s">
        <v>43</v>
      </c>
      <c r="C5011" s="1" t="str">
        <f>"66298786572048"</f>
        <v>66298786572048</v>
      </c>
      <c r="D5011" s="1" t="str">
        <f>"1521"</f>
        <v>1521</v>
      </c>
      <c r="E5011" s="1" t="s">
        <v>4566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</row>
    <row r="5012" spans="1:11" x14ac:dyDescent="0.2">
      <c r="A5012" s="1" t="s">
        <v>15</v>
      </c>
      <c r="B5012" s="1" t="s">
        <v>44</v>
      </c>
      <c r="C5012" s="1" t="str">
        <f>"66298786613951"</f>
        <v>66298786613951</v>
      </c>
      <c r="D5012" s="1" t="str">
        <f>"1502"</f>
        <v>1502</v>
      </c>
      <c r="E5012" s="1" t="s">
        <v>4566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</row>
    <row r="5013" spans="1:11" x14ac:dyDescent="0.2">
      <c r="A5013" s="1" t="s">
        <v>15</v>
      </c>
      <c r="B5013" s="1" t="s">
        <v>45</v>
      </c>
      <c r="C5013" s="1" t="str">
        <f>"66298786653154"</f>
        <v>66298786653154</v>
      </c>
      <c r="D5013" s="1" t="str">
        <f>"1525"</f>
        <v>1525</v>
      </c>
      <c r="E5013" s="1" t="s">
        <v>4566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</row>
    <row r="5014" spans="1:11" ht="30" x14ac:dyDescent="0.2">
      <c r="A5014" s="1" t="s">
        <v>15</v>
      </c>
      <c r="B5014" s="1" t="s">
        <v>46</v>
      </c>
      <c r="C5014" s="1" t="str">
        <f>"66298786691589"</f>
        <v>66298786691589</v>
      </c>
      <c r="D5014" s="1" t="str">
        <f>"2555"</f>
        <v>2555</v>
      </c>
      <c r="E5014" s="1" t="s">
        <v>4566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</row>
    <row r="5015" spans="1:11" x14ac:dyDescent="0.2">
      <c r="A5015" s="1" t="s">
        <v>15</v>
      </c>
      <c r="B5015" s="1" t="s">
        <v>47</v>
      </c>
      <c r="C5015" s="1" t="str">
        <f>"1500"</f>
        <v>1500</v>
      </c>
      <c r="D5015" s="1" t="str">
        <f>"1500"</f>
        <v>1500</v>
      </c>
      <c r="E5015" s="1" t="s">
        <v>4566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</row>
    <row r="5016" spans="1:11" x14ac:dyDescent="0.2">
      <c r="A5016" s="1" t="s">
        <v>15</v>
      </c>
      <c r="B5016" s="1" t="s">
        <v>48</v>
      </c>
      <c r="C5016" s="1" t="str">
        <f>"66298786775369"</f>
        <v>66298786775369</v>
      </c>
      <c r="D5016" s="1" t="str">
        <f>"3816"</f>
        <v>3816</v>
      </c>
      <c r="E5016" s="1" t="s">
        <v>4566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</row>
    <row r="5017" spans="1:11" x14ac:dyDescent="0.2">
      <c r="A5017" s="1" t="s">
        <v>15</v>
      </c>
      <c r="B5017" s="1" t="s">
        <v>49</v>
      </c>
      <c r="C5017" s="1" t="str">
        <f>"66298786814445"</f>
        <v>66298786814445</v>
      </c>
      <c r="D5017" s="1" t="str">
        <f>"10110"</f>
        <v>10110</v>
      </c>
      <c r="E5017" s="1" t="s">
        <v>4566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</row>
    <row r="5018" spans="1:11" x14ac:dyDescent="0.2">
      <c r="A5018" s="1" t="s">
        <v>15</v>
      </c>
      <c r="B5018" s="1" t="s">
        <v>50</v>
      </c>
      <c r="C5018" s="1" t="str">
        <f>"66298786852838"</f>
        <v>66298786852838</v>
      </c>
      <c r="D5018" s="1" t="str">
        <f>"10767"</f>
        <v>10767</v>
      </c>
      <c r="E5018" s="1" t="s">
        <v>4566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</row>
    <row r="5019" spans="1:11" x14ac:dyDescent="0.2">
      <c r="A5019" s="1" t="s">
        <v>15</v>
      </c>
      <c r="B5019" s="1" t="s">
        <v>51</v>
      </c>
      <c r="C5019" s="1" t="str">
        <f>"66298787339724"</f>
        <v>66298787339724</v>
      </c>
      <c r="D5019" s="1" t="str">
        <f>"104034"</f>
        <v>104034</v>
      </c>
      <c r="E5019" s="1" t="s">
        <v>4566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</row>
    <row r="5020" spans="1:11" x14ac:dyDescent="0.2">
      <c r="A5020" s="1" t="s">
        <v>15</v>
      </c>
      <c r="B5020" s="1" t="s">
        <v>52</v>
      </c>
      <c r="C5020" s="1" t="str">
        <f>"66298787255546"</f>
        <v>66298787255546</v>
      </c>
      <c r="D5020" s="1" t="str">
        <f>"6010230"</f>
        <v>6010230</v>
      </c>
      <c r="E5020" s="1" t="s">
        <v>4566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</row>
    <row r="5021" spans="1:11" x14ac:dyDescent="0.2">
      <c r="A5021" s="1" t="s">
        <v>15</v>
      </c>
      <c r="B5021" s="1" t="s">
        <v>53</v>
      </c>
      <c r="C5021" s="1" t="str">
        <f>"6010275"</f>
        <v>6010275</v>
      </c>
      <c r="D5021" s="1" t="str">
        <f>"6010275"</f>
        <v>6010275</v>
      </c>
      <c r="E5021" s="1" t="s">
        <v>4566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</row>
    <row r="5022" spans="1:11" ht="30" x14ac:dyDescent="0.2">
      <c r="A5022" s="1" t="s">
        <v>15</v>
      </c>
      <c r="B5022" s="1" t="s">
        <v>54</v>
      </c>
      <c r="C5022" s="1" t="str">
        <f>"66298787089530"</f>
        <v>66298787089530</v>
      </c>
      <c r="D5022" s="1" t="str">
        <f>"6010106"</f>
        <v>6010106</v>
      </c>
      <c r="E5022" s="1" t="s">
        <v>4566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</row>
    <row r="5023" spans="1:11" ht="30" x14ac:dyDescent="0.2">
      <c r="A5023" s="1" t="s">
        <v>15</v>
      </c>
      <c r="B5023" s="1" t="s">
        <v>55</v>
      </c>
      <c r="C5023" s="1" t="str">
        <f>"66298787132729"</f>
        <v>66298787132729</v>
      </c>
      <c r="D5023" s="1" t="str">
        <f>"6010262"</f>
        <v>6010262</v>
      </c>
      <c r="E5023" s="1" t="s">
        <v>4566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</row>
    <row r="5024" spans="1:11" ht="30" x14ac:dyDescent="0.2">
      <c r="A5024" s="1" t="s">
        <v>15</v>
      </c>
      <c r="B5024" s="1" t="s">
        <v>56</v>
      </c>
      <c r="C5024" s="1" t="str">
        <f>"66298787171944"</f>
        <v>66298787171944</v>
      </c>
      <c r="D5024" s="1" t="str">
        <f>"6010107"</f>
        <v>6010107</v>
      </c>
      <c r="E5024" s="1" t="s">
        <v>4566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</row>
    <row r="5025" spans="1:11" ht="30" x14ac:dyDescent="0.2">
      <c r="A5025" s="1" t="s">
        <v>15</v>
      </c>
      <c r="B5025" s="1" t="s">
        <v>57</v>
      </c>
      <c r="C5025" s="1" t="str">
        <f>"66298787298518"</f>
        <v>66298787298518</v>
      </c>
      <c r="D5025" s="1" t="str">
        <f>"6010233"</f>
        <v>6010233</v>
      </c>
      <c r="E5025" s="1" t="s">
        <v>4566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</row>
    <row r="5026" spans="1:11" ht="30" x14ac:dyDescent="0.2">
      <c r="A5026" s="1" t="s">
        <v>15</v>
      </c>
      <c r="B5026" s="1" t="s">
        <v>58</v>
      </c>
      <c r="C5026" s="1" t="str">
        <f>"66298787048177"</f>
        <v>66298787048177</v>
      </c>
      <c r="D5026" s="1" t="str">
        <f>"6010215"</f>
        <v>6010215</v>
      </c>
      <c r="E5026" s="1" t="s">
        <v>4566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</row>
    <row r="5027" spans="1:11" ht="30" x14ac:dyDescent="0.2">
      <c r="A5027" s="1" t="s">
        <v>15</v>
      </c>
      <c r="B5027" s="1" t="s">
        <v>59</v>
      </c>
      <c r="C5027" s="1" t="str">
        <f>"66298787215129"</f>
        <v>66298787215129</v>
      </c>
      <c r="D5027" s="1" t="str">
        <f>"6010111"</f>
        <v>6010111</v>
      </c>
      <c r="E5027" s="1" t="s">
        <v>4566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</row>
    <row r="5028" spans="1:11" x14ac:dyDescent="0.2">
      <c r="A5028" s="1" t="s">
        <v>15</v>
      </c>
      <c r="B5028" s="1" t="s">
        <v>60</v>
      </c>
      <c r="C5028" s="1" t="str">
        <f>"66298787378834"</f>
        <v>66298787378834</v>
      </c>
      <c r="D5028" s="1" t="str">
        <f>"NITROIL10W-40"</f>
        <v>NITROIL10W-40</v>
      </c>
      <c r="E5028" s="1" t="s">
        <v>4566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</row>
    <row r="5029" spans="1:11" x14ac:dyDescent="0.2">
      <c r="A5029" s="1" t="s">
        <v>15</v>
      </c>
      <c r="B5029" s="1" t="s">
        <v>61</v>
      </c>
      <c r="C5029" s="1" t="str">
        <f>"NITROIL20W-50"</f>
        <v>NITROIL20W-50</v>
      </c>
      <c r="D5029" s="1" t="str">
        <f>"NITROIL20W-50"</f>
        <v>NITROIL20W-50</v>
      </c>
      <c r="E5029" s="1" t="s">
        <v>4566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</row>
    <row r="5030" spans="1:11" x14ac:dyDescent="0.2">
      <c r="A5030" s="1" t="s">
        <v>15</v>
      </c>
      <c r="B5030" s="1" t="s">
        <v>62</v>
      </c>
      <c r="C5030" s="1" t="str">
        <f>"66298787421628"</f>
        <v>66298787421628</v>
      </c>
      <c r="D5030" s="1" t="str">
        <f>"160N51"</f>
        <v>160N51</v>
      </c>
      <c r="E5030" s="1" t="s">
        <v>4566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</row>
    <row r="5031" spans="1:11" x14ac:dyDescent="0.2">
      <c r="A5031" s="1" t="s">
        <v>15</v>
      </c>
      <c r="B5031" s="1" t="s">
        <v>63</v>
      </c>
      <c r="C5031" s="1" t="str">
        <f>"66298787461211"</f>
        <v>66298787461211</v>
      </c>
      <c r="D5031" s="1" t="str">
        <f>"160M51"</f>
        <v>160M51</v>
      </c>
      <c r="E5031" s="1" t="s">
        <v>4566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</row>
    <row r="5032" spans="1:11" x14ac:dyDescent="0.2">
      <c r="A5032" s="1" t="s">
        <v>15</v>
      </c>
      <c r="B5032" s="1" t="s">
        <v>64</v>
      </c>
      <c r="C5032" s="1" t="str">
        <f>"RPP2131THA"</f>
        <v>RPP2131THA</v>
      </c>
      <c r="D5032" s="1" t="str">
        <f>"RPP2131THA"</f>
        <v>RPP2131THA</v>
      </c>
      <c r="E5032" s="1" t="s">
        <v>4566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</row>
    <row r="5033" spans="1:11" x14ac:dyDescent="0.2">
      <c r="A5033" s="1" t="s">
        <v>15</v>
      </c>
      <c r="B5033" s="1" t="s">
        <v>65</v>
      </c>
      <c r="C5033" s="1" t="str">
        <f>"66298787538000"</f>
        <v>66298787538000</v>
      </c>
      <c r="D5033" s="1" t="str">
        <f>"169Q51"</f>
        <v>169Q51</v>
      </c>
      <c r="E5033" s="1" t="s">
        <v>4566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</row>
    <row r="5034" spans="1:11" x14ac:dyDescent="0.2">
      <c r="A5034" s="1" t="s">
        <v>15</v>
      </c>
      <c r="B5034" s="1" t="s">
        <v>65</v>
      </c>
      <c r="C5034" s="1" t="str">
        <f>"RPP2065THC"</f>
        <v>RPP2065THC</v>
      </c>
      <c r="D5034" s="1" t="str">
        <f>"RPP2065THC"</f>
        <v>RPP2065THC</v>
      </c>
      <c r="E5034" s="1" t="s">
        <v>4566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</row>
    <row r="5035" spans="1:11" x14ac:dyDescent="0.2">
      <c r="A5035" s="1" t="s">
        <v>15</v>
      </c>
      <c r="B5035" s="1" t="s">
        <v>66</v>
      </c>
      <c r="C5035" s="1" t="str">
        <f>"14053"</f>
        <v>14053</v>
      </c>
      <c r="D5035" s="1" t="str">
        <f>"14053"</f>
        <v>14053</v>
      </c>
      <c r="E5035" s="1" t="s">
        <v>4566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</row>
    <row r="5036" spans="1:11" x14ac:dyDescent="0.2">
      <c r="A5036" s="1" t="s">
        <v>15</v>
      </c>
      <c r="B5036" s="1" t="s">
        <v>67</v>
      </c>
      <c r="C5036" s="1" t="str">
        <f>"14054"</f>
        <v>14054</v>
      </c>
      <c r="D5036" s="1" t="str">
        <f>"14054"</f>
        <v>14054</v>
      </c>
      <c r="E5036" s="1" t="s">
        <v>4566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</row>
    <row r="5037" spans="1:11" x14ac:dyDescent="0.2">
      <c r="A5037" s="1" t="s">
        <v>15</v>
      </c>
      <c r="B5037" s="1" t="s">
        <v>68</v>
      </c>
      <c r="C5037" s="1" t="str">
        <f>"14055"</f>
        <v>14055</v>
      </c>
      <c r="D5037" s="1" t="str">
        <f>"14055"</f>
        <v>14055</v>
      </c>
      <c r="E5037" s="1" t="s">
        <v>4566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</row>
    <row r="5038" spans="1:11" x14ac:dyDescent="0.2">
      <c r="A5038" s="1" t="s">
        <v>15</v>
      </c>
      <c r="B5038" s="1" t="s">
        <v>69</v>
      </c>
      <c r="C5038" s="1" t="str">
        <f>"66298787578009"</f>
        <v>66298787578009</v>
      </c>
      <c r="D5038" s="1" t="str">
        <f>"701786"</f>
        <v>701786</v>
      </c>
      <c r="E5038" s="1" t="s">
        <v>4566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</row>
    <row r="5039" spans="1:11" x14ac:dyDescent="0.2">
      <c r="A5039" s="1" t="s">
        <v>15</v>
      </c>
      <c r="B5039" s="1" t="s">
        <v>70</v>
      </c>
      <c r="C5039" s="1" t="str">
        <f>"66298787623732"</f>
        <v>66298787623732</v>
      </c>
      <c r="D5039" s="1" t="str">
        <f>"701842"</f>
        <v>701842</v>
      </c>
      <c r="E5039" s="1" t="s">
        <v>4566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</row>
    <row r="5040" spans="1:11" x14ac:dyDescent="0.2">
      <c r="A5040" s="1" t="s">
        <v>15</v>
      </c>
      <c r="B5040" s="1" t="s">
        <v>71</v>
      </c>
      <c r="C5040" s="1" t="str">
        <f>"66298787673056"</f>
        <v>66298787673056</v>
      </c>
      <c r="D5040" s="1" t="str">
        <f>"701787"</f>
        <v>701787</v>
      </c>
      <c r="E5040" s="1" t="s">
        <v>4566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</row>
    <row r="5041" spans="1:11" x14ac:dyDescent="0.2">
      <c r="A5041" s="1" t="s">
        <v>15</v>
      </c>
      <c r="B5041" s="1" t="s">
        <v>72</v>
      </c>
      <c r="C5041" s="1" t="str">
        <f>"66298787720426"</f>
        <v>66298787720426</v>
      </c>
      <c r="D5041" s="1" t="str">
        <f>"701789"</f>
        <v>701789</v>
      </c>
      <c r="E5041" s="1" t="s">
        <v>4566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</row>
    <row r="5042" spans="1:11" x14ac:dyDescent="0.2">
      <c r="A5042" s="1" t="s">
        <v>15</v>
      </c>
      <c r="B5042" s="1" t="s">
        <v>73</v>
      </c>
      <c r="C5042" s="1" t="str">
        <f>"66298787768776"</f>
        <v>66298787768776</v>
      </c>
      <c r="D5042" s="1" t="str">
        <f>"107996"</f>
        <v>107996</v>
      </c>
      <c r="E5042" s="1" t="s">
        <v>4566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</row>
    <row r="5043" spans="1:11" x14ac:dyDescent="0.2">
      <c r="A5043" s="1" t="s">
        <v>15</v>
      </c>
      <c r="B5043" s="1" t="s">
        <v>74</v>
      </c>
      <c r="C5043" s="1" t="str">
        <f>"66298787809728"</f>
        <v>66298787809728</v>
      </c>
      <c r="D5043" s="1" t="str">
        <f>"107696"</f>
        <v>107696</v>
      </c>
      <c r="E5043" s="1" t="s">
        <v>4566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</row>
    <row r="5044" spans="1:11" x14ac:dyDescent="0.2">
      <c r="A5044" s="1" t="s">
        <v>15</v>
      </c>
      <c r="B5044" s="1" t="s">
        <v>75</v>
      </c>
      <c r="C5044" s="1" t="str">
        <f>"66298787857853"</f>
        <v>66298787857853</v>
      </c>
      <c r="D5044" s="1" t="str">
        <f>"107796"</f>
        <v>107796</v>
      </c>
      <c r="E5044" s="1" t="s">
        <v>4566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</row>
    <row r="5045" spans="1:11" x14ac:dyDescent="0.2">
      <c r="A5045" s="1" t="s">
        <v>15</v>
      </c>
      <c r="B5045" s="1" t="s">
        <v>76</v>
      </c>
      <c r="C5045" s="1" t="str">
        <f>"66298787903641"</f>
        <v>66298787903641</v>
      </c>
      <c r="D5045" s="1" t="str">
        <f>"800663"</f>
        <v>800663</v>
      </c>
      <c r="E5045" s="1" t="s">
        <v>4566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</row>
    <row r="5046" spans="1:11" x14ac:dyDescent="0.2">
      <c r="A5046" s="1" t="s">
        <v>15</v>
      </c>
      <c r="B5046" s="1" t="s">
        <v>77</v>
      </c>
      <c r="C5046" s="1" t="str">
        <f>"66298787945885"</f>
        <v>66298787945885</v>
      </c>
      <c r="D5046" s="1" t="str">
        <f>"73920"</f>
        <v>73920</v>
      </c>
      <c r="E5046" s="1" t="s">
        <v>4566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</row>
    <row r="5047" spans="1:11" x14ac:dyDescent="0.2">
      <c r="A5047" s="1" t="s">
        <v>15</v>
      </c>
      <c r="B5047" s="1" t="s">
        <v>78</v>
      </c>
      <c r="C5047" s="1" t="str">
        <f>"66298787991826"</f>
        <v>66298787991826</v>
      </c>
      <c r="D5047" s="1" t="str">
        <f>"H048"</f>
        <v>H048</v>
      </c>
      <c r="E5047" s="1" t="s">
        <v>4566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</row>
    <row r="5048" spans="1:11" x14ac:dyDescent="0.2">
      <c r="A5048" s="1" t="s">
        <v>15</v>
      </c>
      <c r="B5048" s="1" t="s">
        <v>79</v>
      </c>
      <c r="C5048" s="1" t="str">
        <f>"66298788034546"</f>
        <v>66298788034546</v>
      </c>
      <c r="D5048" s="1" t="str">
        <f>"800536"</f>
        <v>800536</v>
      </c>
      <c r="E5048" s="1" t="s">
        <v>4566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</row>
    <row r="5049" spans="1:11" x14ac:dyDescent="0.2">
      <c r="A5049" s="1" t="s">
        <v>80</v>
      </c>
      <c r="B5049" s="1" t="s">
        <v>81</v>
      </c>
      <c r="C5049" s="1" t="str">
        <f>"66298788077576"</f>
        <v>66298788077576</v>
      </c>
      <c r="D5049" s="1" t="str">
        <f>"KB004-C"</f>
        <v>KB004-C</v>
      </c>
      <c r="E5049" s="1" t="s">
        <v>4566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</row>
    <row r="5050" spans="1:11" x14ac:dyDescent="0.2">
      <c r="A5050" s="1" t="s">
        <v>80</v>
      </c>
      <c r="B5050" s="1" t="s">
        <v>82</v>
      </c>
      <c r="C5050" s="1" t="str">
        <f>"66298788119612"</f>
        <v>66298788119612</v>
      </c>
      <c r="D5050" s="1" t="str">
        <f>"KB004-A"</f>
        <v>KB004-A</v>
      </c>
      <c r="E5050" s="1" t="s">
        <v>4566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</row>
    <row r="5051" spans="1:11" x14ac:dyDescent="0.2">
      <c r="A5051" s="1" t="s">
        <v>80</v>
      </c>
      <c r="B5051" s="1" t="s">
        <v>83</v>
      </c>
      <c r="C5051" s="1" t="str">
        <f>"66298788160575"</f>
        <v>66298788160575</v>
      </c>
      <c r="D5051" s="1" t="str">
        <f>"KB004-B"</f>
        <v>KB004-B</v>
      </c>
      <c r="E5051" s="1" t="s">
        <v>4566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</row>
    <row r="5052" spans="1:11" x14ac:dyDescent="0.2">
      <c r="A5052" s="1" t="s">
        <v>80</v>
      </c>
      <c r="B5052" s="1" t="s">
        <v>84</v>
      </c>
      <c r="C5052" s="1" t="str">
        <f>"66298788200764"</f>
        <v>66298788200764</v>
      </c>
      <c r="D5052" s="1" t="str">
        <f>"KB002"</f>
        <v>KB002</v>
      </c>
      <c r="E5052" s="1" t="s">
        <v>4566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</row>
    <row r="5053" spans="1:11" x14ac:dyDescent="0.2">
      <c r="A5053" s="1" t="s">
        <v>80</v>
      </c>
      <c r="B5053" s="1" t="s">
        <v>85</v>
      </c>
      <c r="C5053" s="1" t="str">
        <f>"66298788244552"</f>
        <v>66298788244552</v>
      </c>
      <c r="D5053" s="1" t="str">
        <f>"KB004-D"</f>
        <v>KB004-D</v>
      </c>
      <c r="E5053" s="1" t="s">
        <v>4566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</row>
    <row r="5054" spans="1:11" x14ac:dyDescent="0.2">
      <c r="A5054" s="1" t="s">
        <v>80</v>
      </c>
      <c r="B5054" s="1" t="s">
        <v>86</v>
      </c>
      <c r="C5054" s="1" t="str">
        <f>"KB013-A"</f>
        <v>KB013-A</v>
      </c>
      <c r="D5054" s="1" t="str">
        <f>"KB013-A"</f>
        <v>KB013-A</v>
      </c>
      <c r="E5054" s="1" t="s">
        <v>4566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</row>
    <row r="5055" spans="1:11" x14ac:dyDescent="0.2">
      <c r="A5055" s="1" t="s">
        <v>80</v>
      </c>
      <c r="B5055" s="1" t="s">
        <v>87</v>
      </c>
      <c r="C5055" s="1" t="str">
        <f>"66298788283502"</f>
        <v>66298788283502</v>
      </c>
      <c r="D5055" s="1" t="str">
        <f>"KB004"</f>
        <v>KB004</v>
      </c>
      <c r="E5055" s="1" t="s">
        <v>4566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</row>
    <row r="5056" spans="1:11" x14ac:dyDescent="0.2">
      <c r="A5056" s="1" t="s">
        <v>18</v>
      </c>
      <c r="B5056" s="1" t="s">
        <v>88</v>
      </c>
      <c r="C5056" s="1" t="str">
        <f>"KB013"</f>
        <v>KB013</v>
      </c>
      <c r="D5056" s="1" t="str">
        <f>"KB013"</f>
        <v>KB013</v>
      </c>
      <c r="E5056" s="1" t="s">
        <v>4566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</row>
    <row r="5057" spans="1:11" x14ac:dyDescent="0.2">
      <c r="A5057" s="1" t="s">
        <v>80</v>
      </c>
      <c r="B5057" s="1" t="s">
        <v>89</v>
      </c>
      <c r="C5057" s="1" t="str">
        <f>"66298788365361"</f>
        <v>66298788365361</v>
      </c>
      <c r="D5057" s="1" t="str">
        <f>"KB002-8/10"</f>
        <v>KB002-8/10</v>
      </c>
      <c r="E5057" s="1" t="s">
        <v>4566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</row>
    <row r="5058" spans="1:11" x14ac:dyDescent="0.2">
      <c r="A5058" s="1" t="s">
        <v>80</v>
      </c>
      <c r="B5058" s="1" t="s">
        <v>90</v>
      </c>
      <c r="C5058" s="1" t="str">
        <f>"66298788405405"</f>
        <v>66298788405405</v>
      </c>
      <c r="D5058" s="1" t="str">
        <f>"H112"</f>
        <v>H112</v>
      </c>
      <c r="E5058" s="1" t="s">
        <v>4566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</row>
    <row r="5059" spans="1:11" x14ac:dyDescent="0.2">
      <c r="A5059" s="1" t="s">
        <v>15</v>
      </c>
      <c r="B5059" s="1" t="s">
        <v>91</v>
      </c>
      <c r="C5059" s="1" t="str">
        <f>"JD027"</f>
        <v>JD027</v>
      </c>
      <c r="D5059" s="1" t="str">
        <f>"JD027"</f>
        <v>JD027</v>
      </c>
      <c r="E5059" s="1" t="s">
        <v>4566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</row>
    <row r="5060" spans="1:11" x14ac:dyDescent="0.2">
      <c r="A5060" s="1" t="s">
        <v>15</v>
      </c>
      <c r="B5060" s="1" t="s">
        <v>92</v>
      </c>
      <c r="C5060" s="1" t="str">
        <f>"11980"</f>
        <v>11980</v>
      </c>
      <c r="D5060" s="1" t="str">
        <f>"11980"</f>
        <v>11980</v>
      </c>
      <c r="E5060" s="1" t="s">
        <v>4566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1</v>
      </c>
    </row>
    <row r="5061" spans="1:11" x14ac:dyDescent="0.2">
      <c r="A5061" s="1" t="s">
        <v>15</v>
      </c>
      <c r="B5061" s="1" t="s">
        <v>93</v>
      </c>
      <c r="C5061" s="1" t="str">
        <f>"66298788482471"</f>
        <v>66298788482471</v>
      </c>
      <c r="D5061" s="1" t="str">
        <f>"JD026"</f>
        <v>JD026</v>
      </c>
      <c r="E5061" s="1" t="s">
        <v>4566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</row>
    <row r="5062" spans="1:11" x14ac:dyDescent="0.2">
      <c r="A5062" s="1" t="s">
        <v>15</v>
      </c>
      <c r="B5062" s="1" t="s">
        <v>94</v>
      </c>
      <c r="C5062" s="1" t="str">
        <f>"66298788582396"</f>
        <v>66298788582396</v>
      </c>
      <c r="D5062" s="1" t="str">
        <f>"0016A-AMARILLO"</f>
        <v>0016A-AMARILLO</v>
      </c>
      <c r="E5062" s="1" t="s">
        <v>4566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</row>
    <row r="5063" spans="1:11" x14ac:dyDescent="0.2">
      <c r="A5063" s="1" t="s">
        <v>15</v>
      </c>
      <c r="B5063" s="1" t="s">
        <v>95</v>
      </c>
      <c r="C5063" s="1" t="str">
        <f>"66298788624911"</f>
        <v>66298788624911</v>
      </c>
      <c r="D5063" s="1" t="str">
        <f>"0016A-AZUL"</f>
        <v>0016A-AZUL</v>
      </c>
      <c r="E5063" s="1" t="s">
        <v>4566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</row>
    <row r="5064" spans="1:11" x14ac:dyDescent="0.2">
      <c r="A5064" s="1" t="s">
        <v>15</v>
      </c>
      <c r="B5064" s="1" t="s">
        <v>96</v>
      </c>
      <c r="C5064" s="1" t="str">
        <f>"66298788662197"</f>
        <v>66298788662197</v>
      </c>
      <c r="D5064" s="1" t="str">
        <f>"0016A-VERDE"</f>
        <v>0016A-VERDE</v>
      </c>
      <c r="E5064" s="1" t="s">
        <v>4566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</row>
    <row r="5065" spans="1:11" x14ac:dyDescent="0.2">
      <c r="A5065" s="1" t="s">
        <v>15</v>
      </c>
      <c r="B5065" s="1" t="s">
        <v>97</v>
      </c>
      <c r="C5065" s="1" t="str">
        <f>"66298788525204"</f>
        <v>66298788525204</v>
      </c>
      <c r="D5065" s="1" t="str">
        <f>"JD028"</f>
        <v>JD028</v>
      </c>
      <c r="E5065" s="1" t="s">
        <v>4566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</row>
    <row r="5066" spans="1:11" x14ac:dyDescent="0.2">
      <c r="A5066" s="1" t="s">
        <v>98</v>
      </c>
      <c r="B5066" s="1" t="s">
        <v>99</v>
      </c>
      <c r="C5066" s="1" t="str">
        <f>"66298788701757"</f>
        <v>66298788701757</v>
      </c>
      <c r="D5066" s="1" t="str">
        <f>"H2112"</f>
        <v>H2112</v>
      </c>
      <c r="E5066" s="1" t="s">
        <v>4566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</row>
    <row r="5067" spans="1:11" x14ac:dyDescent="0.2">
      <c r="A5067" s="1" t="s">
        <v>98</v>
      </c>
      <c r="B5067" s="1" t="s">
        <v>99</v>
      </c>
      <c r="C5067" s="1" t="str">
        <f>"VH001"</f>
        <v>VH001</v>
      </c>
      <c r="D5067" s="1" t="str">
        <f>"VH001"</f>
        <v>VH001</v>
      </c>
      <c r="E5067" s="1" t="s">
        <v>4566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</row>
    <row r="5068" spans="1:11" x14ac:dyDescent="0.2">
      <c r="A5068" s="1" t="s">
        <v>18</v>
      </c>
      <c r="B5068" s="1" t="s">
        <v>100</v>
      </c>
      <c r="C5068" s="1" t="str">
        <f>"66298788744831"</f>
        <v>66298788744831</v>
      </c>
      <c r="D5068" s="1" t="str">
        <f>"11108"</f>
        <v>11108</v>
      </c>
      <c r="E5068" s="1" t="s">
        <v>4566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</row>
    <row r="5069" spans="1:11" x14ac:dyDescent="0.2">
      <c r="A5069" s="1" t="s">
        <v>18</v>
      </c>
      <c r="B5069" s="1" t="s">
        <v>101</v>
      </c>
      <c r="C5069" s="1" t="str">
        <f>"66298788785072"</f>
        <v>66298788785072</v>
      </c>
      <c r="D5069" s="1" t="str">
        <f>"H176"</f>
        <v>H176</v>
      </c>
      <c r="E5069" s="1" t="s">
        <v>4566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</row>
    <row r="5070" spans="1:11" x14ac:dyDescent="0.2">
      <c r="A5070" s="1" t="s">
        <v>18</v>
      </c>
      <c r="B5070" s="1" t="s">
        <v>101</v>
      </c>
      <c r="C5070" s="1" t="str">
        <f>"103036"</f>
        <v>103036</v>
      </c>
      <c r="D5070" s="1" t="str">
        <f>"103036"</f>
        <v>103036</v>
      </c>
      <c r="E5070" s="1" t="s">
        <v>4566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</row>
    <row r="5071" spans="1:11" x14ac:dyDescent="0.2">
      <c r="A5071" s="1" t="s">
        <v>102</v>
      </c>
      <c r="B5071" s="1" t="s">
        <v>103</v>
      </c>
      <c r="C5071" s="1" t="str">
        <f>"66298788825464"</f>
        <v>66298788825464</v>
      </c>
      <c r="D5071" s="1" t="str">
        <f>"H224"</f>
        <v>H224</v>
      </c>
      <c r="E5071" s="1" t="s">
        <v>4566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</row>
    <row r="5072" spans="1:11" x14ac:dyDescent="0.2">
      <c r="A5072" s="1" t="s">
        <v>102</v>
      </c>
      <c r="B5072" s="1" t="s">
        <v>104</v>
      </c>
      <c r="C5072" s="1" t="str">
        <f>"66298788864849"</f>
        <v>66298788864849</v>
      </c>
      <c r="D5072" s="1" t="str">
        <f>"H089"</f>
        <v>H089</v>
      </c>
      <c r="E5072" s="1" t="s">
        <v>4566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</row>
    <row r="5073" spans="1:11" x14ac:dyDescent="0.2">
      <c r="A5073" s="1" t="s">
        <v>102</v>
      </c>
      <c r="B5073" s="1" t="s">
        <v>105</v>
      </c>
      <c r="C5073" s="1" t="str">
        <f>"66298788910490"</f>
        <v>66298788910490</v>
      </c>
      <c r="D5073" s="1" t="str">
        <f>"HH103"</f>
        <v>HH103</v>
      </c>
      <c r="E5073" s="1" t="s">
        <v>4566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</row>
    <row r="5074" spans="1:11" x14ac:dyDescent="0.2">
      <c r="A5074" s="1" t="s">
        <v>102</v>
      </c>
      <c r="B5074" s="1" t="s">
        <v>105</v>
      </c>
      <c r="C5074" s="1" t="str">
        <f>"66298788916642"</f>
        <v>66298788916642</v>
      </c>
      <c r="D5074" s="1" t="str">
        <f>"HH104"</f>
        <v>HH104</v>
      </c>
      <c r="E5074" s="1" t="s">
        <v>4566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</row>
    <row r="5075" spans="1:11" x14ac:dyDescent="0.2">
      <c r="A5075" s="1" t="s">
        <v>102</v>
      </c>
      <c r="B5075" s="1" t="s">
        <v>106</v>
      </c>
      <c r="C5075" s="1" t="str">
        <f>"66298788973431"</f>
        <v>66298788973431</v>
      </c>
      <c r="D5075" s="1" t="str">
        <f>"H117"</f>
        <v>H117</v>
      </c>
      <c r="E5075" s="1" t="s">
        <v>4566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</row>
    <row r="5076" spans="1:11" x14ac:dyDescent="0.2">
      <c r="A5076" s="1" t="s">
        <v>18</v>
      </c>
      <c r="B5076" s="1" t="s">
        <v>107</v>
      </c>
      <c r="C5076" s="1" t="str">
        <f>"66298789015238"</f>
        <v>66298789015238</v>
      </c>
      <c r="D5076" s="1" t="str">
        <f>"R008"</f>
        <v>R008</v>
      </c>
      <c r="E5076" s="1" t="s">
        <v>4566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</row>
    <row r="5077" spans="1:11" x14ac:dyDescent="0.2">
      <c r="A5077" s="1" t="s">
        <v>18</v>
      </c>
      <c r="B5077" s="1" t="s">
        <v>108</v>
      </c>
      <c r="C5077" s="1" t="str">
        <f>"66298789057871"</f>
        <v>66298789057871</v>
      </c>
      <c r="D5077" s="1" t="str">
        <f>"00388-CROMADO"</f>
        <v>00388-CROMADO</v>
      </c>
      <c r="E5077" s="1" t="s">
        <v>4566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</row>
    <row r="5078" spans="1:11" x14ac:dyDescent="0.2">
      <c r="A5078" s="1" t="s">
        <v>18</v>
      </c>
      <c r="B5078" s="1" t="s">
        <v>109</v>
      </c>
      <c r="C5078" s="1" t="str">
        <f>"66298789098616"</f>
        <v>66298789098616</v>
      </c>
      <c r="D5078" s="1" t="str">
        <f>"JC009-ROJO"</f>
        <v>JC009-ROJO</v>
      </c>
      <c r="E5078" s="1" t="s">
        <v>4566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</row>
    <row r="5079" spans="1:11" x14ac:dyDescent="0.2">
      <c r="A5079" s="1" t="s">
        <v>18</v>
      </c>
      <c r="B5079" s="1" t="s">
        <v>109</v>
      </c>
      <c r="C5079" s="1" t="str">
        <f>"66298789105653"</f>
        <v>66298789105653</v>
      </c>
      <c r="D5079" s="1" t="str">
        <f>"JC009-B-ROJO"</f>
        <v>JC009-B-ROJO</v>
      </c>
      <c r="E5079" s="1" t="s">
        <v>4566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</row>
    <row r="5080" spans="1:11" x14ac:dyDescent="0.2">
      <c r="A5080" s="1" t="s">
        <v>18</v>
      </c>
      <c r="B5080" s="1" t="s">
        <v>110</v>
      </c>
      <c r="C5080" s="1" t="str">
        <f>"66298789161466"</f>
        <v>66298789161466</v>
      </c>
      <c r="D5080" s="1" t="str">
        <f>"JC013-A-NEGRO"</f>
        <v>JC013-A-NEGRO</v>
      </c>
      <c r="E5080" s="1" t="s">
        <v>4566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</row>
    <row r="5081" spans="1:11" x14ac:dyDescent="0.2">
      <c r="A5081" s="1" t="s">
        <v>18</v>
      </c>
      <c r="B5081" s="1" t="s">
        <v>110</v>
      </c>
      <c r="C5081" s="1" t="str">
        <f>"JC013-A-ROJO"</f>
        <v>JC013-A-ROJO</v>
      </c>
      <c r="D5081" s="1" t="str">
        <f>"JC013-A-ROJO"</f>
        <v>JC013-A-ROJO</v>
      </c>
      <c r="E5081" s="1" t="s">
        <v>4566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</row>
    <row r="5082" spans="1:11" x14ac:dyDescent="0.2">
      <c r="A5082" s="1" t="s">
        <v>18</v>
      </c>
      <c r="B5082" s="1" t="s">
        <v>111</v>
      </c>
      <c r="C5082" s="1" t="str">
        <f>"66298789203414"</f>
        <v>66298789203414</v>
      </c>
      <c r="D5082" s="1" t="str">
        <f>"H031-A"</f>
        <v>H031-A</v>
      </c>
      <c r="E5082" s="1" t="s">
        <v>4566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</row>
    <row r="5083" spans="1:11" x14ac:dyDescent="0.2">
      <c r="A5083" s="1" t="s">
        <v>112</v>
      </c>
      <c r="B5083" s="1" t="s">
        <v>113</v>
      </c>
      <c r="C5083" s="1" t="str">
        <f>"66298789245299"</f>
        <v>66298789245299</v>
      </c>
      <c r="D5083" s="1" t="str">
        <f>"400483"</f>
        <v>400483</v>
      </c>
      <c r="E5083" s="1" t="s">
        <v>4566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</row>
    <row r="5084" spans="1:11" x14ac:dyDescent="0.2">
      <c r="A5084" s="1" t="s">
        <v>112</v>
      </c>
      <c r="B5084" s="1" t="s">
        <v>114</v>
      </c>
      <c r="C5084" s="1" t="str">
        <f>"66298789282704"</f>
        <v>66298789282704</v>
      </c>
      <c r="D5084" s="1" t="str">
        <f>"310790275-0001"</f>
        <v>310790275-0001</v>
      </c>
      <c r="E5084" s="1" t="s">
        <v>4566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</row>
    <row r="5085" spans="1:11" x14ac:dyDescent="0.2">
      <c r="A5085" s="1" t="s">
        <v>112</v>
      </c>
      <c r="B5085" s="1" t="s">
        <v>115</v>
      </c>
      <c r="C5085" s="1" t="str">
        <f>"66298789322737"</f>
        <v>66298789322737</v>
      </c>
      <c r="D5085" s="1" t="str">
        <f>"SL-22200-000"</f>
        <v>SL-22200-000</v>
      </c>
      <c r="E5085" s="1" t="s">
        <v>4566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</row>
    <row r="5086" spans="1:11" x14ac:dyDescent="0.2">
      <c r="A5086" s="1" t="s">
        <v>112</v>
      </c>
      <c r="B5086" s="1" t="s">
        <v>116</v>
      </c>
      <c r="C5086" s="1" t="str">
        <f>"66298789363541"</f>
        <v>66298789363541</v>
      </c>
      <c r="D5086" s="1" t="str">
        <f>"DM-1710-25"</f>
        <v>DM-1710-25</v>
      </c>
      <c r="E5086" s="1" t="s">
        <v>4566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</row>
    <row r="5087" spans="1:11" x14ac:dyDescent="0.2">
      <c r="A5087" s="1" t="s">
        <v>112</v>
      </c>
      <c r="B5087" s="1" t="s">
        <v>117</v>
      </c>
      <c r="C5087" s="1" t="str">
        <f>"66298789403957"</f>
        <v>66298789403957</v>
      </c>
      <c r="D5087" s="1" t="str">
        <f>"52400-KWF-901"</f>
        <v>52400-KWF-901</v>
      </c>
      <c r="E5087" s="1" t="s">
        <v>4566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</row>
    <row r="5088" spans="1:11" x14ac:dyDescent="0.2">
      <c r="A5088" s="1" t="s">
        <v>112</v>
      </c>
      <c r="B5088" s="1" t="s">
        <v>118</v>
      </c>
      <c r="C5088" s="1" t="str">
        <f>"66298789441912"</f>
        <v>66298789441912</v>
      </c>
      <c r="D5088" s="1" t="str">
        <f>"52400-KSP-861"</f>
        <v>52400-KSP-861</v>
      </c>
      <c r="E5088" s="1" t="s">
        <v>4566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</row>
    <row r="5089" spans="1:11" x14ac:dyDescent="0.2">
      <c r="A5089" s="1" t="s">
        <v>112</v>
      </c>
      <c r="B5089" s="1" t="s">
        <v>119</v>
      </c>
      <c r="C5089" s="1" t="str">
        <f>"66298789482134"</f>
        <v>66298789482134</v>
      </c>
      <c r="D5089" s="1" t="str">
        <f>"52400-KPF-891"</f>
        <v>52400-KPF-891</v>
      </c>
      <c r="E5089" s="1" t="s">
        <v>4566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</row>
    <row r="5090" spans="1:11" x14ac:dyDescent="0.2">
      <c r="A5090" s="1" t="s">
        <v>112</v>
      </c>
      <c r="B5090" s="1" t="s">
        <v>120</v>
      </c>
      <c r="C5090" s="1" t="str">
        <f>"66298789531909"</f>
        <v>66298789531909</v>
      </c>
      <c r="D5090" s="1" t="str">
        <f>"62100-44AB2-019"</f>
        <v>62100-44AB2-019</v>
      </c>
      <c r="E5090" s="1" t="s">
        <v>4566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</row>
    <row r="5091" spans="1:11" x14ac:dyDescent="0.2">
      <c r="A5091" s="1" t="s">
        <v>112</v>
      </c>
      <c r="B5091" s="1" t="s">
        <v>121</v>
      </c>
      <c r="C5091" s="1" t="str">
        <f>"66298789573602"</f>
        <v>66298789573602</v>
      </c>
      <c r="D5091" s="1" t="str">
        <f>"21C-F2210-00"</f>
        <v>21C-F2210-00</v>
      </c>
      <c r="E5091" s="1" t="s">
        <v>4566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</row>
    <row r="5092" spans="1:11" x14ac:dyDescent="0.2">
      <c r="A5092" s="1" t="s">
        <v>112</v>
      </c>
      <c r="B5092" s="1" t="s">
        <v>122</v>
      </c>
      <c r="C5092" s="1" t="str">
        <f>"SA025"</f>
        <v>SA025</v>
      </c>
      <c r="D5092" s="1" t="str">
        <f>"SA025"</f>
        <v>SA025</v>
      </c>
      <c r="E5092" s="1" t="s">
        <v>4566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</row>
    <row r="5093" spans="1:11" x14ac:dyDescent="0.2">
      <c r="A5093" s="1" t="s">
        <v>112</v>
      </c>
      <c r="B5093" s="1" t="s">
        <v>123</v>
      </c>
      <c r="C5093" s="1" t="str">
        <f>"66298789618646"</f>
        <v>66298789618646</v>
      </c>
      <c r="D5093" s="1" t="str">
        <f>"52400-KBB-981ZA"</f>
        <v>52400-KBB-981ZA</v>
      </c>
      <c r="E5093" s="1" t="s">
        <v>4566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</row>
    <row r="5094" spans="1:11" x14ac:dyDescent="0.2">
      <c r="A5094" s="1" t="s">
        <v>112</v>
      </c>
      <c r="B5094" s="1" t="s">
        <v>124</v>
      </c>
      <c r="C5094" s="1" t="str">
        <f>"52400-KPE-841ZA"</f>
        <v>52400-KPE-841ZA</v>
      </c>
      <c r="D5094" s="1" t="str">
        <f>"52400-KPE-841ZA"</f>
        <v>52400-KPE-841ZA</v>
      </c>
      <c r="E5094" s="1" t="s">
        <v>4566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</row>
    <row r="5095" spans="1:11" x14ac:dyDescent="0.2">
      <c r="A5095" s="1" t="s">
        <v>112</v>
      </c>
      <c r="B5095" s="1" t="s">
        <v>125</v>
      </c>
      <c r="C5095" s="1" t="str">
        <f>"66298789658264"</f>
        <v>66298789658264</v>
      </c>
      <c r="D5095" s="1" t="str">
        <f>"5RM-22210-01"</f>
        <v>5RM-22210-01</v>
      </c>
      <c r="E5095" s="1" t="s">
        <v>4566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</row>
    <row r="5096" spans="1:11" x14ac:dyDescent="0.2">
      <c r="A5096" s="1" t="s">
        <v>112</v>
      </c>
      <c r="B5096" s="1" t="s">
        <v>126</v>
      </c>
      <c r="C5096" s="1" t="str">
        <f>"66298789700390"</f>
        <v>66298789700390</v>
      </c>
      <c r="D5096" s="1" t="str">
        <f>"5JU-F2210-00"</f>
        <v>5JU-F2210-00</v>
      </c>
      <c r="E5096" s="1" t="s">
        <v>4566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</row>
    <row r="5097" spans="1:11" x14ac:dyDescent="0.2">
      <c r="A5097" s="1" t="s">
        <v>112</v>
      </c>
      <c r="B5097" s="1" t="s">
        <v>127</v>
      </c>
      <c r="C5097" s="1" t="str">
        <f>"66298789740767"</f>
        <v>66298789740767</v>
      </c>
      <c r="D5097" s="1" t="str">
        <f>"24P-F2210-01"</f>
        <v>24P-F2210-01</v>
      </c>
      <c r="E5097" s="1" t="s">
        <v>4566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</row>
    <row r="5098" spans="1:11" x14ac:dyDescent="0.2">
      <c r="A5098" s="1" t="s">
        <v>112</v>
      </c>
      <c r="B5098" s="1" t="s">
        <v>128</v>
      </c>
      <c r="C5098" s="1" t="str">
        <f>"66298789779675"</f>
        <v>66298789779675</v>
      </c>
      <c r="D5098" s="1" t="str">
        <f>"4ST-F2210-00"</f>
        <v>4ST-F2210-00</v>
      </c>
      <c r="E5098" s="1" t="s">
        <v>4566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</row>
    <row r="5099" spans="1:11" x14ac:dyDescent="0.2">
      <c r="A5099" s="1" t="s">
        <v>112</v>
      </c>
      <c r="B5099" s="1" t="s">
        <v>129</v>
      </c>
      <c r="C5099" s="1" t="str">
        <f>"66298789821597"</f>
        <v>66298789821597</v>
      </c>
      <c r="D5099" s="1" t="str">
        <f>"62100-45F21-000"</f>
        <v>62100-45F21-000</v>
      </c>
      <c r="E5099" s="1" t="s">
        <v>4566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</row>
    <row r="5100" spans="1:11" x14ac:dyDescent="0.2">
      <c r="A5100" s="1" t="s">
        <v>112</v>
      </c>
      <c r="B5100" s="1" t="s">
        <v>130</v>
      </c>
      <c r="C5100" s="1" t="str">
        <f>"66298789899639"</f>
        <v>66298789899639</v>
      </c>
      <c r="D5100" s="1" t="str">
        <f>"400488"</f>
        <v>400488</v>
      </c>
      <c r="E5100" s="1" t="s">
        <v>4566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</row>
    <row r="5101" spans="1:11" x14ac:dyDescent="0.2">
      <c r="A5101" s="1" t="s">
        <v>112</v>
      </c>
      <c r="B5101" s="1" t="s">
        <v>131</v>
      </c>
      <c r="C5101" s="1" t="str">
        <f>"66298789864357"</f>
        <v>66298789864357</v>
      </c>
      <c r="D5101" s="1" t="str">
        <f>"80874"</f>
        <v>80874</v>
      </c>
      <c r="E5101" s="1" t="s">
        <v>4566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</row>
    <row r="5102" spans="1:11" x14ac:dyDescent="0.2">
      <c r="A5102" s="1" t="s">
        <v>112</v>
      </c>
      <c r="B5102" s="1" t="s">
        <v>132</v>
      </c>
      <c r="C5102" s="1" t="str">
        <f>"66298789937694"</f>
        <v>66298789937694</v>
      </c>
      <c r="D5102" s="1" t="str">
        <f>"62100-053H1-000"</f>
        <v>62100-053H1-000</v>
      </c>
      <c r="E5102" s="1" t="s">
        <v>4566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</row>
    <row r="5103" spans="1:11" x14ac:dyDescent="0.2">
      <c r="A5103" s="1" t="s">
        <v>112</v>
      </c>
      <c r="B5103" s="1" t="s">
        <v>133</v>
      </c>
      <c r="C5103" s="1" t="str">
        <f>"SA003"</f>
        <v>SA003</v>
      </c>
      <c r="D5103" s="1" t="str">
        <f>"SA003"</f>
        <v>SA003</v>
      </c>
      <c r="E5103" s="1" t="s">
        <v>4566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</row>
    <row r="5104" spans="1:11" x14ac:dyDescent="0.2">
      <c r="A5104" s="1" t="s">
        <v>112</v>
      </c>
      <c r="B5104" s="1" t="s">
        <v>134</v>
      </c>
      <c r="C5104" s="1" t="str">
        <f>"1V1-22210-0393"</f>
        <v>1V1-22210-0393</v>
      </c>
      <c r="D5104" s="1" t="str">
        <f>"1V1-22210-0393"</f>
        <v>1V1-22210-0393</v>
      </c>
      <c r="E5104" s="1" t="s">
        <v>4566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</row>
    <row r="5105" spans="1:11" x14ac:dyDescent="0.2">
      <c r="A5105" s="1" t="s">
        <v>112</v>
      </c>
      <c r="B5105" s="1" t="s">
        <v>135</v>
      </c>
      <c r="C5105" s="1" t="str">
        <f>"66298790030782"</f>
        <v>66298790030782</v>
      </c>
      <c r="D5105" s="1" t="str">
        <f>"52400-KVC-900"</f>
        <v>52400-KVC-900</v>
      </c>
      <c r="E5105" s="1" t="s">
        <v>4566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</row>
    <row r="5106" spans="1:11" x14ac:dyDescent="0.2">
      <c r="A5106" s="1" t="s">
        <v>112</v>
      </c>
      <c r="B5106" s="1" t="s">
        <v>136</v>
      </c>
      <c r="C5106" s="1" t="str">
        <f>"66298790211516"</f>
        <v>66298790211516</v>
      </c>
      <c r="D5106" s="1" t="str">
        <f>"400455"</f>
        <v>400455</v>
      </c>
      <c r="E5106" s="1" t="s">
        <v>4566</v>
      </c>
      <c r="F5106" s="1">
        <v>180</v>
      </c>
      <c r="G5106" s="1">
        <v>4721</v>
      </c>
      <c r="H5106" s="1">
        <v>849780</v>
      </c>
      <c r="I5106" s="1">
        <v>0</v>
      </c>
      <c r="J5106" s="1">
        <v>180</v>
      </c>
      <c r="K5106" s="1">
        <v>0</v>
      </c>
    </row>
    <row r="5107" spans="1:11" x14ac:dyDescent="0.2">
      <c r="A5107" s="1" t="s">
        <v>112</v>
      </c>
      <c r="B5107" s="1" t="s">
        <v>137</v>
      </c>
      <c r="C5107" s="1" t="str">
        <f>"66298790074966"</f>
        <v>66298790074966</v>
      </c>
      <c r="D5107" s="1" t="str">
        <f>"22P-F2210-00"</f>
        <v>22P-F2210-00</v>
      </c>
      <c r="E5107" s="1" t="s">
        <v>4566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</row>
    <row r="5108" spans="1:11" x14ac:dyDescent="0.2">
      <c r="A5108" s="1" t="s">
        <v>112</v>
      </c>
      <c r="B5108" s="1" t="s">
        <v>137</v>
      </c>
      <c r="C5108" s="1" t="str">
        <f>"66298790124672"</f>
        <v>66298790124672</v>
      </c>
      <c r="D5108" s="1" t="str">
        <f>"5VL-F2210-01"</f>
        <v>5VL-F2210-01</v>
      </c>
      <c r="E5108" s="1" t="s">
        <v>4566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</row>
    <row r="5109" spans="1:11" x14ac:dyDescent="0.2">
      <c r="A5109" s="1" t="s">
        <v>112</v>
      </c>
      <c r="B5109" s="1" t="s">
        <v>138</v>
      </c>
      <c r="C5109" s="1" t="str">
        <f>"66298790261414"</f>
        <v>66298790261414</v>
      </c>
      <c r="D5109" s="1" t="str">
        <f>"400490"</f>
        <v>400490</v>
      </c>
      <c r="E5109" s="1" t="s">
        <v>4566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</row>
    <row r="5110" spans="1:11" x14ac:dyDescent="0.2">
      <c r="A5110" s="1" t="s">
        <v>112</v>
      </c>
      <c r="B5110" s="1" t="s">
        <v>139</v>
      </c>
      <c r="C5110" s="1" t="str">
        <f>"66298790300499"</f>
        <v>66298790300499</v>
      </c>
      <c r="D5110" s="1" t="str">
        <f>"400486"</f>
        <v>400486</v>
      </c>
      <c r="E5110" s="1" t="s">
        <v>4566</v>
      </c>
      <c r="F5110" s="1">
        <v>8</v>
      </c>
      <c r="G5110" s="1">
        <v>5608</v>
      </c>
      <c r="H5110" s="1">
        <v>44864</v>
      </c>
      <c r="I5110" s="1">
        <v>0</v>
      </c>
      <c r="J5110" s="1">
        <v>8</v>
      </c>
      <c r="K5110" s="1">
        <v>0</v>
      </c>
    </row>
    <row r="5111" spans="1:11" x14ac:dyDescent="0.2">
      <c r="A5111" s="1" t="s">
        <v>112</v>
      </c>
      <c r="B5111" s="1" t="s">
        <v>140</v>
      </c>
      <c r="C5111" s="1" t="str">
        <f>"66298790340896"</f>
        <v>66298790340896</v>
      </c>
      <c r="D5111" s="1" t="str">
        <f>"SA005"</f>
        <v>SA005</v>
      </c>
      <c r="E5111" s="1" t="s">
        <v>4566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</row>
    <row r="5112" spans="1:11" ht="30" x14ac:dyDescent="0.2">
      <c r="A5112" s="1" t="s">
        <v>141</v>
      </c>
      <c r="B5112" s="1" t="s">
        <v>142</v>
      </c>
      <c r="C5112" s="1" t="str">
        <f>"66298790381677"</f>
        <v>66298790381677</v>
      </c>
      <c r="D5112" s="1" t="str">
        <f>"81526"</f>
        <v>81526</v>
      </c>
      <c r="E5112" s="1" t="s">
        <v>4566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1</v>
      </c>
    </row>
    <row r="5113" spans="1:11" x14ac:dyDescent="0.2">
      <c r="A5113" s="1" t="s">
        <v>141</v>
      </c>
      <c r="B5113" s="1" t="s">
        <v>143</v>
      </c>
      <c r="C5113" s="1" t="str">
        <f>"66298790426257"</f>
        <v>66298790426257</v>
      </c>
      <c r="D5113" s="1" t="str">
        <f>"A-2746C"</f>
        <v>A-2746C</v>
      </c>
      <c r="E5113" s="1" t="s">
        <v>4566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1</v>
      </c>
    </row>
    <row r="5114" spans="1:11" x14ac:dyDescent="0.2">
      <c r="A5114" s="1" t="s">
        <v>141</v>
      </c>
      <c r="B5114" s="1" t="s">
        <v>144</v>
      </c>
      <c r="C5114" s="1" t="str">
        <f>"66298790467302"</f>
        <v>66298790467302</v>
      </c>
      <c r="D5114" s="1" t="str">
        <f>"400913"</f>
        <v>400913</v>
      </c>
      <c r="E5114" s="1" t="s">
        <v>4566</v>
      </c>
      <c r="F5114" s="1">
        <v>1250</v>
      </c>
      <c r="G5114" s="1">
        <v>729</v>
      </c>
      <c r="H5114" s="1">
        <v>911250</v>
      </c>
      <c r="I5114" s="1">
        <v>0</v>
      </c>
      <c r="J5114" s="1">
        <v>1250</v>
      </c>
      <c r="K5114" s="1">
        <v>1</v>
      </c>
    </row>
    <row r="5115" spans="1:11" x14ac:dyDescent="0.2">
      <c r="A5115" s="1" t="s">
        <v>141</v>
      </c>
      <c r="B5115" s="1" t="s">
        <v>145</v>
      </c>
      <c r="C5115" s="1" t="str">
        <f>"66298790509113"</f>
        <v>66298790509113</v>
      </c>
      <c r="D5115" s="1" t="str">
        <f>"12728C1"</f>
        <v>12728C1</v>
      </c>
      <c r="E5115" s="1" t="s">
        <v>4566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</row>
    <row r="5116" spans="1:11" ht="30" x14ac:dyDescent="0.2">
      <c r="A5116" s="1" t="s">
        <v>141</v>
      </c>
      <c r="B5116" s="1" t="s">
        <v>146</v>
      </c>
      <c r="C5116" s="1" t="str">
        <f>"66298790549304"</f>
        <v>66298790549304</v>
      </c>
      <c r="D5116" s="1" t="str">
        <f>"H4-12458MV-BI"</f>
        <v>H4-12458MV-BI</v>
      </c>
      <c r="E5116" s="1" t="s">
        <v>4566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</row>
    <row r="5117" spans="1:11" x14ac:dyDescent="0.2">
      <c r="A5117" s="1" t="s">
        <v>141</v>
      </c>
      <c r="B5117" s="1" t="s">
        <v>147</v>
      </c>
      <c r="C5117" s="1" t="str">
        <f>"66298790596730"</f>
        <v>66298790596730</v>
      </c>
      <c r="D5117" s="1" t="str">
        <f>"400588"</f>
        <v>400588</v>
      </c>
      <c r="E5117" s="1" t="s">
        <v>4566</v>
      </c>
      <c r="F5117" s="1">
        <v>520</v>
      </c>
      <c r="G5117" s="1">
        <v>93</v>
      </c>
      <c r="H5117" s="1">
        <v>48360</v>
      </c>
      <c r="I5117" s="1">
        <v>0</v>
      </c>
      <c r="J5117" s="1">
        <v>520</v>
      </c>
      <c r="K5117" s="1">
        <v>1</v>
      </c>
    </row>
    <row r="5118" spans="1:11" x14ac:dyDescent="0.2">
      <c r="A5118" s="1" t="s">
        <v>141</v>
      </c>
      <c r="B5118" s="1" t="s">
        <v>148</v>
      </c>
      <c r="C5118" s="1" t="str">
        <f>"66298790642327"</f>
        <v>66298790642327</v>
      </c>
      <c r="D5118" s="1" t="str">
        <f>"400159"</f>
        <v>400159</v>
      </c>
      <c r="E5118" s="1" t="s">
        <v>4566</v>
      </c>
      <c r="F5118" s="1">
        <v>2310</v>
      </c>
      <c r="G5118" s="1">
        <v>260</v>
      </c>
      <c r="H5118" s="1">
        <v>600600</v>
      </c>
      <c r="I5118" s="1">
        <v>0</v>
      </c>
      <c r="J5118" s="1">
        <v>2310</v>
      </c>
      <c r="K5118" s="1">
        <v>1</v>
      </c>
    </row>
    <row r="5119" spans="1:11" x14ac:dyDescent="0.2">
      <c r="A5119" s="1" t="s">
        <v>141</v>
      </c>
      <c r="B5119" s="1" t="s">
        <v>149</v>
      </c>
      <c r="C5119" s="1" t="str">
        <f>"BA20"</f>
        <v>BA20</v>
      </c>
      <c r="D5119" s="1" t="str">
        <f>"BA20"</f>
        <v>BA20</v>
      </c>
      <c r="E5119" s="1" t="s">
        <v>4566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1</v>
      </c>
    </row>
    <row r="5120" spans="1:11" x14ac:dyDescent="0.2">
      <c r="A5120" s="1" t="s">
        <v>141</v>
      </c>
      <c r="B5120" s="1" t="s">
        <v>150</v>
      </c>
      <c r="C5120" s="1" t="str">
        <f>"66298790679312"</f>
        <v>66298790679312</v>
      </c>
      <c r="D5120" s="1" t="str">
        <f>"400914"</f>
        <v>400914</v>
      </c>
      <c r="E5120" s="1" t="s">
        <v>4566</v>
      </c>
      <c r="F5120" s="1">
        <v>200</v>
      </c>
      <c r="G5120" s="1">
        <v>914</v>
      </c>
      <c r="H5120" s="1">
        <v>182800</v>
      </c>
      <c r="I5120" s="1">
        <v>0</v>
      </c>
      <c r="J5120" s="1">
        <v>200</v>
      </c>
      <c r="K5120" s="1">
        <v>0</v>
      </c>
    </row>
    <row r="5121" spans="1:11" x14ac:dyDescent="0.2">
      <c r="A5121" s="1" t="s">
        <v>141</v>
      </c>
      <c r="B5121" s="1" t="s">
        <v>151</v>
      </c>
      <c r="C5121" s="1" t="str">
        <f>"PX43T"</f>
        <v>PX43T</v>
      </c>
      <c r="D5121" s="1" t="str">
        <f>"PX43T"</f>
        <v>PX43T</v>
      </c>
      <c r="E5121" s="1" t="s">
        <v>4566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</row>
    <row r="5122" spans="1:11" ht="30" x14ac:dyDescent="0.2">
      <c r="A5122" s="1" t="s">
        <v>141</v>
      </c>
      <c r="B5122" s="1" t="s">
        <v>152</v>
      </c>
      <c r="C5122" s="1" t="str">
        <f>"66298790731121"</f>
        <v>66298790731121</v>
      </c>
      <c r="D5122" s="1" t="str">
        <f>"81527"</f>
        <v>81527</v>
      </c>
      <c r="E5122" s="1" t="s">
        <v>4566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1</v>
      </c>
    </row>
    <row r="5123" spans="1:11" ht="30" x14ac:dyDescent="0.2">
      <c r="A5123" s="1" t="s">
        <v>141</v>
      </c>
      <c r="B5123" s="1" t="s">
        <v>152</v>
      </c>
      <c r="C5123" s="1" t="str">
        <f>"66298790769154"</f>
        <v>66298790769154</v>
      </c>
      <c r="D5123" s="1" t="str">
        <f>"AY-2748-K"</f>
        <v>AY-2748-K</v>
      </c>
      <c r="E5123" s="1" t="s">
        <v>4566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1</v>
      </c>
    </row>
    <row r="5124" spans="1:11" ht="30" x14ac:dyDescent="0.2">
      <c r="A5124" s="1" t="s">
        <v>141</v>
      </c>
      <c r="B5124" s="1" t="s">
        <v>153</v>
      </c>
      <c r="C5124" s="1" t="str">
        <f>"66298790806601"</f>
        <v>66298790806601</v>
      </c>
      <c r="D5124" s="1" t="str">
        <f>"400589"</f>
        <v>400589</v>
      </c>
      <c r="E5124" s="1" t="s">
        <v>4566</v>
      </c>
      <c r="F5124" s="1">
        <v>780</v>
      </c>
      <c r="G5124" s="1">
        <v>334</v>
      </c>
      <c r="H5124" s="1">
        <v>260520</v>
      </c>
      <c r="I5124" s="1">
        <v>0</v>
      </c>
      <c r="J5124" s="1">
        <v>780</v>
      </c>
      <c r="K5124" s="1">
        <v>1</v>
      </c>
    </row>
    <row r="5125" spans="1:11" ht="30" x14ac:dyDescent="0.2">
      <c r="A5125" s="1" t="s">
        <v>141</v>
      </c>
      <c r="B5125" s="1" t="s">
        <v>154</v>
      </c>
      <c r="C5125" s="1" t="str">
        <f>"66298790855077"</f>
        <v>66298790855077</v>
      </c>
      <c r="D5125" s="1" t="str">
        <f>"4464-H"</f>
        <v>4464-H</v>
      </c>
      <c r="E5125" s="1" t="s">
        <v>4566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1</v>
      </c>
    </row>
    <row r="5126" spans="1:11" x14ac:dyDescent="0.2">
      <c r="A5126" s="1" t="s">
        <v>141</v>
      </c>
      <c r="B5126" s="1" t="s">
        <v>155</v>
      </c>
      <c r="C5126" s="1" t="str">
        <f>"66298790896822"</f>
        <v>66298790896822</v>
      </c>
      <c r="D5126" s="1" t="str">
        <f>"SW-H7"</f>
        <v>SW-H7</v>
      </c>
      <c r="E5126" s="1" t="s">
        <v>4566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</row>
    <row r="5127" spans="1:11" x14ac:dyDescent="0.2">
      <c r="A5127" s="1" t="s">
        <v>141</v>
      </c>
      <c r="B5127" s="1" t="s">
        <v>156</v>
      </c>
      <c r="C5127" s="1" t="str">
        <f>"66298790938668"</f>
        <v>66298790938668</v>
      </c>
      <c r="D5127" s="1" t="str">
        <f>"AY-50340-BX"</f>
        <v>AY-50340-BX</v>
      </c>
      <c r="E5127" s="1" t="s">
        <v>4566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1</v>
      </c>
    </row>
    <row r="5128" spans="1:11" x14ac:dyDescent="0.2">
      <c r="A5128" s="1" t="s">
        <v>141</v>
      </c>
      <c r="B5128" s="1" t="s">
        <v>157</v>
      </c>
      <c r="C5128" s="1" t="str">
        <f>"66298790980057"</f>
        <v>66298790980057</v>
      </c>
      <c r="D5128" s="1" t="str">
        <f>"VF064"</f>
        <v>VF064</v>
      </c>
      <c r="E5128" s="1" t="s">
        <v>4566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</row>
    <row r="5129" spans="1:11" x14ac:dyDescent="0.2">
      <c r="A5129" s="1" t="s">
        <v>141</v>
      </c>
      <c r="B5129" s="1" t="s">
        <v>158</v>
      </c>
      <c r="C5129" s="1" t="str">
        <f>"66298791021092"</f>
        <v>66298791021092</v>
      </c>
      <c r="D5129" s="1" t="str">
        <f>"VF063"</f>
        <v>VF063</v>
      </c>
      <c r="E5129" s="1" t="s">
        <v>4566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</row>
    <row r="5130" spans="1:11" x14ac:dyDescent="0.2">
      <c r="A5130" s="1" t="s">
        <v>141</v>
      </c>
      <c r="B5130" s="1" t="s">
        <v>159</v>
      </c>
      <c r="C5130" s="1" t="str">
        <f>"66298791062450"</f>
        <v>66298791062450</v>
      </c>
      <c r="D5130" s="1" t="str">
        <f>"VF065"</f>
        <v>VF065</v>
      </c>
      <c r="E5130" s="1" t="s">
        <v>4566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</row>
    <row r="5131" spans="1:11" x14ac:dyDescent="0.2">
      <c r="A5131" s="1" t="s">
        <v>141</v>
      </c>
      <c r="B5131" s="1" t="s">
        <v>160</v>
      </c>
      <c r="C5131" s="1" t="str">
        <f>"134881"</f>
        <v>134881</v>
      </c>
      <c r="D5131" s="1" t="str">
        <f>"134881"</f>
        <v>134881</v>
      </c>
      <c r="E5131" s="1" t="s">
        <v>4566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1</v>
      </c>
    </row>
    <row r="5132" spans="1:11" x14ac:dyDescent="0.2">
      <c r="A5132" s="1" t="s">
        <v>141</v>
      </c>
      <c r="B5132" s="1" t="s">
        <v>161</v>
      </c>
      <c r="C5132" s="1" t="str">
        <f>"VF024"</f>
        <v>VF024</v>
      </c>
      <c r="D5132" s="1" t="str">
        <f>"VF024"</f>
        <v>VF024</v>
      </c>
      <c r="E5132" s="1" t="s">
        <v>4566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</row>
    <row r="5133" spans="1:11" x14ac:dyDescent="0.2">
      <c r="A5133" s="1" t="s">
        <v>141</v>
      </c>
      <c r="B5133" s="1" t="s">
        <v>162</v>
      </c>
      <c r="C5133" s="1" t="str">
        <f>"66298791108060"</f>
        <v>66298791108060</v>
      </c>
      <c r="D5133" s="1" t="str">
        <f>"VF009"</f>
        <v>VF009</v>
      </c>
      <c r="E5133" s="1" t="s">
        <v>4566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1</v>
      </c>
    </row>
    <row r="5134" spans="1:11" x14ac:dyDescent="0.2">
      <c r="A5134" s="1" t="s">
        <v>141</v>
      </c>
      <c r="B5134" s="1" t="s">
        <v>163</v>
      </c>
      <c r="C5134" s="1" t="str">
        <f>"66298791149793"</f>
        <v>66298791149793</v>
      </c>
      <c r="D5134" s="1" t="str">
        <f>"VF032"</f>
        <v>VF032</v>
      </c>
      <c r="E5134" s="1" t="s">
        <v>4566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</row>
    <row r="5135" spans="1:11" x14ac:dyDescent="0.2">
      <c r="A5135" s="1" t="s">
        <v>141</v>
      </c>
      <c r="B5135" s="1" t="s">
        <v>164</v>
      </c>
      <c r="C5135" s="1" t="str">
        <f>"1003"</f>
        <v>1003</v>
      </c>
      <c r="D5135" s="1" t="str">
        <f>"1003"</f>
        <v>1003</v>
      </c>
      <c r="E5135" s="1" t="s">
        <v>4566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1</v>
      </c>
    </row>
    <row r="5136" spans="1:11" x14ac:dyDescent="0.2">
      <c r="A5136" s="1" t="s">
        <v>141</v>
      </c>
      <c r="B5136" s="1" t="s">
        <v>164</v>
      </c>
      <c r="C5136" s="1" t="str">
        <f>"13066"</f>
        <v>13066</v>
      </c>
      <c r="D5136" s="1" t="str">
        <f>"13066"</f>
        <v>13066</v>
      </c>
      <c r="E5136" s="1" t="s">
        <v>4566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1</v>
      </c>
    </row>
    <row r="5137" spans="1:11" x14ac:dyDescent="0.2">
      <c r="A5137" s="1" t="s">
        <v>141</v>
      </c>
      <c r="B5137" s="1" t="s">
        <v>165</v>
      </c>
      <c r="C5137" s="1" t="str">
        <f>"66298791189346"</f>
        <v>66298791189346</v>
      </c>
      <c r="D5137" s="1" t="str">
        <f>"400160"</f>
        <v>400160</v>
      </c>
      <c r="E5137" s="1" t="s">
        <v>4566</v>
      </c>
      <c r="F5137" s="1">
        <v>2000</v>
      </c>
      <c r="G5137" s="1">
        <v>38</v>
      </c>
      <c r="H5137" s="1">
        <v>76000</v>
      </c>
      <c r="I5137" s="1">
        <v>0</v>
      </c>
      <c r="J5137" s="1">
        <v>2000</v>
      </c>
      <c r="K5137" s="1">
        <v>1</v>
      </c>
    </row>
    <row r="5138" spans="1:11" ht="30" x14ac:dyDescent="0.2">
      <c r="A5138" s="1" t="s">
        <v>141</v>
      </c>
      <c r="B5138" s="1" t="s">
        <v>166</v>
      </c>
      <c r="C5138" s="1" t="str">
        <f>"66298791232937"</f>
        <v>66298791232937</v>
      </c>
      <c r="D5138" s="1" t="str">
        <f>"12496NACP"</f>
        <v>12496NACP</v>
      </c>
      <c r="E5138" s="1" t="s">
        <v>4566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1</v>
      </c>
    </row>
    <row r="5139" spans="1:11" x14ac:dyDescent="0.2">
      <c r="A5139" s="1" t="s">
        <v>141</v>
      </c>
      <c r="B5139" s="1" t="s">
        <v>167</v>
      </c>
      <c r="C5139" s="1" t="str">
        <f>"66298791273388"</f>
        <v>66298791273388</v>
      </c>
      <c r="D5139" s="1" t="str">
        <f>"AMP-T13"</f>
        <v>AMP-T13</v>
      </c>
      <c r="E5139" s="1" t="s">
        <v>4566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</row>
    <row r="5140" spans="1:11" x14ac:dyDescent="0.2">
      <c r="A5140" s="1" t="s">
        <v>141</v>
      </c>
      <c r="B5140" s="1" t="s">
        <v>168</v>
      </c>
      <c r="C5140" s="1" t="str">
        <f>"66298791313891"</f>
        <v>66298791313891</v>
      </c>
      <c r="D5140" s="1" t="str">
        <f>"VF027"</f>
        <v>VF027</v>
      </c>
      <c r="E5140" s="1" t="s">
        <v>4566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</row>
    <row r="5141" spans="1:11" x14ac:dyDescent="0.2">
      <c r="A5141" s="1" t="s">
        <v>141</v>
      </c>
      <c r="B5141" s="1" t="s">
        <v>169</v>
      </c>
      <c r="C5141" s="1" t="str">
        <f>"66298791356474"</f>
        <v>66298791356474</v>
      </c>
      <c r="D5141" s="1" t="str">
        <f>"504"</f>
        <v>504</v>
      </c>
      <c r="E5141" s="1" t="s">
        <v>4566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1</v>
      </c>
    </row>
    <row r="5142" spans="1:11" x14ac:dyDescent="0.2">
      <c r="A5142" s="1" t="s">
        <v>141</v>
      </c>
      <c r="B5142" s="1" t="s">
        <v>170</v>
      </c>
      <c r="C5142" s="1" t="str">
        <f>"66298791397313"</f>
        <v>66298791397313</v>
      </c>
      <c r="D5142" s="1" t="str">
        <f>"L10AF"</f>
        <v>L10AF</v>
      </c>
      <c r="E5142" s="1" t="s">
        <v>4566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</row>
    <row r="5143" spans="1:11" x14ac:dyDescent="0.2">
      <c r="A5143" s="1" t="s">
        <v>141</v>
      </c>
      <c r="B5143" s="1" t="s">
        <v>171</v>
      </c>
      <c r="C5143" s="1" t="str">
        <f>"66298791437612"</f>
        <v>66298791437612</v>
      </c>
      <c r="D5143" s="1" t="str">
        <f>"L10R"</f>
        <v>L10R</v>
      </c>
      <c r="E5143" s="1" t="s">
        <v>4566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</row>
    <row r="5144" spans="1:11" x14ac:dyDescent="0.2">
      <c r="A5144" s="1" t="s">
        <v>141</v>
      </c>
      <c r="B5144" s="1" t="s">
        <v>172</v>
      </c>
      <c r="C5144" s="1" t="str">
        <f>"66298791486656"</f>
        <v>66298791486656</v>
      </c>
      <c r="D5144" s="1" t="str">
        <f>"L0103B"</f>
        <v>L0103B</v>
      </c>
      <c r="E5144" s="1" t="s">
        <v>4566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</row>
    <row r="5145" spans="1:11" ht="30" x14ac:dyDescent="0.2">
      <c r="A5145" s="1" t="s">
        <v>141</v>
      </c>
      <c r="B5145" s="1" t="s">
        <v>173</v>
      </c>
      <c r="C5145" s="1" t="str">
        <f>"66298791589185"</f>
        <v>66298791589185</v>
      </c>
      <c r="D5145" s="1" t="str">
        <f>"12499CP"</f>
        <v>12499CP</v>
      </c>
      <c r="E5145" s="1" t="s">
        <v>4566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1</v>
      </c>
    </row>
    <row r="5146" spans="1:11" x14ac:dyDescent="0.2">
      <c r="A5146" s="1" t="s">
        <v>141</v>
      </c>
      <c r="B5146" s="1" t="s">
        <v>174</v>
      </c>
      <c r="C5146" s="1" t="str">
        <f>"66298791633549"</f>
        <v>66298791633549</v>
      </c>
      <c r="D5146" s="1" t="str">
        <f>"400165"</f>
        <v>400165</v>
      </c>
      <c r="E5146" s="1" t="s">
        <v>4566</v>
      </c>
      <c r="F5146" s="1">
        <v>1210</v>
      </c>
      <c r="G5146" s="1">
        <v>57</v>
      </c>
      <c r="H5146" s="1">
        <v>68970</v>
      </c>
      <c r="I5146" s="1">
        <v>0</v>
      </c>
      <c r="J5146" s="1">
        <v>1210</v>
      </c>
      <c r="K5146" s="1">
        <v>0</v>
      </c>
    </row>
    <row r="5147" spans="1:11" x14ac:dyDescent="0.2">
      <c r="A5147" s="1" t="s">
        <v>141</v>
      </c>
      <c r="B5147" s="1" t="s">
        <v>175</v>
      </c>
      <c r="C5147" s="1" t="str">
        <f>"66298791673488"</f>
        <v>66298791673488</v>
      </c>
      <c r="D5147" s="1" t="str">
        <f>"8134R"</f>
        <v>8134R</v>
      </c>
      <c r="E5147" s="1" t="s">
        <v>4566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</row>
    <row r="5148" spans="1:11" x14ac:dyDescent="0.2">
      <c r="A5148" s="1" t="s">
        <v>141</v>
      </c>
      <c r="B5148" s="1" t="s">
        <v>176</v>
      </c>
      <c r="C5148" s="1" t="str">
        <f>"66298791529843"</f>
        <v>66298791529843</v>
      </c>
      <c r="D5148" s="1" t="str">
        <f>"8134"</f>
        <v>8134</v>
      </c>
      <c r="E5148" s="1" t="s">
        <v>4566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1</v>
      </c>
    </row>
    <row r="5149" spans="1:11" x14ac:dyDescent="0.2">
      <c r="A5149" s="1" t="s">
        <v>141</v>
      </c>
      <c r="B5149" s="1" t="s">
        <v>176</v>
      </c>
      <c r="C5149" s="1" t="str">
        <f>"66298791535267"</f>
        <v>66298791535267</v>
      </c>
      <c r="D5149" s="1" t="str">
        <f>"8134F"</f>
        <v>8134F</v>
      </c>
      <c r="E5149" s="1" t="s">
        <v>4566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1</v>
      </c>
    </row>
    <row r="5150" spans="1:11" x14ac:dyDescent="0.2">
      <c r="A5150" s="1" t="s">
        <v>141</v>
      </c>
      <c r="B5150" s="1" t="s">
        <v>177</v>
      </c>
      <c r="C5150" s="1" t="str">
        <f>"66298791714436"</f>
        <v>66298791714436</v>
      </c>
      <c r="D5150" s="1" t="str">
        <f>"0238"</f>
        <v>0238</v>
      </c>
      <c r="E5150" s="1" t="s">
        <v>4566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</row>
    <row r="5151" spans="1:11" x14ac:dyDescent="0.2">
      <c r="A5151" s="1" t="s">
        <v>141</v>
      </c>
      <c r="B5151" s="1" t="s">
        <v>178</v>
      </c>
      <c r="C5151" s="1" t="str">
        <f>"66298791758169"</f>
        <v>66298791758169</v>
      </c>
      <c r="D5151" s="1" t="str">
        <f>"515152"</f>
        <v>515152</v>
      </c>
      <c r="E5151" s="1" t="s">
        <v>4566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1</v>
      </c>
    </row>
    <row r="5152" spans="1:11" x14ac:dyDescent="0.2">
      <c r="A5152" s="1" t="s">
        <v>141</v>
      </c>
      <c r="B5152" s="1" t="s">
        <v>179</v>
      </c>
      <c r="C5152" s="1" t="str">
        <f>"66298791800422"</f>
        <v>66298791800422</v>
      </c>
      <c r="D5152" s="1" t="str">
        <f>"400577"</f>
        <v>400577</v>
      </c>
      <c r="E5152" s="1" t="s">
        <v>4566</v>
      </c>
      <c r="F5152" s="1">
        <v>488</v>
      </c>
      <c r="G5152" s="1">
        <v>1436</v>
      </c>
      <c r="H5152" s="1">
        <v>700768</v>
      </c>
      <c r="I5152" s="1">
        <v>0</v>
      </c>
      <c r="J5152" s="1">
        <v>488</v>
      </c>
      <c r="K5152" s="1">
        <v>1</v>
      </c>
    </row>
    <row r="5153" spans="1:11" ht="30" x14ac:dyDescent="0.2">
      <c r="A5153" s="1" t="s">
        <v>141</v>
      </c>
      <c r="B5153" s="1" t="s">
        <v>180</v>
      </c>
      <c r="C5153" s="1" t="str">
        <f>"66298791838956"</f>
        <v>66298791838956</v>
      </c>
      <c r="D5153" s="1" t="str">
        <f>"400578"</f>
        <v>400578</v>
      </c>
      <c r="E5153" s="1" t="s">
        <v>4566</v>
      </c>
      <c r="F5153" s="1">
        <v>448</v>
      </c>
      <c r="G5153" s="1">
        <v>1437</v>
      </c>
      <c r="H5153" s="1">
        <v>643776</v>
      </c>
      <c r="I5153" s="1">
        <v>0</v>
      </c>
      <c r="J5153" s="1">
        <v>448</v>
      </c>
      <c r="K5153" s="1">
        <v>1</v>
      </c>
    </row>
    <row r="5154" spans="1:11" x14ac:dyDescent="0.2">
      <c r="A5154" s="1" t="s">
        <v>141</v>
      </c>
      <c r="B5154" s="1" t="s">
        <v>181</v>
      </c>
      <c r="C5154" s="1" t="str">
        <f>"135024"</f>
        <v>135024</v>
      </c>
      <c r="D5154" s="1" t="str">
        <f>"135024"</f>
        <v>135024</v>
      </c>
      <c r="E5154" s="1" t="s">
        <v>4566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1</v>
      </c>
    </row>
    <row r="5155" spans="1:11" x14ac:dyDescent="0.2">
      <c r="A5155" s="1" t="s">
        <v>141</v>
      </c>
      <c r="B5155" s="1" t="s">
        <v>182</v>
      </c>
      <c r="C5155" s="1" t="str">
        <f>"128677"</f>
        <v>128677</v>
      </c>
      <c r="D5155" s="1" t="str">
        <f>"128677"</f>
        <v>128677</v>
      </c>
      <c r="E5155" s="1" t="s">
        <v>4566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</row>
    <row r="5156" spans="1:11" x14ac:dyDescent="0.2">
      <c r="A5156" s="1" t="s">
        <v>183</v>
      </c>
      <c r="B5156" s="1" t="s">
        <v>184</v>
      </c>
      <c r="C5156" s="1" t="str">
        <f>"51028-STD"</f>
        <v>51028-STD</v>
      </c>
      <c r="D5156" s="1" t="str">
        <f>"51028-STD"</f>
        <v>51028-STD</v>
      </c>
      <c r="E5156" s="1" t="s">
        <v>4566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</row>
    <row r="5157" spans="1:11" x14ac:dyDescent="0.2">
      <c r="A5157" s="1" t="s">
        <v>183</v>
      </c>
      <c r="B5157" s="1" t="s">
        <v>185</v>
      </c>
      <c r="C5157" s="1" t="str">
        <f>"66298791880282"</f>
        <v>66298791880282</v>
      </c>
      <c r="D5157" s="1" t="str">
        <f>"12140-19B10-SJP"</f>
        <v>12140-19B10-SJP</v>
      </c>
      <c r="E5157" s="1" t="s">
        <v>4566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</row>
    <row r="5158" spans="1:11" x14ac:dyDescent="0.2">
      <c r="A5158" s="1" t="s">
        <v>183</v>
      </c>
      <c r="B5158" s="1" t="s">
        <v>186</v>
      </c>
      <c r="C5158" s="1" t="str">
        <f>"66298791926684"</f>
        <v>66298791926684</v>
      </c>
      <c r="D5158" s="1" t="str">
        <f>"12140H3E000H000"</f>
        <v>12140H3E000H000</v>
      </c>
      <c r="E5158" s="1" t="s">
        <v>4566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</row>
    <row r="5159" spans="1:11" x14ac:dyDescent="0.2">
      <c r="A5159" s="1" t="s">
        <v>183</v>
      </c>
      <c r="B5159" s="1" t="s">
        <v>187</v>
      </c>
      <c r="C5159" s="1" t="str">
        <f>"66298791971324"</f>
        <v>66298791971324</v>
      </c>
      <c r="D5159" s="1" t="str">
        <f>"13011-KVC-890JP"</f>
        <v>13011-KVC-890JP</v>
      </c>
      <c r="E5159" s="1" t="s">
        <v>4566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</row>
    <row r="5160" spans="1:11" x14ac:dyDescent="0.2">
      <c r="A5160" s="1" t="s">
        <v>183</v>
      </c>
      <c r="B5160" s="1" t="s">
        <v>188</v>
      </c>
      <c r="C5160" s="1" t="str">
        <f>"66298792011649"</f>
        <v>66298792011649</v>
      </c>
      <c r="D5160" s="1" t="str">
        <f>"13013-KT1-306JP"</f>
        <v>13013-KT1-306JP</v>
      </c>
      <c r="E5160" s="1" t="s">
        <v>4566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</row>
    <row r="5161" spans="1:11" x14ac:dyDescent="0.2">
      <c r="A5161" s="1" t="s">
        <v>183</v>
      </c>
      <c r="B5161" s="1" t="s">
        <v>189</v>
      </c>
      <c r="C5161" s="1" t="str">
        <f>"66298792049420"</f>
        <v>66298792049420</v>
      </c>
      <c r="D5161" s="1" t="str">
        <f>"13015-KT1-306JP"</f>
        <v>13015-KT1-306JP</v>
      </c>
      <c r="E5161" s="1" t="s">
        <v>4566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</row>
    <row r="5162" spans="1:11" x14ac:dyDescent="0.2">
      <c r="A5162" s="1" t="s">
        <v>183</v>
      </c>
      <c r="B5162" s="1" t="s">
        <v>190</v>
      </c>
      <c r="C5162" s="1" t="str">
        <f>"66298792093046"</f>
        <v>66298792093046</v>
      </c>
      <c r="D5162" s="1" t="str">
        <f>"13011-MN1-305JP"</f>
        <v>13011-MN1-305JP</v>
      </c>
      <c r="E5162" s="1" t="s">
        <v>4566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</row>
    <row r="5163" spans="1:11" x14ac:dyDescent="0.2">
      <c r="A5163" s="1" t="s">
        <v>18</v>
      </c>
      <c r="B5163" s="1" t="s">
        <v>191</v>
      </c>
      <c r="C5163" s="1" t="str">
        <f>"R045"</f>
        <v>R045</v>
      </c>
      <c r="D5163" s="1" t="str">
        <f>"R045"</f>
        <v>R045</v>
      </c>
      <c r="E5163" s="1" t="s">
        <v>4566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</row>
    <row r="5164" spans="1:11" x14ac:dyDescent="0.2">
      <c r="A5164" s="1" t="s">
        <v>18</v>
      </c>
      <c r="B5164" s="1" t="s">
        <v>192</v>
      </c>
      <c r="C5164" s="1" t="str">
        <f>"R045-A"</f>
        <v>R045-A</v>
      </c>
      <c r="D5164" s="1" t="str">
        <f>"R045-A"</f>
        <v>R045-A</v>
      </c>
      <c r="E5164" s="1" t="s">
        <v>4566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</row>
    <row r="5165" spans="1:11" x14ac:dyDescent="0.2">
      <c r="A5165" s="1" t="s">
        <v>18</v>
      </c>
      <c r="B5165" s="1" t="s">
        <v>193</v>
      </c>
      <c r="C5165" s="1" t="str">
        <f>"2319"</f>
        <v>2319</v>
      </c>
      <c r="D5165" s="1" t="str">
        <f>"2319"</f>
        <v>2319</v>
      </c>
      <c r="E5165" s="1" t="s">
        <v>4566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</row>
    <row r="5166" spans="1:11" x14ac:dyDescent="0.2">
      <c r="A5166" s="1" t="s">
        <v>18</v>
      </c>
      <c r="B5166" s="1" t="s">
        <v>194</v>
      </c>
      <c r="C5166" s="1" t="str">
        <f>"WF034"</f>
        <v>WF034</v>
      </c>
      <c r="D5166" s="1" t="str">
        <f>"WF034"</f>
        <v>WF034</v>
      </c>
      <c r="E5166" s="1" t="s">
        <v>4566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</row>
    <row r="5167" spans="1:11" x14ac:dyDescent="0.2">
      <c r="A5167" s="1" t="s">
        <v>18</v>
      </c>
      <c r="B5167" s="1" t="s">
        <v>194</v>
      </c>
      <c r="C5167" s="1" t="str">
        <f>"WF038"</f>
        <v>WF038</v>
      </c>
      <c r="D5167" s="1" t="str">
        <f>"WF038"</f>
        <v>WF038</v>
      </c>
      <c r="E5167" s="1" t="s">
        <v>4566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</row>
    <row r="5168" spans="1:11" x14ac:dyDescent="0.2">
      <c r="A5168" s="1" t="s">
        <v>195</v>
      </c>
      <c r="B5168" s="1" t="s">
        <v>196</v>
      </c>
      <c r="C5168" s="1" t="str">
        <f>"BK010"</f>
        <v>BK010</v>
      </c>
      <c r="D5168" s="1" t="str">
        <f>"BK010"</f>
        <v>BK010</v>
      </c>
      <c r="E5168" s="1" t="s">
        <v>4566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</row>
    <row r="5169" spans="1:11" x14ac:dyDescent="0.2">
      <c r="A5169" s="1" t="s">
        <v>195</v>
      </c>
      <c r="B5169" s="1" t="s">
        <v>197</v>
      </c>
      <c r="C5169" s="1" t="str">
        <f>"BK082"</f>
        <v>BK082</v>
      </c>
      <c r="D5169" s="1" t="str">
        <f>"BK082"</f>
        <v>BK082</v>
      </c>
      <c r="E5169" s="1" t="s">
        <v>4566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</row>
    <row r="5170" spans="1:11" x14ac:dyDescent="0.2">
      <c r="A5170" s="1" t="s">
        <v>198</v>
      </c>
      <c r="B5170" s="1" t="s">
        <v>199</v>
      </c>
      <c r="C5170" s="1" t="str">
        <f>"66298792174431"</f>
        <v>66298792174431</v>
      </c>
      <c r="D5170" s="1" t="str">
        <f>"82044"</f>
        <v>82044</v>
      </c>
      <c r="E5170" s="1" t="s">
        <v>4566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</row>
    <row r="5171" spans="1:11" x14ac:dyDescent="0.2">
      <c r="A5171" s="1" t="s">
        <v>198</v>
      </c>
      <c r="B5171" s="1" t="s">
        <v>200</v>
      </c>
      <c r="C5171" s="1" t="str">
        <f>"66298792218736"</f>
        <v>66298792218736</v>
      </c>
      <c r="D5171" s="1" t="str">
        <f>"82045"</f>
        <v>82045</v>
      </c>
      <c r="E5171" s="1" t="s">
        <v>4566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</row>
    <row r="5172" spans="1:11" x14ac:dyDescent="0.2">
      <c r="A5172" s="1" t="s">
        <v>198</v>
      </c>
      <c r="B5172" s="1" t="s">
        <v>201</v>
      </c>
      <c r="C5172" s="1" t="str">
        <f>"66298792261874"</f>
        <v>66298792261874</v>
      </c>
      <c r="D5172" s="1" t="str">
        <f>"82040"</f>
        <v>82040</v>
      </c>
      <c r="E5172" s="1" t="s">
        <v>4566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</row>
    <row r="5173" spans="1:11" x14ac:dyDescent="0.2">
      <c r="A5173" s="1" t="s">
        <v>198</v>
      </c>
      <c r="B5173" s="1" t="s">
        <v>202</v>
      </c>
      <c r="C5173" s="1" t="str">
        <f>"66298792302619"</f>
        <v>66298792302619</v>
      </c>
      <c r="D5173" s="1" t="str">
        <f>"82041"</f>
        <v>82041</v>
      </c>
      <c r="E5173" s="1" t="s">
        <v>4566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</row>
    <row r="5174" spans="1:11" x14ac:dyDescent="0.2">
      <c r="A5174" s="1" t="s">
        <v>198</v>
      </c>
      <c r="B5174" s="1" t="s">
        <v>203</v>
      </c>
      <c r="C5174" s="1" t="str">
        <f>"66298792343614"</f>
        <v>66298792343614</v>
      </c>
      <c r="D5174" s="1" t="str">
        <f>"82042"</f>
        <v>82042</v>
      </c>
      <c r="E5174" s="1" t="s">
        <v>4566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</row>
    <row r="5175" spans="1:11" x14ac:dyDescent="0.2">
      <c r="A5175" s="1" t="s">
        <v>204</v>
      </c>
      <c r="B5175" s="1" t="s">
        <v>205</v>
      </c>
      <c r="C5175" s="1" t="str">
        <f>"66298792387580"</f>
        <v>66298792387580</v>
      </c>
      <c r="D5175" s="1" t="str">
        <f>"PP-30105-022JP"</f>
        <v>PP-30105-022JP</v>
      </c>
      <c r="E5175" s="1" t="s">
        <v>4566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</row>
    <row r="5176" spans="1:11" x14ac:dyDescent="0.2">
      <c r="A5176" s="1" t="s">
        <v>204</v>
      </c>
      <c r="B5176" s="1" t="s">
        <v>206</v>
      </c>
      <c r="C5176" s="1" t="str">
        <f>"66298792429596"</f>
        <v>66298792429596</v>
      </c>
      <c r="D5176" s="1" t="str">
        <f>"14431-397-310"</f>
        <v>14431-397-310</v>
      </c>
      <c r="E5176" s="1" t="s">
        <v>4566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</row>
    <row r="5177" spans="1:11" x14ac:dyDescent="0.2">
      <c r="A5177" s="1" t="s">
        <v>204</v>
      </c>
      <c r="B5177" s="1" t="s">
        <v>207</v>
      </c>
      <c r="C5177" s="1" t="str">
        <f>"66298792464425"</f>
        <v>66298792464425</v>
      </c>
      <c r="D5177" s="1" t="str">
        <f>"12850-25C00JP"</f>
        <v>12850-25C00JP</v>
      </c>
      <c r="E5177" s="1" t="s">
        <v>4566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</row>
    <row r="5178" spans="1:11" ht="30" x14ac:dyDescent="0.2">
      <c r="A5178" s="1" t="s">
        <v>204</v>
      </c>
      <c r="B5178" s="1" t="s">
        <v>208</v>
      </c>
      <c r="C5178" s="1" t="str">
        <f>"66298792505817"</f>
        <v>66298792505817</v>
      </c>
      <c r="D5178" s="1" t="str">
        <f>"12840-20G20JP"</f>
        <v>12840-20G20JP</v>
      </c>
      <c r="E5178" s="1" t="s">
        <v>4566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</row>
    <row r="5179" spans="1:11" x14ac:dyDescent="0.2">
      <c r="A5179" s="1" t="s">
        <v>204</v>
      </c>
      <c r="B5179" s="1" t="s">
        <v>209</v>
      </c>
      <c r="C5179" s="1" t="str">
        <f>"66298792550046"</f>
        <v>66298792550046</v>
      </c>
      <c r="D5179" s="1" t="str">
        <f>"21C-E2151-00JP"</f>
        <v>21C-E2151-00JP</v>
      </c>
      <c r="E5179" s="1" t="s">
        <v>4566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</row>
    <row r="5180" spans="1:11" x14ac:dyDescent="0.2">
      <c r="A5180" s="1" t="s">
        <v>204</v>
      </c>
      <c r="B5180" s="1" t="s">
        <v>210</v>
      </c>
      <c r="C5180" s="1" t="str">
        <f>"66298792588913"</f>
        <v>66298792588913</v>
      </c>
      <c r="D5180" s="1" t="str">
        <f>"JD-5112-07"</f>
        <v>JD-5112-07</v>
      </c>
      <c r="E5180" s="1" t="s">
        <v>4566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</row>
    <row r="5181" spans="1:11" x14ac:dyDescent="0.2">
      <c r="A5181" s="1" t="s">
        <v>204</v>
      </c>
      <c r="B5181" s="1" t="s">
        <v>211</v>
      </c>
      <c r="C5181" s="1" t="str">
        <f>"66298792626092"</f>
        <v>66298792626092</v>
      </c>
      <c r="D5181" s="1" t="str">
        <f>"DS-1013-33"</f>
        <v>DS-1013-33</v>
      </c>
      <c r="E5181" s="1" t="s">
        <v>4566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</row>
    <row r="5182" spans="1:11" x14ac:dyDescent="0.2">
      <c r="A5182" s="1" t="s">
        <v>204</v>
      </c>
      <c r="B5182" s="1" t="s">
        <v>212</v>
      </c>
      <c r="C5182" s="1" t="str">
        <f>"66298792663953"</f>
        <v>66298792663953</v>
      </c>
      <c r="D5182" s="1" t="str">
        <f>"14431-KVC-900JP"</f>
        <v>14431-KVC-900JP</v>
      </c>
      <c r="E5182" s="1" t="s">
        <v>4566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</row>
    <row r="5183" spans="1:11" x14ac:dyDescent="0.2">
      <c r="A5183" s="1" t="s">
        <v>204</v>
      </c>
      <c r="B5183" s="1" t="s">
        <v>213</v>
      </c>
      <c r="C5183" s="1" t="str">
        <f>"66298792707258"</f>
        <v>66298792707258</v>
      </c>
      <c r="D5183" s="1" t="str">
        <f>"5D9-E2151-00JP"</f>
        <v>5D9-E2151-00JP</v>
      </c>
      <c r="E5183" s="1" t="s">
        <v>4566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</row>
    <row r="5184" spans="1:11" x14ac:dyDescent="0.2">
      <c r="A5184" s="1" t="s">
        <v>204</v>
      </c>
      <c r="B5184" s="1" t="s">
        <v>214</v>
      </c>
      <c r="C5184" s="1" t="str">
        <f>"66298792748292"</f>
        <v>66298792748292</v>
      </c>
      <c r="D5184" s="1" t="str">
        <f>"14431-383-000JP"</f>
        <v>14431-383-000JP</v>
      </c>
      <c r="E5184" s="1" t="s">
        <v>4566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</row>
    <row r="5185" spans="1:11" x14ac:dyDescent="0.2">
      <c r="A5185" s="1" t="s">
        <v>204</v>
      </c>
      <c r="B5185" s="1" t="s">
        <v>215</v>
      </c>
      <c r="C5185" s="1" t="str">
        <f>"66298792784535"</f>
        <v>66298792784535</v>
      </c>
      <c r="D5185" s="1" t="str">
        <f>"29U-12151-00JP"</f>
        <v>29U-12151-00JP</v>
      </c>
      <c r="E5185" s="1" t="s">
        <v>4566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</row>
    <row r="5186" spans="1:11" x14ac:dyDescent="0.2">
      <c r="A5186" s="1" t="s">
        <v>204</v>
      </c>
      <c r="B5186" s="1" t="s">
        <v>216</v>
      </c>
      <c r="C5186" s="1" t="str">
        <f>"66298792824285"</f>
        <v>66298792824285</v>
      </c>
      <c r="D5186" s="1" t="str">
        <f>"5YY-E2151-00JP"</f>
        <v>5YY-E2151-00JP</v>
      </c>
      <c r="E5186" s="1" t="s">
        <v>4566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</row>
    <row r="5187" spans="1:11" x14ac:dyDescent="0.2">
      <c r="A5187" s="1" t="s">
        <v>204</v>
      </c>
      <c r="B5187" s="1" t="s">
        <v>217</v>
      </c>
      <c r="C5187" s="1" t="str">
        <f>"66298792866188"</f>
        <v>66298792866188</v>
      </c>
      <c r="D5187" s="1" t="str">
        <f>"14441-KR0-000"</f>
        <v>14441-KR0-000</v>
      </c>
      <c r="E5187" s="1" t="s">
        <v>4566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</row>
    <row r="5188" spans="1:11" ht="30" x14ac:dyDescent="0.2">
      <c r="A5188" s="1" t="s">
        <v>204</v>
      </c>
      <c r="B5188" s="1" t="s">
        <v>218</v>
      </c>
      <c r="C5188" s="1" t="str">
        <f>"66298792909139"</f>
        <v>66298792909139</v>
      </c>
      <c r="D5188" s="1" t="str">
        <f>"400972"</f>
        <v>400972</v>
      </c>
      <c r="E5188" s="1" t="s">
        <v>4566</v>
      </c>
      <c r="F5188" s="1">
        <v>71</v>
      </c>
      <c r="G5188" s="1">
        <v>6950</v>
      </c>
      <c r="H5188" s="1">
        <v>493450</v>
      </c>
      <c r="I5188" s="1">
        <v>0</v>
      </c>
      <c r="J5188" s="1">
        <v>71</v>
      </c>
      <c r="K5188" s="1">
        <v>0</v>
      </c>
    </row>
    <row r="5189" spans="1:11" x14ac:dyDescent="0.2">
      <c r="A5189" s="1" t="s">
        <v>204</v>
      </c>
      <c r="B5189" s="1" t="s">
        <v>219</v>
      </c>
      <c r="C5189" s="1" t="str">
        <f>"66298792946951"</f>
        <v>66298792946951</v>
      </c>
      <c r="D5189" s="1" t="str">
        <f>"EVO-30105-022JP"</f>
        <v>EVO-30105-022JP</v>
      </c>
      <c r="E5189" s="1" t="s">
        <v>4566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</row>
    <row r="5190" spans="1:11" x14ac:dyDescent="0.2">
      <c r="A5190" s="1" t="s">
        <v>204</v>
      </c>
      <c r="B5190" s="1" t="s">
        <v>219</v>
      </c>
      <c r="C5190" s="1" t="str">
        <f>"DE029"</f>
        <v>DE029</v>
      </c>
      <c r="D5190" s="1" t="str">
        <f>"DE029"</f>
        <v>DE029</v>
      </c>
      <c r="E5190" s="1" t="s">
        <v>4566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</row>
    <row r="5191" spans="1:11" ht="30" x14ac:dyDescent="0.2">
      <c r="A5191" s="1" t="s">
        <v>204</v>
      </c>
      <c r="B5191" s="1" t="s">
        <v>220</v>
      </c>
      <c r="C5191" s="1" t="str">
        <f>"66298792984030"</f>
        <v>66298792984030</v>
      </c>
      <c r="D5191" s="1" t="str">
        <f>"400973"</f>
        <v>400973</v>
      </c>
      <c r="E5191" s="1" t="s">
        <v>4566</v>
      </c>
      <c r="F5191" s="1">
        <v>12</v>
      </c>
      <c r="G5191" s="1">
        <v>1666</v>
      </c>
      <c r="H5191" s="1">
        <v>19992</v>
      </c>
      <c r="I5191" s="1">
        <v>0</v>
      </c>
      <c r="J5191" s="1">
        <v>12</v>
      </c>
      <c r="K5191" s="1">
        <v>0</v>
      </c>
    </row>
    <row r="5192" spans="1:11" x14ac:dyDescent="0.2">
      <c r="A5192" s="1" t="s">
        <v>204</v>
      </c>
      <c r="B5192" s="1" t="s">
        <v>221</v>
      </c>
      <c r="C5192" s="1" t="str">
        <f>"66298793023787"</f>
        <v>66298793023787</v>
      </c>
      <c r="D5192" s="1" t="str">
        <f>"12840-25C00JP"</f>
        <v>12840-25C00JP</v>
      </c>
      <c r="E5192" s="1" t="s">
        <v>4566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</row>
    <row r="5193" spans="1:11" x14ac:dyDescent="0.2">
      <c r="A5193" s="1" t="s">
        <v>204</v>
      </c>
      <c r="B5193" s="1" t="s">
        <v>222</v>
      </c>
      <c r="C5193" s="1" t="str">
        <f>"66298793065656"</f>
        <v>66298793065656</v>
      </c>
      <c r="D5193" s="1" t="str">
        <f>"400958"</f>
        <v>400958</v>
      </c>
      <c r="E5193" s="1" t="s">
        <v>4566</v>
      </c>
      <c r="F5193" s="1">
        <v>50</v>
      </c>
      <c r="G5193" s="1">
        <v>1425</v>
      </c>
      <c r="H5193" s="1">
        <v>71250</v>
      </c>
      <c r="I5193" s="1">
        <v>0</v>
      </c>
      <c r="J5193" s="1">
        <v>50</v>
      </c>
      <c r="K5193" s="1">
        <v>0</v>
      </c>
    </row>
    <row r="5194" spans="1:11" x14ac:dyDescent="0.2">
      <c r="A5194" s="1" t="s">
        <v>204</v>
      </c>
      <c r="B5194" s="1" t="s">
        <v>223</v>
      </c>
      <c r="C5194" s="1" t="str">
        <f>"66298793151609"</f>
        <v>66298793151609</v>
      </c>
      <c r="D5194" s="1" t="str">
        <f>"400960"</f>
        <v>400960</v>
      </c>
      <c r="E5194" s="1" t="s">
        <v>4566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</row>
    <row r="5195" spans="1:11" ht="30" x14ac:dyDescent="0.2">
      <c r="A5195" s="1" t="s">
        <v>204</v>
      </c>
      <c r="B5195" s="1" t="s">
        <v>224</v>
      </c>
      <c r="C5195" s="1" t="str">
        <f>"66298793106096"</f>
        <v>66298793106096</v>
      </c>
      <c r="D5195" s="1" t="str">
        <f>"400961"</f>
        <v>400961</v>
      </c>
      <c r="E5195" s="1" t="s">
        <v>4566</v>
      </c>
      <c r="F5195" s="1">
        <v>50</v>
      </c>
      <c r="G5195" s="1">
        <v>4061</v>
      </c>
      <c r="H5195" s="1">
        <v>203050</v>
      </c>
      <c r="I5195" s="1">
        <v>0</v>
      </c>
      <c r="J5195" s="1">
        <v>50</v>
      </c>
      <c r="K5195" s="1">
        <v>0</v>
      </c>
    </row>
    <row r="5196" spans="1:11" ht="30" x14ac:dyDescent="0.2">
      <c r="A5196" s="1" t="s">
        <v>204</v>
      </c>
      <c r="B5196" s="1" t="s">
        <v>225</v>
      </c>
      <c r="C5196" s="1" t="str">
        <f>"66298793191112"</f>
        <v>66298793191112</v>
      </c>
      <c r="D5196" s="1" t="str">
        <f>"400962"</f>
        <v>400962</v>
      </c>
      <c r="E5196" s="1" t="s">
        <v>4566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</row>
    <row r="5197" spans="1:11" x14ac:dyDescent="0.2">
      <c r="A5197" s="1" t="s">
        <v>204</v>
      </c>
      <c r="B5197" s="1" t="s">
        <v>226</v>
      </c>
      <c r="C5197" s="1" t="str">
        <f>"66298793235544"</f>
        <v>66298793235544</v>
      </c>
      <c r="D5197" s="1" t="str">
        <f>"14431-035-020JP"</f>
        <v>14431-035-020JP</v>
      </c>
      <c r="E5197" s="1" t="s">
        <v>4566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</row>
    <row r="5198" spans="1:11" ht="30" x14ac:dyDescent="0.2">
      <c r="A5198" s="1" t="s">
        <v>204</v>
      </c>
      <c r="B5198" s="1" t="s">
        <v>227</v>
      </c>
      <c r="C5198" s="1" t="str">
        <f>"66298793272731"</f>
        <v>66298793272731</v>
      </c>
      <c r="D5198" s="1" t="str">
        <f>"401049"</f>
        <v>401049</v>
      </c>
      <c r="E5198" s="1" t="s">
        <v>4566</v>
      </c>
      <c r="F5198" s="1">
        <v>48</v>
      </c>
      <c r="G5198" s="1">
        <v>1695</v>
      </c>
      <c r="H5198" s="1">
        <v>81360</v>
      </c>
      <c r="I5198" s="1">
        <v>0</v>
      </c>
      <c r="J5198" s="1">
        <v>48</v>
      </c>
      <c r="K5198" s="1">
        <v>0</v>
      </c>
    </row>
    <row r="5199" spans="1:11" x14ac:dyDescent="0.2">
      <c r="A5199" s="1" t="s">
        <v>204</v>
      </c>
      <c r="B5199" s="1" t="s">
        <v>228</v>
      </c>
      <c r="C5199" s="1" t="str">
        <f>"66298793312333"</f>
        <v>66298793312333</v>
      </c>
      <c r="D5199" s="1" t="str">
        <f>"400964"</f>
        <v>400964</v>
      </c>
      <c r="E5199" s="1" t="s">
        <v>4566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</row>
    <row r="5200" spans="1:11" x14ac:dyDescent="0.2">
      <c r="A5200" s="1" t="s">
        <v>204</v>
      </c>
      <c r="B5200" s="1" t="s">
        <v>229</v>
      </c>
      <c r="C5200" s="1" t="str">
        <f>"66298793356420"</f>
        <v>66298793356420</v>
      </c>
      <c r="D5200" s="1" t="str">
        <f>"400965"</f>
        <v>400965</v>
      </c>
      <c r="E5200" s="1" t="s">
        <v>4566</v>
      </c>
      <c r="F5200" s="1">
        <v>50</v>
      </c>
      <c r="G5200" s="1">
        <v>4079</v>
      </c>
      <c r="H5200" s="1">
        <v>203950</v>
      </c>
      <c r="I5200" s="1">
        <v>0</v>
      </c>
      <c r="J5200" s="1">
        <v>50</v>
      </c>
      <c r="K5200" s="1">
        <v>0</v>
      </c>
    </row>
    <row r="5201" spans="1:11" x14ac:dyDescent="0.2">
      <c r="A5201" s="1" t="s">
        <v>204</v>
      </c>
      <c r="B5201" s="1" t="s">
        <v>230</v>
      </c>
      <c r="C5201" s="1" t="str">
        <f>"66298793395124"</f>
        <v>66298793395124</v>
      </c>
      <c r="D5201" s="1" t="str">
        <f>"400970"</f>
        <v>400970</v>
      </c>
      <c r="E5201" s="1" t="s">
        <v>4566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</row>
    <row r="5202" spans="1:11" x14ac:dyDescent="0.2">
      <c r="A5202" s="1" t="s">
        <v>204</v>
      </c>
      <c r="B5202" s="1" t="s">
        <v>231</v>
      </c>
      <c r="C5202" s="1" t="str">
        <f>"66298793432571"</f>
        <v>66298793432571</v>
      </c>
      <c r="D5202" s="1" t="str">
        <f>"400101"</f>
        <v>400101</v>
      </c>
      <c r="E5202" s="1" t="s">
        <v>4566</v>
      </c>
      <c r="F5202" s="1">
        <v>75</v>
      </c>
      <c r="G5202" s="1">
        <v>1546</v>
      </c>
      <c r="H5202" s="1">
        <v>115950</v>
      </c>
      <c r="I5202" s="1">
        <v>0</v>
      </c>
      <c r="J5202" s="1">
        <v>75</v>
      </c>
      <c r="K5202" s="1">
        <v>0</v>
      </c>
    </row>
    <row r="5203" spans="1:11" x14ac:dyDescent="0.2">
      <c r="A5203" s="1" t="s">
        <v>204</v>
      </c>
      <c r="B5203" s="1" t="s">
        <v>232</v>
      </c>
      <c r="C5203" s="1" t="str">
        <f>"66298793477567"</f>
        <v>66298793477567</v>
      </c>
      <c r="D5203" s="1" t="str">
        <f>"400963"</f>
        <v>400963</v>
      </c>
      <c r="E5203" s="1" t="s">
        <v>4566</v>
      </c>
      <c r="F5203" s="1">
        <v>25</v>
      </c>
      <c r="G5203" s="1">
        <v>1686</v>
      </c>
      <c r="H5203" s="1">
        <v>42150</v>
      </c>
      <c r="I5203" s="1">
        <v>0</v>
      </c>
      <c r="J5203" s="1">
        <v>25</v>
      </c>
      <c r="K5203" s="1">
        <v>0</v>
      </c>
    </row>
    <row r="5204" spans="1:11" x14ac:dyDescent="0.2">
      <c r="A5204" s="1" t="s">
        <v>204</v>
      </c>
      <c r="B5204" s="1" t="s">
        <v>233</v>
      </c>
      <c r="C5204" s="1" t="str">
        <f>"66298793524551"</f>
        <v>66298793524551</v>
      </c>
      <c r="D5204" s="1" t="str">
        <f>"400103"</f>
        <v>400103</v>
      </c>
      <c r="E5204" s="1" t="s">
        <v>4566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</row>
    <row r="5205" spans="1:11" x14ac:dyDescent="0.2">
      <c r="A5205" s="1" t="s">
        <v>204</v>
      </c>
      <c r="B5205" s="1" t="s">
        <v>234</v>
      </c>
      <c r="C5205" s="1" t="str">
        <f>"66298793568403"</f>
        <v>66298793568403</v>
      </c>
      <c r="D5205" s="1" t="str">
        <f>"14431/41-397-310"</f>
        <v>14431/41-397-310</v>
      </c>
      <c r="E5205" s="1" t="s">
        <v>4566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</row>
    <row r="5206" spans="1:11" x14ac:dyDescent="0.2">
      <c r="A5206" s="1" t="s">
        <v>204</v>
      </c>
      <c r="B5206" s="1" t="s">
        <v>235</v>
      </c>
      <c r="C5206" s="1" t="str">
        <f>"66298793608940"</f>
        <v>66298793608940</v>
      </c>
      <c r="D5206" s="1" t="str">
        <f>"400967"</f>
        <v>400967</v>
      </c>
      <c r="E5206" s="1" t="s">
        <v>4566</v>
      </c>
      <c r="F5206" s="1">
        <v>45</v>
      </c>
      <c r="G5206" s="1">
        <v>5380</v>
      </c>
      <c r="H5206" s="1">
        <v>242100</v>
      </c>
      <c r="I5206" s="1">
        <v>0</v>
      </c>
      <c r="J5206" s="1">
        <v>45</v>
      </c>
      <c r="K5206" s="1">
        <v>0</v>
      </c>
    </row>
    <row r="5207" spans="1:11" ht="30" x14ac:dyDescent="0.2">
      <c r="A5207" s="1" t="s">
        <v>204</v>
      </c>
      <c r="B5207" s="1" t="s">
        <v>236</v>
      </c>
      <c r="C5207" s="1" t="str">
        <f>"66298793649754"</f>
        <v>66298793649754</v>
      </c>
      <c r="D5207" s="1" t="str">
        <f>"DE007"</f>
        <v>DE007</v>
      </c>
      <c r="E5207" s="1" t="s">
        <v>4566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</row>
    <row r="5208" spans="1:11" x14ac:dyDescent="0.2">
      <c r="A5208" s="1" t="s">
        <v>204</v>
      </c>
      <c r="B5208" s="1" t="s">
        <v>237</v>
      </c>
      <c r="C5208" s="1" t="str">
        <f>"66298793697634"</f>
        <v>66298793697634</v>
      </c>
      <c r="D5208" s="1" t="str">
        <f>"400957"</f>
        <v>400957</v>
      </c>
      <c r="E5208" s="1" t="s">
        <v>4566</v>
      </c>
      <c r="F5208" s="1">
        <v>38</v>
      </c>
      <c r="G5208" s="1">
        <v>1487</v>
      </c>
      <c r="H5208" s="1">
        <v>56506</v>
      </c>
      <c r="I5208" s="1">
        <v>0</v>
      </c>
      <c r="J5208" s="1">
        <v>38</v>
      </c>
      <c r="K5208" s="1">
        <v>0</v>
      </c>
    </row>
    <row r="5209" spans="1:11" x14ac:dyDescent="0.2">
      <c r="A5209" s="1" t="s">
        <v>204</v>
      </c>
      <c r="B5209" s="1" t="s">
        <v>238</v>
      </c>
      <c r="C5209" s="1" t="str">
        <f>"66298793740457"</f>
        <v>66298793740457</v>
      </c>
      <c r="D5209" s="1" t="str">
        <f>"400968"</f>
        <v>400968</v>
      </c>
      <c r="E5209" s="1" t="s">
        <v>4566</v>
      </c>
      <c r="F5209" s="1">
        <v>50</v>
      </c>
      <c r="G5209" s="1">
        <v>5015</v>
      </c>
      <c r="H5209" s="1">
        <v>250750</v>
      </c>
      <c r="I5209" s="1">
        <v>0</v>
      </c>
      <c r="J5209" s="1">
        <v>50</v>
      </c>
      <c r="K5209" s="1">
        <v>0</v>
      </c>
    </row>
    <row r="5210" spans="1:11" x14ac:dyDescent="0.2">
      <c r="A5210" s="1" t="s">
        <v>204</v>
      </c>
      <c r="B5210" s="1" t="s">
        <v>239</v>
      </c>
      <c r="C5210" s="1" t="str">
        <f>"66298793779864"</f>
        <v>66298793779864</v>
      </c>
      <c r="D5210" s="1" t="str">
        <f>"401094"</f>
        <v>401094</v>
      </c>
      <c r="E5210" s="1" t="s">
        <v>4566</v>
      </c>
      <c r="F5210" s="1">
        <v>73</v>
      </c>
      <c r="G5210" s="1">
        <v>6296</v>
      </c>
      <c r="H5210" s="1">
        <v>459608</v>
      </c>
      <c r="I5210" s="1">
        <v>0</v>
      </c>
      <c r="J5210" s="1">
        <v>73</v>
      </c>
      <c r="K5210" s="1">
        <v>0</v>
      </c>
    </row>
    <row r="5211" spans="1:11" x14ac:dyDescent="0.2">
      <c r="A5211" s="1" t="s">
        <v>204</v>
      </c>
      <c r="B5211" s="1" t="s">
        <v>240</v>
      </c>
      <c r="C5211" s="1" t="str">
        <f>"66298793824970"</f>
        <v>66298793824970</v>
      </c>
      <c r="D5211" s="1" t="str">
        <f>"400969"</f>
        <v>400969</v>
      </c>
      <c r="E5211" s="1" t="s">
        <v>4566</v>
      </c>
      <c r="F5211" s="1">
        <v>19</v>
      </c>
      <c r="G5211" s="1">
        <v>2048</v>
      </c>
      <c r="H5211" s="1">
        <v>38912</v>
      </c>
      <c r="I5211" s="1">
        <v>0</v>
      </c>
      <c r="J5211" s="1">
        <v>19</v>
      </c>
      <c r="K5211" s="1">
        <v>0</v>
      </c>
    </row>
    <row r="5212" spans="1:11" x14ac:dyDescent="0.2">
      <c r="A5212" s="1" t="s">
        <v>204</v>
      </c>
      <c r="B5212" s="1" t="s">
        <v>241</v>
      </c>
      <c r="C5212" s="1" t="str">
        <f>"66298793864335"</f>
        <v>66298793864335</v>
      </c>
      <c r="D5212" s="1" t="str">
        <f>"1P3-E2151/61-00"</f>
        <v>1P3-E2151/61-00</v>
      </c>
      <c r="E5212" s="1" t="s">
        <v>4566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</row>
    <row r="5213" spans="1:11" x14ac:dyDescent="0.2">
      <c r="A5213" s="1" t="s">
        <v>18</v>
      </c>
      <c r="B5213" s="1" t="s">
        <v>242</v>
      </c>
      <c r="C5213" s="1" t="str">
        <f>"66298793908828"</f>
        <v>66298793908828</v>
      </c>
      <c r="D5213" s="1" t="str">
        <f>"21C-F3435-00"</f>
        <v>21C-F3435-00</v>
      </c>
      <c r="E5213" s="1" t="s">
        <v>4566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</row>
    <row r="5214" spans="1:11" x14ac:dyDescent="0.2">
      <c r="A5214" s="1" t="s">
        <v>243</v>
      </c>
      <c r="B5214" s="1" t="s">
        <v>244</v>
      </c>
      <c r="C5214" s="1" t="str">
        <f>"66298793952000"</f>
        <v>66298793952000</v>
      </c>
      <c r="D5214" s="1" t="str">
        <f>"CP011"</f>
        <v>CP011</v>
      </c>
      <c r="E5214" s="1" t="s">
        <v>4566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</row>
    <row r="5215" spans="1:11" x14ac:dyDescent="0.2">
      <c r="A5215" s="1" t="s">
        <v>245</v>
      </c>
      <c r="B5215" s="1" t="s">
        <v>246</v>
      </c>
      <c r="C5215" s="1" t="str">
        <f>"66298793993265"</f>
        <v>66298793993265</v>
      </c>
      <c r="D5215" s="1" t="str">
        <f>"YB2.5L-CHB"</f>
        <v>YB2.5L-CHB</v>
      </c>
      <c r="E5215" s="1" t="s">
        <v>4566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</row>
    <row r="5216" spans="1:11" x14ac:dyDescent="0.2">
      <c r="A5216" s="1" t="s">
        <v>245</v>
      </c>
      <c r="B5216" s="1" t="s">
        <v>247</v>
      </c>
      <c r="C5216" s="1" t="str">
        <f>"66298794035118"</f>
        <v>66298794035118</v>
      </c>
      <c r="D5216" s="1" t="str">
        <f>"YB2.5L-C"</f>
        <v>YB2.5L-C</v>
      </c>
      <c r="E5216" s="1" t="s">
        <v>4566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</row>
    <row r="5217" spans="1:11" x14ac:dyDescent="0.2">
      <c r="A5217" s="1" t="s">
        <v>245</v>
      </c>
      <c r="B5217" s="1" t="s">
        <v>248</v>
      </c>
      <c r="C5217" s="1" t="str">
        <f>"12N24-4-BSHK"</f>
        <v>12N24-4-BSHK</v>
      </c>
      <c r="D5217" s="1" t="str">
        <f>"12N24-4-BSHK"</f>
        <v>12N24-4-BSHK</v>
      </c>
      <c r="E5217" s="1" t="s">
        <v>4566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</row>
    <row r="5218" spans="1:11" x14ac:dyDescent="0.2">
      <c r="A5218" s="1" t="s">
        <v>245</v>
      </c>
      <c r="B5218" s="1" t="s">
        <v>249</v>
      </c>
      <c r="C5218" s="1" t="str">
        <f>"66298794081616"</f>
        <v>66298794081616</v>
      </c>
      <c r="D5218" s="1" t="str">
        <f>"YTX4L-BSCN"</f>
        <v>YTX4L-BSCN</v>
      </c>
      <c r="E5218" s="1" t="s">
        <v>4566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</row>
    <row r="5219" spans="1:11" x14ac:dyDescent="0.2">
      <c r="A5219" s="1" t="s">
        <v>245</v>
      </c>
      <c r="B5219" s="1" t="s">
        <v>250</v>
      </c>
      <c r="C5219" s="1" t="str">
        <f>"66298794124475"</f>
        <v>66298794124475</v>
      </c>
      <c r="D5219" s="1" t="str">
        <f>"YT4L-BSHB"</f>
        <v>YT4L-BSHB</v>
      </c>
      <c r="E5219" s="1" t="s">
        <v>4566</v>
      </c>
      <c r="F5219" s="1">
        <v>4</v>
      </c>
      <c r="G5219" s="1">
        <v>9972</v>
      </c>
      <c r="H5219" s="1">
        <v>39888</v>
      </c>
      <c r="I5219" s="1">
        <v>0</v>
      </c>
      <c r="J5219" s="1">
        <v>4</v>
      </c>
      <c r="K5219" s="1">
        <v>0</v>
      </c>
    </row>
    <row r="5220" spans="1:11" x14ac:dyDescent="0.2">
      <c r="A5220" s="1" t="s">
        <v>245</v>
      </c>
      <c r="B5220" s="1" t="s">
        <v>251</v>
      </c>
      <c r="C5220" s="1" t="str">
        <f>"66298794204604"</f>
        <v>66298794204604</v>
      </c>
      <c r="D5220" s="1" t="str">
        <f>"YTZ5SVTS"</f>
        <v>YTZ5SVTS</v>
      </c>
      <c r="E5220" s="1" t="s">
        <v>4566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</row>
    <row r="5221" spans="1:11" x14ac:dyDescent="0.2">
      <c r="A5221" s="1" t="s">
        <v>245</v>
      </c>
      <c r="B5221" s="1" t="s">
        <v>252</v>
      </c>
      <c r="C5221" s="1" t="str">
        <f>"YB4L-BHB"</f>
        <v>YB4L-BHB</v>
      </c>
      <c r="D5221" s="1" t="str">
        <f>"YB4L-BHB"</f>
        <v>YB4L-BHB</v>
      </c>
      <c r="E5221" s="1" t="s">
        <v>4566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</row>
    <row r="5222" spans="1:11" x14ac:dyDescent="0.2">
      <c r="A5222" s="1" t="s">
        <v>245</v>
      </c>
      <c r="B5222" s="1" t="s">
        <v>253</v>
      </c>
      <c r="C5222" s="1" t="str">
        <f>"66298794293503"</f>
        <v>66298794293503</v>
      </c>
      <c r="D5222" s="1" t="str">
        <f>"YT5AL-BSHB"</f>
        <v>YT5AL-BSHB</v>
      </c>
      <c r="E5222" s="1" t="s">
        <v>4566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</row>
    <row r="5223" spans="1:11" x14ac:dyDescent="0.2">
      <c r="A5223" s="1" t="s">
        <v>245</v>
      </c>
      <c r="B5223" s="1" t="s">
        <v>254</v>
      </c>
      <c r="C5223" s="1" t="str">
        <f>"66298794332881"</f>
        <v>66298794332881</v>
      </c>
      <c r="D5223" s="1" t="str">
        <f>"YB5L-BHB"</f>
        <v>YB5L-BHB</v>
      </c>
      <c r="E5223" s="1" t="s">
        <v>4566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</row>
    <row r="5224" spans="1:11" x14ac:dyDescent="0.2">
      <c r="A5224" s="1" t="s">
        <v>245</v>
      </c>
      <c r="B5224" s="1" t="s">
        <v>255</v>
      </c>
      <c r="C5224" s="1" t="str">
        <f>"66298794418524"</f>
        <v>66298794418524</v>
      </c>
      <c r="D5224" s="1" t="str">
        <f>"12N5-BS"</f>
        <v>12N5-BS</v>
      </c>
      <c r="E5224" s="1" t="s">
        <v>4566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</row>
    <row r="5225" spans="1:11" x14ac:dyDescent="0.2">
      <c r="A5225" s="1" t="s">
        <v>245</v>
      </c>
      <c r="B5225" s="1" t="s">
        <v>256</v>
      </c>
      <c r="C5225" s="1" t="str">
        <f>"66298794500118"</f>
        <v>66298794500118</v>
      </c>
      <c r="D5225" s="1" t="str">
        <f>"YTX7L-BSHB"</f>
        <v>YTX7L-BSHB</v>
      </c>
      <c r="E5225" s="1" t="s">
        <v>4566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</row>
    <row r="5226" spans="1:11" x14ac:dyDescent="0.2">
      <c r="A5226" s="1" t="s">
        <v>245</v>
      </c>
      <c r="B5226" s="1" t="s">
        <v>256</v>
      </c>
      <c r="C5226" s="1" t="str">
        <f>"YTX7A-BSHB"</f>
        <v>YTX7A-BSHB</v>
      </c>
      <c r="D5226" s="1" t="str">
        <f>"YTX7A-BSHB"</f>
        <v>YTX7A-BSHB</v>
      </c>
      <c r="E5226" s="1" t="s">
        <v>4566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</row>
    <row r="5227" spans="1:11" x14ac:dyDescent="0.2">
      <c r="A5227" s="1" t="s">
        <v>245</v>
      </c>
      <c r="B5227" s="1" t="s">
        <v>257</v>
      </c>
      <c r="C5227" s="1" t="str">
        <f>"YTX7L-BSVTS"</f>
        <v>YTX7L-BSVTS</v>
      </c>
      <c r="D5227" s="1" t="str">
        <f>"YTX7L-BSVTS"</f>
        <v>YTX7L-BSVTS</v>
      </c>
      <c r="E5227" s="1" t="s">
        <v>4566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</row>
    <row r="5228" spans="1:11" x14ac:dyDescent="0.2">
      <c r="A5228" s="1" t="s">
        <v>245</v>
      </c>
      <c r="B5228" s="1" t="s">
        <v>258</v>
      </c>
      <c r="C5228" s="1" t="str">
        <f>"66298794461523"</f>
        <v>66298794461523</v>
      </c>
      <c r="D5228" s="1" t="str">
        <f>"YTX7L-BS"</f>
        <v>YTX7L-BS</v>
      </c>
      <c r="E5228" s="1" t="s">
        <v>4566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</row>
    <row r="5229" spans="1:11" x14ac:dyDescent="0.2">
      <c r="A5229" s="1" t="s">
        <v>245</v>
      </c>
      <c r="B5229" s="1" t="s">
        <v>259</v>
      </c>
      <c r="C5229" s="1" t="str">
        <f>"66298794547708"</f>
        <v>66298794547708</v>
      </c>
      <c r="D5229" s="1" t="str">
        <f>"YTX6.5L-BSHB"</f>
        <v>YTX6.5L-BSHB</v>
      </c>
      <c r="E5229" s="1" t="s">
        <v>4566</v>
      </c>
      <c r="F5229" s="1">
        <v>3</v>
      </c>
      <c r="G5229" s="1">
        <v>11403</v>
      </c>
      <c r="H5229" s="1">
        <v>34209</v>
      </c>
      <c r="I5229" s="1">
        <v>0</v>
      </c>
      <c r="J5229" s="1">
        <v>3</v>
      </c>
      <c r="K5229" s="1">
        <v>0</v>
      </c>
    </row>
    <row r="5230" spans="1:11" x14ac:dyDescent="0.2">
      <c r="A5230" s="1" t="s">
        <v>245</v>
      </c>
      <c r="B5230" s="1" t="s">
        <v>259</v>
      </c>
      <c r="C5230" s="1" t="str">
        <f>"66298794553973"</f>
        <v>66298794553973</v>
      </c>
      <c r="D5230" s="1" t="str">
        <f>"YT7B-BSHB"</f>
        <v>YT7B-BSHB</v>
      </c>
      <c r="E5230" s="1" t="s">
        <v>4566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</row>
    <row r="5231" spans="1:11" x14ac:dyDescent="0.2">
      <c r="A5231" s="1" t="s">
        <v>245</v>
      </c>
      <c r="B5231" s="1" t="s">
        <v>260</v>
      </c>
      <c r="C5231" s="1" t="str">
        <f>"66298794655248"</f>
        <v>66298794655248</v>
      </c>
      <c r="D5231" s="1" t="str">
        <f>"GTX7E-BSHB"</f>
        <v>GTX7E-BSHB</v>
      </c>
      <c r="E5231" s="1" t="s">
        <v>4566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</row>
    <row r="5232" spans="1:11" x14ac:dyDescent="0.2">
      <c r="A5232" s="1" t="s">
        <v>245</v>
      </c>
      <c r="B5232" s="1" t="s">
        <v>260</v>
      </c>
      <c r="C5232" s="1" t="str">
        <f>"66298794661817"</f>
        <v>66298794661817</v>
      </c>
      <c r="D5232" s="1" t="str">
        <f>"YB7-AHB"</f>
        <v>YB7-AHB</v>
      </c>
      <c r="E5232" s="1" t="s">
        <v>4566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</row>
    <row r="5233" spans="1:11" x14ac:dyDescent="0.2">
      <c r="A5233" s="1" t="s">
        <v>245</v>
      </c>
      <c r="B5233" s="1" t="s">
        <v>261</v>
      </c>
      <c r="C5233" s="1" t="str">
        <f>"66298794721917"</f>
        <v>66298794721917</v>
      </c>
      <c r="D5233" s="1" t="str">
        <f>"YTX7DL-BSHB"</f>
        <v>YTX7DL-BSHB</v>
      </c>
      <c r="E5233" s="1" t="s">
        <v>4566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</row>
    <row r="5234" spans="1:11" x14ac:dyDescent="0.2">
      <c r="A5234" s="1" t="s">
        <v>245</v>
      </c>
      <c r="B5234" s="1" t="s">
        <v>262</v>
      </c>
      <c r="C5234" s="1" t="str">
        <f>"66298794609055"</f>
        <v>66298794609055</v>
      </c>
      <c r="D5234" s="1" t="str">
        <f>"YB7B-BHB"</f>
        <v>YB7B-BHB</v>
      </c>
      <c r="E5234" s="1" t="s">
        <v>4566</v>
      </c>
      <c r="F5234" s="1">
        <v>4</v>
      </c>
      <c r="G5234" s="1">
        <v>11509</v>
      </c>
      <c r="H5234" s="1">
        <v>46036</v>
      </c>
      <c r="I5234" s="1">
        <v>0</v>
      </c>
      <c r="J5234" s="1">
        <v>4</v>
      </c>
      <c r="K5234" s="1">
        <v>0</v>
      </c>
    </row>
    <row r="5235" spans="1:11" x14ac:dyDescent="0.2">
      <c r="A5235" s="1" t="s">
        <v>245</v>
      </c>
      <c r="B5235" s="1" t="s">
        <v>262</v>
      </c>
      <c r="C5235" s="1" t="str">
        <f>"12N7B-3AHB"</f>
        <v>12N7B-3AHB</v>
      </c>
      <c r="D5235" s="1" t="str">
        <f>"12N7B-3AHB"</f>
        <v>12N7B-3AHB</v>
      </c>
      <c r="E5235" s="1" t="s">
        <v>4566</v>
      </c>
      <c r="F5235" s="1">
        <v>12</v>
      </c>
      <c r="G5235" s="1">
        <v>13204</v>
      </c>
      <c r="H5235" s="1">
        <v>158448</v>
      </c>
      <c r="I5235" s="1">
        <v>0</v>
      </c>
      <c r="J5235" s="1">
        <v>12</v>
      </c>
      <c r="K5235" s="1">
        <v>0</v>
      </c>
    </row>
    <row r="5236" spans="1:11" x14ac:dyDescent="0.2">
      <c r="A5236" s="1" t="s">
        <v>245</v>
      </c>
      <c r="B5236" s="1" t="s">
        <v>262</v>
      </c>
      <c r="C5236" s="1" t="str">
        <f>"12N7-4BHB"</f>
        <v>12N7-4BHB</v>
      </c>
      <c r="D5236" s="1" t="str">
        <f>"12N7-4BHB"</f>
        <v>12N7-4BHB</v>
      </c>
      <c r="E5236" s="1" t="s">
        <v>4566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</row>
    <row r="5237" spans="1:11" x14ac:dyDescent="0.2">
      <c r="A5237" s="1" t="s">
        <v>245</v>
      </c>
      <c r="B5237" s="1" t="s">
        <v>262</v>
      </c>
      <c r="C5237" s="1" t="str">
        <f>"12N7-3BHB"</f>
        <v>12N7-3BHB</v>
      </c>
      <c r="D5237" s="1" t="str">
        <f>"12N7-3BHB"</f>
        <v>12N7-3BHB</v>
      </c>
      <c r="E5237" s="1" t="s">
        <v>4566</v>
      </c>
      <c r="F5237" s="1">
        <v>6</v>
      </c>
      <c r="G5237" s="1">
        <v>12025</v>
      </c>
      <c r="H5237" s="1">
        <v>72150</v>
      </c>
      <c r="I5237" s="1">
        <v>0</v>
      </c>
      <c r="J5237" s="1">
        <v>6</v>
      </c>
      <c r="K5237" s="1">
        <v>0</v>
      </c>
    </row>
    <row r="5238" spans="1:11" x14ac:dyDescent="0.2">
      <c r="A5238" s="1" t="s">
        <v>245</v>
      </c>
      <c r="B5238" s="1" t="s">
        <v>263</v>
      </c>
      <c r="C5238" s="1" t="str">
        <f>"66298794842712"</f>
        <v>66298794842712</v>
      </c>
      <c r="D5238" s="1" t="str">
        <f>"12N7-4AVTS"</f>
        <v>12N7-4AVTS</v>
      </c>
      <c r="E5238" s="1" t="s">
        <v>4566</v>
      </c>
      <c r="F5238" s="1">
        <v>4</v>
      </c>
      <c r="G5238" s="1">
        <v>11996</v>
      </c>
      <c r="H5238" s="1">
        <v>47984</v>
      </c>
      <c r="I5238" s="1">
        <v>0</v>
      </c>
      <c r="J5238" s="1">
        <v>4</v>
      </c>
      <c r="K5238" s="1">
        <v>0</v>
      </c>
    </row>
    <row r="5239" spans="1:11" x14ac:dyDescent="0.2">
      <c r="A5239" s="1" t="s">
        <v>245</v>
      </c>
      <c r="B5239" s="1" t="s">
        <v>263</v>
      </c>
      <c r="C5239" s="1" t="str">
        <f>"66298794849062"</f>
        <v>66298794849062</v>
      </c>
      <c r="D5239" s="1" t="str">
        <f>"12N7A-3AVTS"</f>
        <v>12N7A-3AVTS</v>
      </c>
      <c r="E5239" s="1" t="s">
        <v>4566</v>
      </c>
      <c r="F5239" s="1">
        <v>8</v>
      </c>
      <c r="G5239" s="1">
        <v>12386</v>
      </c>
      <c r="H5239" s="1">
        <v>99088</v>
      </c>
      <c r="I5239" s="1">
        <v>0</v>
      </c>
      <c r="J5239" s="1">
        <v>8</v>
      </c>
      <c r="K5239" s="1">
        <v>0</v>
      </c>
    </row>
    <row r="5240" spans="1:11" x14ac:dyDescent="0.2">
      <c r="A5240" s="1" t="s">
        <v>245</v>
      </c>
      <c r="B5240" s="1" t="s">
        <v>264</v>
      </c>
      <c r="C5240" s="1" t="str">
        <f>"YT9B-BSHB"</f>
        <v>YT9B-BSHB</v>
      </c>
      <c r="D5240" s="1" t="str">
        <f>"YT9B-BSHB"</f>
        <v>YT9B-BSHB</v>
      </c>
      <c r="E5240" s="1" t="s">
        <v>4566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</row>
    <row r="5241" spans="1:11" x14ac:dyDescent="0.2">
      <c r="A5241" s="1" t="s">
        <v>245</v>
      </c>
      <c r="B5241" s="1" t="s">
        <v>265</v>
      </c>
      <c r="C5241" s="1" t="str">
        <f>"66298794903079"</f>
        <v>66298794903079</v>
      </c>
      <c r="D5241" s="1" t="str">
        <f>"YTX9-BSHB"</f>
        <v>YTX9-BSHB</v>
      </c>
      <c r="E5241" s="1" t="s">
        <v>4566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</row>
    <row r="5242" spans="1:11" x14ac:dyDescent="0.2">
      <c r="A5242" s="1" t="s">
        <v>245</v>
      </c>
      <c r="B5242" s="1" t="s">
        <v>266</v>
      </c>
      <c r="C5242" s="1" t="str">
        <f>"YTX9A-BSHB"</f>
        <v>YTX9A-BSHB</v>
      </c>
      <c r="D5242" s="1" t="str">
        <f>"YTX9A-BSHB"</f>
        <v>YTX9A-BSHB</v>
      </c>
      <c r="E5242" s="1" t="s">
        <v>4566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</row>
    <row r="5243" spans="1:11" x14ac:dyDescent="0.2">
      <c r="A5243" s="1" t="s">
        <v>245</v>
      </c>
      <c r="B5243" s="1" t="s">
        <v>267</v>
      </c>
      <c r="C5243" s="1" t="str">
        <f>"66298795088864"</f>
        <v>66298795088864</v>
      </c>
      <c r="D5243" s="1" t="str">
        <f>"YT12B-BSHB"</f>
        <v>YT12B-BSHB</v>
      </c>
      <c r="E5243" s="1" t="s">
        <v>4566</v>
      </c>
      <c r="F5243" s="1">
        <v>4</v>
      </c>
      <c r="G5243" s="1">
        <v>19936</v>
      </c>
      <c r="H5243" s="1">
        <v>79744</v>
      </c>
      <c r="I5243" s="1">
        <v>0</v>
      </c>
      <c r="J5243" s="1">
        <v>4</v>
      </c>
      <c r="K5243" s="1">
        <v>0</v>
      </c>
    </row>
    <row r="5244" spans="1:11" x14ac:dyDescent="0.2">
      <c r="A5244" s="1" t="s">
        <v>245</v>
      </c>
      <c r="B5244" s="1" t="s">
        <v>267</v>
      </c>
      <c r="C5244" s="1" t="str">
        <f>"YTX12-BSHB"</f>
        <v>YTX12-BSHB</v>
      </c>
      <c r="D5244" s="1" t="str">
        <f>"YTX12-BSHB"</f>
        <v>YTX12-BSHB</v>
      </c>
      <c r="E5244" s="1" t="s">
        <v>4566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</row>
    <row r="5245" spans="1:11" x14ac:dyDescent="0.2">
      <c r="A5245" s="1" t="s">
        <v>245</v>
      </c>
      <c r="B5245" s="1" t="s">
        <v>268</v>
      </c>
      <c r="C5245" s="1" t="str">
        <f>"YT12A-BSFB"</f>
        <v>YT12A-BSFB</v>
      </c>
      <c r="D5245" s="1" t="str">
        <f>"YT12A-BSFB"</f>
        <v>YT12A-BSFB</v>
      </c>
      <c r="E5245" s="1" t="s">
        <v>4566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</row>
    <row r="5246" spans="1:11" ht="30" x14ac:dyDescent="0.2">
      <c r="A5246" s="1" t="s">
        <v>245</v>
      </c>
      <c r="B5246" s="1" t="s">
        <v>269</v>
      </c>
      <c r="C5246" s="1" t="str">
        <f>"YTZ14S-BS/SLA"</f>
        <v>YTZ14S-BS/SLA</v>
      </c>
      <c r="D5246" s="1" t="str">
        <f>"YTZ14S-BS/SLA"</f>
        <v>YTZ14S-BS/SLA</v>
      </c>
      <c r="E5246" s="1" t="s">
        <v>4566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</row>
    <row r="5247" spans="1:11" x14ac:dyDescent="0.2">
      <c r="A5247" s="1" t="s">
        <v>245</v>
      </c>
      <c r="B5247" s="1" t="s">
        <v>270</v>
      </c>
      <c r="C5247" s="1" t="str">
        <f>"YTX14-BSHB"</f>
        <v>YTX14-BSHB</v>
      </c>
      <c r="D5247" s="1" t="str">
        <f>"YTX14-BSHB"</f>
        <v>YTX14-BSHB</v>
      </c>
      <c r="E5247" s="1" t="s">
        <v>4566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</row>
    <row r="5248" spans="1:11" x14ac:dyDescent="0.2">
      <c r="A5248" s="1" t="s">
        <v>245</v>
      </c>
      <c r="B5248" s="1" t="s">
        <v>270</v>
      </c>
      <c r="C5248" s="1" t="str">
        <f>"YT14B-BSHB"</f>
        <v>YT14B-BSHB</v>
      </c>
      <c r="D5248" s="1" t="str">
        <f>"YT14B-BSHB"</f>
        <v>YT14B-BSHB</v>
      </c>
      <c r="E5248" s="1" t="s">
        <v>4566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</row>
    <row r="5249" spans="1:11" x14ac:dyDescent="0.2">
      <c r="A5249" s="1" t="s">
        <v>245</v>
      </c>
      <c r="B5249" s="1" t="s">
        <v>271</v>
      </c>
      <c r="C5249" s="1" t="str">
        <f>"YTX16-BSHB"</f>
        <v>YTX16-BSHB</v>
      </c>
      <c r="D5249" s="1" t="str">
        <f>"YTX16-BSHB"</f>
        <v>YTX16-BSHB</v>
      </c>
      <c r="E5249" s="1" t="s">
        <v>4566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</row>
    <row r="5250" spans="1:11" x14ac:dyDescent="0.2">
      <c r="A5250" s="1" t="s">
        <v>245</v>
      </c>
      <c r="B5250" s="1" t="s">
        <v>272</v>
      </c>
      <c r="C5250" s="1" t="str">
        <f>"YTX20HL-BSHB"</f>
        <v>YTX20HL-BSHB</v>
      </c>
      <c r="D5250" s="1" t="str">
        <f>"YTX20HL-BSHB"</f>
        <v>YTX20HL-BSHB</v>
      </c>
      <c r="E5250" s="1" t="s">
        <v>4566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</row>
    <row r="5251" spans="1:11" x14ac:dyDescent="0.2">
      <c r="A5251" s="1" t="s">
        <v>245</v>
      </c>
      <c r="B5251" s="1" t="s">
        <v>273</v>
      </c>
      <c r="C5251" s="1" t="str">
        <f>"YTX30L-BSHB"</f>
        <v>YTX30L-BSHB</v>
      </c>
      <c r="D5251" s="1" t="str">
        <f>"YTX30L-BSHB"</f>
        <v>YTX30L-BSHB</v>
      </c>
      <c r="E5251" s="1" t="s">
        <v>4566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</row>
    <row r="5252" spans="1:11" ht="30" x14ac:dyDescent="0.2">
      <c r="A5252" s="1" t="s">
        <v>245</v>
      </c>
      <c r="B5252" s="1" t="s">
        <v>274</v>
      </c>
      <c r="C5252" s="1" t="str">
        <f>"YTX12-BS/SLA"</f>
        <v>YTX12-BS/SLA</v>
      </c>
      <c r="D5252" s="1" t="str">
        <f>"YTX12-BS/SLA"</f>
        <v>YTX12-BS/SLA</v>
      </c>
      <c r="E5252" s="1" t="s">
        <v>4566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</row>
    <row r="5253" spans="1:11" ht="30" x14ac:dyDescent="0.2">
      <c r="A5253" s="1" t="s">
        <v>245</v>
      </c>
      <c r="B5253" s="1" t="s">
        <v>275</v>
      </c>
      <c r="C5253" s="1" t="str">
        <f>"YT12B-4-BS/SLA"</f>
        <v>YT12B-4-BS/SLA</v>
      </c>
      <c r="D5253" s="1" t="str">
        <f>"YT12B-4-BS/SLA"</f>
        <v>YT12B-4-BS/SLA</v>
      </c>
      <c r="E5253" s="1" t="s">
        <v>4566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</row>
    <row r="5254" spans="1:11" x14ac:dyDescent="0.2">
      <c r="A5254" s="1" t="s">
        <v>245</v>
      </c>
      <c r="B5254" s="1" t="s">
        <v>276</v>
      </c>
      <c r="C5254" s="1" t="str">
        <f>"Y12A-BSFB"</f>
        <v>Y12A-BSFB</v>
      </c>
      <c r="D5254" s="1" t="str">
        <f>"Y12A-BSFB"</f>
        <v>Y12A-BSFB</v>
      </c>
      <c r="E5254" s="1" t="s">
        <v>4566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</row>
    <row r="5255" spans="1:11" x14ac:dyDescent="0.2">
      <c r="A5255" s="1" t="s">
        <v>245</v>
      </c>
      <c r="B5255" s="1" t="s">
        <v>277</v>
      </c>
      <c r="C5255" s="1" t="str">
        <f>"YTX12-BSHQ"</f>
        <v>YTX12-BSHQ</v>
      </c>
      <c r="D5255" s="1" t="str">
        <f>"YTX12-BSHQ"</f>
        <v>YTX12-BSHQ</v>
      </c>
      <c r="E5255" s="1" t="s">
        <v>4566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</row>
    <row r="5256" spans="1:11" x14ac:dyDescent="0.2">
      <c r="A5256" s="1" t="s">
        <v>245</v>
      </c>
      <c r="B5256" s="1" t="s">
        <v>278</v>
      </c>
      <c r="C5256" s="1" t="str">
        <f>"MBTX9U"</f>
        <v>MBTX9U</v>
      </c>
      <c r="D5256" s="1" t="str">
        <f>"MBTX9U"</f>
        <v>MBTX9U</v>
      </c>
      <c r="E5256" s="1" t="s">
        <v>4566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</row>
    <row r="5257" spans="1:11" ht="30" x14ac:dyDescent="0.2">
      <c r="A5257" s="1" t="s">
        <v>245</v>
      </c>
      <c r="B5257" s="1" t="s">
        <v>279</v>
      </c>
      <c r="C5257" s="1" t="str">
        <f>"YTZ12S-BS/SLA"</f>
        <v>YTZ12S-BS/SLA</v>
      </c>
      <c r="D5257" s="1" t="str">
        <f>"YTZ12S-BS/SLA"</f>
        <v>YTZ12S-BS/SLA</v>
      </c>
      <c r="E5257" s="1" t="s">
        <v>4566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</row>
    <row r="5258" spans="1:11" x14ac:dyDescent="0.2">
      <c r="A5258" s="1" t="s">
        <v>245</v>
      </c>
      <c r="B5258" s="1" t="s">
        <v>280</v>
      </c>
      <c r="C5258" s="1" t="str">
        <f>"MB9U"</f>
        <v>MB9U</v>
      </c>
      <c r="D5258" s="1" t="str">
        <f>"MB9U"</f>
        <v>MB9U</v>
      </c>
      <c r="E5258" s="1" t="s">
        <v>4566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</row>
    <row r="5259" spans="1:11" x14ac:dyDescent="0.2">
      <c r="A5259" s="1" t="s">
        <v>245</v>
      </c>
      <c r="B5259" s="1" t="s">
        <v>281</v>
      </c>
      <c r="C5259" s="1" t="str">
        <f>"MBTZ14S"</f>
        <v>MBTZ14S</v>
      </c>
      <c r="D5259" s="1" t="str">
        <f>"MBTZ14S"</f>
        <v>MBTZ14S</v>
      </c>
      <c r="E5259" s="1" t="s">
        <v>4566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</row>
    <row r="5260" spans="1:11" ht="30" x14ac:dyDescent="0.2">
      <c r="A5260" s="1" t="s">
        <v>245</v>
      </c>
      <c r="B5260" s="1" t="s">
        <v>282</v>
      </c>
      <c r="C5260" s="1" t="str">
        <f>"12N12A-4A-1-BS/DRY"</f>
        <v>12N12A-4A-1-BS/DRY</v>
      </c>
      <c r="D5260" s="1" t="str">
        <f>"12N12A-4A-1-BS/DRY"</f>
        <v>12N12A-4A-1-BS/DRY</v>
      </c>
      <c r="E5260" s="1" t="s">
        <v>4566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</row>
    <row r="5261" spans="1:11" ht="30" x14ac:dyDescent="0.2">
      <c r="A5261" s="1" t="s">
        <v>245</v>
      </c>
      <c r="B5261" s="1" t="s">
        <v>283</v>
      </c>
      <c r="C5261" s="1" t="str">
        <f>"YTX14-BS/MF"</f>
        <v>YTX14-BS/MF</v>
      </c>
      <c r="D5261" s="1" t="str">
        <f>"YTX14-BS/MF"</f>
        <v>YTX14-BS/MF</v>
      </c>
      <c r="E5261" s="1" t="s">
        <v>4566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</row>
    <row r="5262" spans="1:11" ht="30" x14ac:dyDescent="0.2">
      <c r="A5262" s="1" t="s">
        <v>245</v>
      </c>
      <c r="B5262" s="1" t="s">
        <v>284</v>
      </c>
      <c r="C5262" s="1" t="str">
        <f>"YTX14L-BS/MF"</f>
        <v>YTX14L-BS/MF</v>
      </c>
      <c r="D5262" s="1" t="str">
        <f>"YTX14L-BS/MF"</f>
        <v>YTX14L-BS/MF</v>
      </c>
      <c r="E5262" s="1" t="s">
        <v>4566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</row>
    <row r="5263" spans="1:11" x14ac:dyDescent="0.2">
      <c r="A5263" s="1" t="s">
        <v>245</v>
      </c>
      <c r="B5263" s="1" t="s">
        <v>285</v>
      </c>
      <c r="C5263" s="1" t="str">
        <f>"YTX12-BSQS"</f>
        <v>YTX12-BSQS</v>
      </c>
      <c r="D5263" s="1" t="str">
        <f>"YTX12-BSQS"</f>
        <v>YTX12-BSQS</v>
      </c>
      <c r="E5263" s="1" t="s">
        <v>4566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</row>
    <row r="5264" spans="1:11" ht="30" x14ac:dyDescent="0.2">
      <c r="A5264" s="1" t="s">
        <v>245</v>
      </c>
      <c r="B5264" s="1" t="s">
        <v>286</v>
      </c>
      <c r="C5264" s="1" t="str">
        <f>"YTX14AHL-BS/SLA"</f>
        <v>YTX14AHL-BS/SLA</v>
      </c>
      <c r="D5264" s="1" t="str">
        <f>"YTX14AHL-BS/SLA"</f>
        <v>YTX14AHL-BS/SLA</v>
      </c>
      <c r="E5264" s="1" t="s">
        <v>4566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</row>
    <row r="5265" spans="1:11" x14ac:dyDescent="0.2">
      <c r="A5265" s="1" t="s">
        <v>245</v>
      </c>
      <c r="B5265" s="1" t="s">
        <v>287</v>
      </c>
      <c r="C5265" s="1" t="str">
        <f>"MBTX12U"</f>
        <v>MBTX12U</v>
      </c>
      <c r="D5265" s="1" t="str">
        <f>"MBTX12U"</f>
        <v>MBTX12U</v>
      </c>
      <c r="E5265" s="1" t="s">
        <v>4566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</row>
    <row r="5266" spans="1:11" x14ac:dyDescent="0.2">
      <c r="A5266" s="1" t="s">
        <v>245</v>
      </c>
      <c r="B5266" s="1" t="s">
        <v>287</v>
      </c>
      <c r="C5266" s="1" t="str">
        <f>"MB12U"</f>
        <v>MB12U</v>
      </c>
      <c r="D5266" s="1" t="str">
        <f>"MB12U"</f>
        <v>MB12U</v>
      </c>
      <c r="E5266" s="1" t="s">
        <v>4566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</row>
    <row r="5267" spans="1:11" x14ac:dyDescent="0.2">
      <c r="A5267" s="1" t="s">
        <v>245</v>
      </c>
      <c r="B5267" s="1" t="s">
        <v>288</v>
      </c>
      <c r="C5267" s="1" t="str">
        <f>"YTX14-BSQS"</f>
        <v>YTX14-BSQS</v>
      </c>
      <c r="D5267" s="1" t="str">
        <f>"YTX14-BSQS"</f>
        <v>YTX14-BSQS</v>
      </c>
      <c r="E5267" s="1" t="s">
        <v>4566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</row>
    <row r="5268" spans="1:11" x14ac:dyDescent="0.2">
      <c r="A5268" s="1" t="s">
        <v>245</v>
      </c>
      <c r="B5268" s="1" t="s">
        <v>289</v>
      </c>
      <c r="C5268" s="1" t="str">
        <f>"MB10U"</f>
        <v>MB10U</v>
      </c>
      <c r="D5268" s="1" t="str">
        <f>"MB10U"</f>
        <v>MB10U</v>
      </c>
      <c r="E5268" s="1" t="s">
        <v>4566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</row>
    <row r="5269" spans="1:11" x14ac:dyDescent="0.2">
      <c r="A5269" s="1" t="s">
        <v>245</v>
      </c>
      <c r="B5269" s="1" t="s">
        <v>290</v>
      </c>
      <c r="C5269" s="1" t="str">
        <f>"MBTX14AU"</f>
        <v>MBTX14AU</v>
      </c>
      <c r="D5269" s="1" t="str">
        <f>"MBTX14AU"</f>
        <v>MBTX14AU</v>
      </c>
      <c r="E5269" s="1" t="s">
        <v>4566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</row>
    <row r="5270" spans="1:11" x14ac:dyDescent="0.2">
      <c r="A5270" s="1" t="s">
        <v>245</v>
      </c>
      <c r="B5270" s="1" t="s">
        <v>290</v>
      </c>
      <c r="C5270" s="1" t="str">
        <f>"MBYZ16HD"</f>
        <v>MBYZ16HD</v>
      </c>
      <c r="D5270" s="1" t="str">
        <f>"MBYZ16HD"</f>
        <v>MBYZ16HD</v>
      </c>
      <c r="E5270" s="1" t="s">
        <v>4566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</row>
    <row r="5271" spans="1:11" x14ac:dyDescent="0.2">
      <c r="A5271" s="1" t="s">
        <v>245</v>
      </c>
      <c r="B5271" s="1" t="s">
        <v>291</v>
      </c>
      <c r="C5271" s="1" t="str">
        <f>"MBTX16U"</f>
        <v>MBTX16U</v>
      </c>
      <c r="D5271" s="1" t="str">
        <f>"MBTX16U"</f>
        <v>MBTX16U</v>
      </c>
      <c r="E5271" s="1" t="s">
        <v>4566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</row>
    <row r="5272" spans="1:11" ht="30" x14ac:dyDescent="0.2">
      <c r="A5272" s="1" t="s">
        <v>245</v>
      </c>
      <c r="B5272" s="1" t="s">
        <v>292</v>
      </c>
      <c r="C5272" s="1" t="str">
        <f>"YT4B-5-BS/SLA"</f>
        <v>YT4B-5-BS/SLA</v>
      </c>
      <c r="D5272" s="1" t="str">
        <f>"YT4B-5-BS/SLA"</f>
        <v>YT4B-5-BS/SLA</v>
      </c>
      <c r="E5272" s="1" t="s">
        <v>4566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</row>
    <row r="5273" spans="1:11" ht="30" x14ac:dyDescent="0.2">
      <c r="A5273" s="1" t="s">
        <v>245</v>
      </c>
      <c r="B5273" s="1" t="s">
        <v>293</v>
      </c>
      <c r="C5273" s="1" t="str">
        <f>"YB2.5L-C-BS/DRY"</f>
        <v>YB2.5L-C-BS/DRY</v>
      </c>
      <c r="D5273" s="1" t="str">
        <f>"YB2.5L-C-BS/DRY"</f>
        <v>YB2.5L-C-BS/DRY</v>
      </c>
      <c r="E5273" s="1" t="s">
        <v>4566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</row>
    <row r="5274" spans="1:11" x14ac:dyDescent="0.2">
      <c r="A5274" s="1" t="s">
        <v>245</v>
      </c>
      <c r="B5274" s="1" t="s">
        <v>294</v>
      </c>
      <c r="C5274" s="1" t="str">
        <f>"MB16U"</f>
        <v>MB16U</v>
      </c>
      <c r="D5274" s="1" t="str">
        <f>"MB16U"</f>
        <v>MB16U</v>
      </c>
      <c r="E5274" s="1" t="s">
        <v>4566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</row>
    <row r="5275" spans="1:11" x14ac:dyDescent="0.2">
      <c r="A5275" s="1" t="s">
        <v>245</v>
      </c>
      <c r="B5275" s="1" t="s">
        <v>295</v>
      </c>
      <c r="C5275" s="1" t="str">
        <f>"MB16AU"</f>
        <v>MB16AU</v>
      </c>
      <c r="D5275" s="1" t="str">
        <f>"MB16AU"</f>
        <v>MB16AU</v>
      </c>
      <c r="E5275" s="1" t="s">
        <v>4566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</row>
    <row r="5276" spans="1:11" x14ac:dyDescent="0.2">
      <c r="A5276" s="1" t="s">
        <v>245</v>
      </c>
      <c r="B5276" s="1" t="s">
        <v>296</v>
      </c>
      <c r="C5276" s="1" t="str">
        <f>"MBTX20UHD"</f>
        <v>MBTX20UHD</v>
      </c>
      <c r="D5276" s="1" t="str">
        <f>"MBTX20UHD"</f>
        <v>MBTX20UHD</v>
      </c>
      <c r="E5276" s="1" t="s">
        <v>4566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</row>
    <row r="5277" spans="1:11" x14ac:dyDescent="0.2">
      <c r="A5277" s="1" t="s">
        <v>245</v>
      </c>
      <c r="B5277" s="1" t="s">
        <v>297</v>
      </c>
      <c r="C5277" s="1" t="str">
        <f>"MB51814"</f>
        <v>MB51814</v>
      </c>
      <c r="D5277" s="1" t="str">
        <f>"MB51814"</f>
        <v>MB51814</v>
      </c>
      <c r="E5277" s="1" t="s">
        <v>4566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</row>
    <row r="5278" spans="1:11" x14ac:dyDescent="0.2">
      <c r="A5278" s="1" t="s">
        <v>245</v>
      </c>
      <c r="B5278" s="1" t="s">
        <v>298</v>
      </c>
      <c r="C5278" s="1" t="str">
        <f>"66298794161780"</f>
        <v>66298794161780</v>
      </c>
      <c r="D5278" s="1" t="str">
        <f>"YTX4L-BSQS"</f>
        <v>YTX4L-BSQS</v>
      </c>
      <c r="E5278" s="1" t="s">
        <v>4566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</row>
    <row r="5279" spans="1:11" x14ac:dyDescent="0.2">
      <c r="A5279" s="1" t="s">
        <v>245</v>
      </c>
      <c r="B5279" s="1" t="s">
        <v>299</v>
      </c>
      <c r="C5279" s="1" t="str">
        <f>"MBTX30UHD"</f>
        <v>MBTX30UHD</v>
      </c>
      <c r="D5279" s="1" t="str">
        <f>"MBTX30UHD"</f>
        <v>MBTX30UHD</v>
      </c>
      <c r="E5279" s="1" t="s">
        <v>4566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</row>
    <row r="5280" spans="1:11" x14ac:dyDescent="0.2">
      <c r="A5280" s="1" t="s">
        <v>245</v>
      </c>
      <c r="B5280" s="1" t="s">
        <v>299</v>
      </c>
      <c r="C5280" s="1" t="str">
        <f>"MBTX30U"</f>
        <v>MBTX30U</v>
      </c>
      <c r="D5280" s="1" t="str">
        <f>"MBTX30U"</f>
        <v>MBTX30U</v>
      </c>
      <c r="E5280" s="1" t="s">
        <v>4566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</row>
    <row r="5281" spans="1:11" ht="30" x14ac:dyDescent="0.2">
      <c r="A5281" s="1" t="s">
        <v>245</v>
      </c>
      <c r="B5281" s="1" t="s">
        <v>300</v>
      </c>
      <c r="C5281" s="1" t="str">
        <f>"YTX5L-BS/MF"</f>
        <v>YTX5L-BS/MF</v>
      </c>
      <c r="D5281" s="1" t="str">
        <f>"YTX5L-BS/MF"</f>
        <v>YTX5L-BS/MF</v>
      </c>
      <c r="E5281" s="1" t="s">
        <v>4566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</row>
    <row r="5282" spans="1:11" ht="30" x14ac:dyDescent="0.2">
      <c r="A5282" s="1" t="s">
        <v>245</v>
      </c>
      <c r="B5282" s="1" t="s">
        <v>301</v>
      </c>
      <c r="C5282" s="1" t="str">
        <f>"YTX4L-BS/SLA"</f>
        <v>YTX4L-BS/SLA</v>
      </c>
      <c r="D5282" s="1" t="str">
        <f>"YTX4L-BS/SLA"</f>
        <v>YTX4L-BS/SLA</v>
      </c>
      <c r="E5282" s="1" t="s">
        <v>4566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</row>
    <row r="5283" spans="1:11" x14ac:dyDescent="0.2">
      <c r="A5283" s="1" t="s">
        <v>245</v>
      </c>
      <c r="B5283" s="1" t="s">
        <v>302</v>
      </c>
      <c r="C5283" s="1" t="str">
        <f>"YTX4L-BSHQ"</f>
        <v>YTX4L-BSHQ</v>
      </c>
      <c r="D5283" s="1" t="str">
        <f>"YTX4L-BSHQ"</f>
        <v>YTX4L-BSHQ</v>
      </c>
      <c r="E5283" s="1" t="s">
        <v>4566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</row>
    <row r="5284" spans="1:11" x14ac:dyDescent="0.2">
      <c r="A5284" s="1" t="s">
        <v>245</v>
      </c>
      <c r="B5284" s="1" t="s">
        <v>303</v>
      </c>
      <c r="C5284" s="1" t="str">
        <f>"MBTX4U"</f>
        <v>MBTX4U</v>
      </c>
      <c r="D5284" s="1" t="str">
        <f>"MBTX4U"</f>
        <v>MBTX4U</v>
      </c>
      <c r="E5284" s="1" t="s">
        <v>4566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</row>
    <row r="5285" spans="1:11" ht="30" x14ac:dyDescent="0.2">
      <c r="A5285" s="1" t="s">
        <v>245</v>
      </c>
      <c r="B5285" s="1" t="s">
        <v>304</v>
      </c>
      <c r="C5285" s="1" t="str">
        <f>"YB5L-B-BS/SLA"</f>
        <v>YB5L-B-BS/SLA</v>
      </c>
      <c r="D5285" s="1" t="str">
        <f>"YB5L-B-BS/SLA"</f>
        <v>YB5L-B-BS/SLA</v>
      </c>
      <c r="E5285" s="1" t="s">
        <v>4566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</row>
    <row r="5286" spans="1:11" ht="30" x14ac:dyDescent="0.2">
      <c r="A5286" s="1" t="s">
        <v>245</v>
      </c>
      <c r="B5286" s="1" t="s">
        <v>305</v>
      </c>
      <c r="C5286" s="1" t="str">
        <f>"YTX5L-BS/SLA"</f>
        <v>YTX5L-BS/SLA</v>
      </c>
      <c r="D5286" s="1" t="str">
        <f>"YTX5L-BS/SLA"</f>
        <v>YTX5L-BS/SLA</v>
      </c>
      <c r="E5286" s="1" t="s">
        <v>4566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</row>
    <row r="5287" spans="1:11" x14ac:dyDescent="0.2">
      <c r="A5287" s="1" t="s">
        <v>245</v>
      </c>
      <c r="B5287" s="1" t="s">
        <v>306</v>
      </c>
      <c r="C5287" s="1" t="str">
        <f>"66298794375930"</f>
        <v>66298794375930</v>
      </c>
      <c r="D5287" s="1" t="str">
        <f>"YTX5L-BSQS"</f>
        <v>YTX5L-BSQS</v>
      </c>
      <c r="E5287" s="1" t="s">
        <v>4566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</row>
    <row r="5288" spans="1:11" x14ac:dyDescent="0.2">
      <c r="A5288" s="1" t="s">
        <v>245</v>
      </c>
      <c r="B5288" s="1" t="s">
        <v>307</v>
      </c>
      <c r="C5288" s="1" t="str">
        <f>"YTX5L-GEL-BSMZ"</f>
        <v>YTX5L-GEL-BSMZ</v>
      </c>
      <c r="D5288" s="1" t="str">
        <f>"YTX5L-GEL-BSMZ"</f>
        <v>YTX5L-GEL-BSMZ</v>
      </c>
      <c r="E5288" s="1" t="s">
        <v>4566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</row>
    <row r="5289" spans="1:11" ht="30" x14ac:dyDescent="0.2">
      <c r="A5289" s="1" t="s">
        <v>245</v>
      </c>
      <c r="B5289" s="1" t="s">
        <v>308</v>
      </c>
      <c r="C5289" s="1" t="str">
        <f>"YTX7L-BS/SLA"</f>
        <v>YTX7L-BS/SLA</v>
      </c>
      <c r="D5289" s="1" t="str">
        <f>"YTX7L-BS/SLA"</f>
        <v>YTX7L-BS/SLA</v>
      </c>
      <c r="E5289" s="1" t="s">
        <v>4566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</row>
    <row r="5290" spans="1:11" ht="30" x14ac:dyDescent="0.2">
      <c r="A5290" s="1" t="s">
        <v>245</v>
      </c>
      <c r="B5290" s="1" t="s">
        <v>309</v>
      </c>
      <c r="C5290" s="1" t="str">
        <f>"YTX7A-BS/SLA"</f>
        <v>YTX7A-BS/SLA</v>
      </c>
      <c r="D5290" s="1" t="str">
        <f>"YTX7A-BS/SLA"</f>
        <v>YTX7A-BS/SLA</v>
      </c>
      <c r="E5290" s="1" t="s">
        <v>4566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</row>
    <row r="5291" spans="1:11" ht="30" x14ac:dyDescent="0.2">
      <c r="A5291" s="1" t="s">
        <v>245</v>
      </c>
      <c r="B5291" s="1" t="s">
        <v>310</v>
      </c>
      <c r="C5291" s="1" t="str">
        <f>"YTZ7S-BS/SLA"</f>
        <v>YTZ7S-BS/SLA</v>
      </c>
      <c r="D5291" s="1" t="str">
        <f>"YTZ7S-BS/SLA"</f>
        <v>YTZ7S-BS/SLA</v>
      </c>
      <c r="E5291" s="1" t="s">
        <v>4566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</row>
    <row r="5292" spans="1:11" x14ac:dyDescent="0.2">
      <c r="A5292" s="1" t="s">
        <v>245</v>
      </c>
      <c r="B5292" s="1" t="s">
        <v>311</v>
      </c>
      <c r="C5292" s="1" t="str">
        <f>"YTX7A-BS-KAGE"</f>
        <v>YTX7A-BS-KAGE</v>
      </c>
      <c r="D5292" s="1" t="str">
        <f>"YTX7A-BS-KAGE"</f>
        <v>YTX7A-BS-KAGE</v>
      </c>
      <c r="E5292" s="1" t="s">
        <v>4566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</row>
    <row r="5293" spans="1:11" x14ac:dyDescent="0.2">
      <c r="A5293" s="1" t="s">
        <v>245</v>
      </c>
      <c r="B5293" s="1" t="s">
        <v>311</v>
      </c>
      <c r="C5293" s="1" t="str">
        <f>"YTX7L-BS-KAGE"</f>
        <v>YTX7L-BS-KAGE</v>
      </c>
      <c r="D5293" s="1" t="str">
        <f>"YTX7L-BS-KAGE"</f>
        <v>YTX7L-BS-KAGE</v>
      </c>
      <c r="E5293" s="1" t="s">
        <v>4566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</row>
    <row r="5294" spans="1:11" ht="30" x14ac:dyDescent="0.2">
      <c r="A5294" s="1" t="s">
        <v>245</v>
      </c>
      <c r="B5294" s="1" t="s">
        <v>312</v>
      </c>
      <c r="C5294" s="1" t="str">
        <f>"YT7B-4-BS/SLA"</f>
        <v>YT7B-4-BS/SLA</v>
      </c>
      <c r="D5294" s="1" t="str">
        <f>"YT7B-4-BS/SLA"</f>
        <v>YT7B-4-BS/SLA</v>
      </c>
      <c r="E5294" s="1" t="s">
        <v>4566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</row>
    <row r="5295" spans="1:11" ht="30" x14ac:dyDescent="0.2">
      <c r="A5295" s="1" t="s">
        <v>245</v>
      </c>
      <c r="B5295" s="1" t="s">
        <v>313</v>
      </c>
      <c r="C5295" s="1" t="str">
        <f>"YTX6.5L-BS/SLA"</f>
        <v>YTX6.5L-BS/SLA</v>
      </c>
      <c r="D5295" s="1" t="str">
        <f>"YTX6.5L-BS/SLA"</f>
        <v>YTX6.5L-BS/SLA</v>
      </c>
      <c r="E5295" s="1" t="s">
        <v>4566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</row>
    <row r="5296" spans="1:11" x14ac:dyDescent="0.2">
      <c r="A5296" s="1" t="s">
        <v>245</v>
      </c>
      <c r="B5296" s="1" t="s">
        <v>314</v>
      </c>
      <c r="C5296" s="1" t="str">
        <f>"MBTZ7S"</f>
        <v>MBTZ7S</v>
      </c>
      <c r="D5296" s="1" t="str">
        <f>"MBTZ7S"</f>
        <v>MBTZ7S</v>
      </c>
      <c r="E5296" s="1" t="s">
        <v>4566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</row>
    <row r="5297" spans="1:11" x14ac:dyDescent="0.2">
      <c r="A5297" s="1" t="s">
        <v>245</v>
      </c>
      <c r="B5297" s="1" t="s">
        <v>314</v>
      </c>
      <c r="C5297" s="1" t="str">
        <f>"MB7U"</f>
        <v>MB7U</v>
      </c>
      <c r="D5297" s="1" t="str">
        <f>"MB7U"</f>
        <v>MB7U</v>
      </c>
      <c r="E5297" s="1" t="s">
        <v>4566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</row>
    <row r="5298" spans="1:11" x14ac:dyDescent="0.2">
      <c r="A5298" s="1" t="s">
        <v>245</v>
      </c>
      <c r="B5298" s="1" t="s">
        <v>315</v>
      </c>
      <c r="C5298" s="1" t="str">
        <f>"12N6.5-BSHQ"</f>
        <v>12N6.5-BSHQ</v>
      </c>
      <c r="D5298" s="1" t="str">
        <f>"12N6.5-BSHQ"</f>
        <v>12N6.5-BSHQ</v>
      </c>
      <c r="E5298" s="1" t="s">
        <v>4566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</row>
    <row r="5299" spans="1:11" ht="30" x14ac:dyDescent="0.2">
      <c r="A5299" s="1" t="s">
        <v>245</v>
      </c>
      <c r="B5299" s="1" t="s">
        <v>316</v>
      </c>
      <c r="C5299" s="1" t="str">
        <f>"12N7A-3A-BS/DRY"</f>
        <v>12N7A-3A-BS/DRY</v>
      </c>
      <c r="D5299" s="1" t="str">
        <f>"12N7A-3A-BS/DRY"</f>
        <v>12N7A-3A-BS/DRY</v>
      </c>
      <c r="E5299" s="1" t="s">
        <v>4566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</row>
    <row r="5300" spans="1:11" ht="30" x14ac:dyDescent="0.2">
      <c r="A5300" s="1" t="s">
        <v>245</v>
      </c>
      <c r="B5300" s="1" t="s">
        <v>317</v>
      </c>
      <c r="C5300" s="1" t="str">
        <f>"12N7-4A-BS/DRY"</f>
        <v>12N7-4A-BS/DRY</v>
      </c>
      <c r="D5300" s="1" t="str">
        <f>"12N7-4A-BS/DRY"</f>
        <v>12N7-4A-BS/DRY</v>
      </c>
      <c r="E5300" s="1" t="s">
        <v>4566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</row>
    <row r="5301" spans="1:11" ht="30" x14ac:dyDescent="0.2">
      <c r="A5301" s="1" t="s">
        <v>245</v>
      </c>
      <c r="B5301" s="1" t="s">
        <v>318</v>
      </c>
      <c r="C5301" s="1" t="str">
        <f>"12N7-3B-BS/DRY"</f>
        <v>12N7-3B-BS/DRY</v>
      </c>
      <c r="D5301" s="1" t="str">
        <f>"12N7-3B-BS/DRY"</f>
        <v>12N7-3B-BS/DRY</v>
      </c>
      <c r="E5301" s="1" t="s">
        <v>4566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</row>
    <row r="5302" spans="1:11" ht="30" x14ac:dyDescent="0.2">
      <c r="A5302" s="1" t="s">
        <v>245</v>
      </c>
      <c r="B5302" s="1" t="s">
        <v>319</v>
      </c>
      <c r="C5302" s="1" t="str">
        <f>"YB7B-B-BS/DRY"</f>
        <v>YB7B-B-BS/DRY</v>
      </c>
      <c r="D5302" s="1" t="str">
        <f>"YB7B-B-BS/DRY"</f>
        <v>YB7B-B-BS/DRY</v>
      </c>
      <c r="E5302" s="1" t="s">
        <v>4566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</row>
    <row r="5303" spans="1:11" ht="30" x14ac:dyDescent="0.2">
      <c r="A5303" s="1" t="s">
        <v>245</v>
      </c>
      <c r="B5303" s="1" t="s">
        <v>320</v>
      </c>
      <c r="C5303" s="1" t="str">
        <f>"YTZ8V-BS/SLA"</f>
        <v>YTZ8V-BS/SLA</v>
      </c>
      <c r="D5303" s="1" t="str">
        <f>"YTZ8V-BS/SLA"</f>
        <v>YTZ8V-BS/SLA</v>
      </c>
      <c r="E5303" s="1" t="s">
        <v>4566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</row>
    <row r="5304" spans="1:11" x14ac:dyDescent="0.2">
      <c r="A5304" s="1" t="s">
        <v>245</v>
      </c>
      <c r="B5304" s="1" t="s">
        <v>321</v>
      </c>
      <c r="C5304" s="1" t="str">
        <f>"MB5U"</f>
        <v>MB5U</v>
      </c>
      <c r="D5304" s="1" t="str">
        <f>"MB5U"</f>
        <v>MB5U</v>
      </c>
      <c r="E5304" s="1" t="s">
        <v>4566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</row>
    <row r="5305" spans="1:11" x14ac:dyDescent="0.2">
      <c r="A5305" s="1" t="s">
        <v>245</v>
      </c>
      <c r="B5305" s="1" t="s">
        <v>321</v>
      </c>
      <c r="C5305" s="1" t="str">
        <f>"MTX7D"</f>
        <v>MTX7D</v>
      </c>
      <c r="D5305" s="1" t="str">
        <f>"MTX7D"</f>
        <v>MTX7D</v>
      </c>
      <c r="E5305" s="1" t="s">
        <v>4566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</row>
    <row r="5306" spans="1:11" x14ac:dyDescent="0.2">
      <c r="A5306" s="1" t="s">
        <v>245</v>
      </c>
      <c r="B5306" s="1" t="s">
        <v>322</v>
      </c>
      <c r="C5306" s="1" t="str">
        <f>"66298794770594"</f>
        <v>66298794770594</v>
      </c>
      <c r="D5306" s="1" t="str">
        <f>"12N7-3BSQS"</f>
        <v>12N7-3BSQS</v>
      </c>
      <c r="E5306" s="1" t="s">
        <v>4566</v>
      </c>
      <c r="F5306" s="1">
        <v>15</v>
      </c>
      <c r="G5306" s="1">
        <v>11938</v>
      </c>
      <c r="H5306" s="1">
        <v>179070</v>
      </c>
      <c r="I5306" s="1">
        <v>0</v>
      </c>
      <c r="J5306" s="1">
        <v>15</v>
      </c>
      <c r="K5306" s="1">
        <v>0</v>
      </c>
    </row>
    <row r="5307" spans="1:11" x14ac:dyDescent="0.2">
      <c r="A5307" s="1" t="s">
        <v>245</v>
      </c>
      <c r="B5307" s="1" t="s">
        <v>322</v>
      </c>
      <c r="C5307" s="1" t="str">
        <f>"66298794780459"</f>
        <v>66298794780459</v>
      </c>
      <c r="D5307" s="1" t="str">
        <f>"YTX7A-BSQS"</f>
        <v>YTX7A-BSQS</v>
      </c>
      <c r="E5307" s="1" t="s">
        <v>4566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</row>
    <row r="5308" spans="1:11" x14ac:dyDescent="0.2">
      <c r="A5308" s="1" t="s">
        <v>245</v>
      </c>
      <c r="B5308" s="1" t="s">
        <v>322</v>
      </c>
      <c r="C5308" s="1" t="str">
        <f>"YTX7L-BSQS"</f>
        <v>YTX7L-BSQS</v>
      </c>
      <c r="D5308" s="1" t="str">
        <f>"YTX7L-BSQS"</f>
        <v>YTX7L-BSQS</v>
      </c>
      <c r="E5308" s="1" t="s">
        <v>4566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</row>
    <row r="5309" spans="1:11" x14ac:dyDescent="0.2">
      <c r="A5309" s="1" t="s">
        <v>245</v>
      </c>
      <c r="B5309" s="1" t="s">
        <v>322</v>
      </c>
      <c r="C5309" s="1" t="str">
        <f>"12N7A-3A-BSQS"</f>
        <v>12N7A-3A-BSQS</v>
      </c>
      <c r="D5309" s="1" t="str">
        <f>"12N7A-3A-BSQS"</f>
        <v>12N7A-3A-BSQS</v>
      </c>
      <c r="E5309" s="1" t="s">
        <v>4566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</row>
    <row r="5310" spans="1:11" x14ac:dyDescent="0.2">
      <c r="A5310" s="1" t="s">
        <v>245</v>
      </c>
      <c r="B5310" s="1" t="s">
        <v>322</v>
      </c>
      <c r="C5310" s="1" t="str">
        <f>"12N7-4A-BSQS"</f>
        <v>12N7-4A-BSQS</v>
      </c>
      <c r="D5310" s="1" t="str">
        <f>"12N7-4A-BSQS"</f>
        <v>12N7-4A-BSQS</v>
      </c>
      <c r="E5310" s="1" t="s">
        <v>4566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</row>
    <row r="5311" spans="1:11" x14ac:dyDescent="0.2">
      <c r="A5311" s="1" t="s">
        <v>245</v>
      </c>
      <c r="B5311" s="1" t="s">
        <v>323</v>
      </c>
      <c r="C5311" s="1" t="str">
        <f>"12N7A-3A-BSHQ"</f>
        <v>12N7A-3A-BSHQ</v>
      </c>
      <c r="D5311" s="1" t="str">
        <f>"12N7A-3A-BSHQ"</f>
        <v>12N7A-3A-BSHQ</v>
      </c>
      <c r="E5311" s="1" t="s">
        <v>4566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</row>
    <row r="5312" spans="1:11" x14ac:dyDescent="0.2">
      <c r="A5312" s="1" t="s">
        <v>245</v>
      </c>
      <c r="B5312" s="1" t="s">
        <v>324</v>
      </c>
      <c r="C5312" s="1" t="str">
        <f>"YB7-A-BS-KAGE"</f>
        <v>YB7-A-BS-KAGE</v>
      </c>
      <c r="D5312" s="1" t="str">
        <f>"YB7-A-BS-KAGE"</f>
        <v>YB7-A-BS-KAGE</v>
      </c>
      <c r="E5312" s="1" t="s">
        <v>4566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</row>
    <row r="5313" spans="1:11" x14ac:dyDescent="0.2">
      <c r="A5313" s="1" t="s">
        <v>245</v>
      </c>
      <c r="B5313" s="1" t="s">
        <v>324</v>
      </c>
      <c r="C5313" s="1" t="str">
        <f>"YB7L-B-KAGE"</f>
        <v>YB7L-B-KAGE</v>
      </c>
      <c r="D5313" s="1" t="str">
        <f>"YB7L-B-KAGE"</f>
        <v>YB7L-B-KAGE</v>
      </c>
      <c r="E5313" s="1" t="s">
        <v>4566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</row>
    <row r="5314" spans="1:11" x14ac:dyDescent="0.2">
      <c r="A5314" s="1" t="s">
        <v>245</v>
      </c>
      <c r="B5314" s="1" t="s">
        <v>325</v>
      </c>
      <c r="C5314" s="1" t="str">
        <f>"YTX7L-GEL-BSMZ"</f>
        <v>YTX7L-GEL-BSMZ</v>
      </c>
      <c r="D5314" s="1" t="str">
        <f>"YTX7L-GEL-BSMZ"</f>
        <v>YTX7L-GEL-BSMZ</v>
      </c>
      <c r="E5314" s="1" t="s">
        <v>4566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</row>
    <row r="5315" spans="1:11" ht="30" x14ac:dyDescent="0.2">
      <c r="A5315" s="1" t="s">
        <v>245</v>
      </c>
      <c r="B5315" s="1" t="s">
        <v>326</v>
      </c>
      <c r="C5315" s="1" t="str">
        <f>"YTX9-BS/MF"</f>
        <v>YTX9-BS/MF</v>
      </c>
      <c r="D5315" s="1" t="str">
        <f>"YTX9-BS/MF"</f>
        <v>YTX9-BS/MF</v>
      </c>
      <c r="E5315" s="1" t="s">
        <v>4566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</row>
    <row r="5316" spans="1:11" ht="30" x14ac:dyDescent="0.2">
      <c r="A5316" s="1" t="s">
        <v>245</v>
      </c>
      <c r="B5316" s="1" t="s">
        <v>327</v>
      </c>
      <c r="C5316" s="1" t="str">
        <f>"YT9B-4-BS/SLA"</f>
        <v>YT9B-4-BS/SLA</v>
      </c>
      <c r="D5316" s="1" t="str">
        <f>"YT9B-4-BS/SLA"</f>
        <v>YT9B-4-BS/SLA</v>
      </c>
      <c r="E5316" s="1" t="s">
        <v>4566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</row>
    <row r="5317" spans="1:11" ht="30" x14ac:dyDescent="0.2">
      <c r="A5317" s="1" t="s">
        <v>245</v>
      </c>
      <c r="B5317" s="1" t="s">
        <v>328</v>
      </c>
      <c r="C5317" s="1" t="str">
        <f>"YTX9-BS/SLA"</f>
        <v>YTX9-BS/SLA</v>
      </c>
      <c r="D5317" s="1" t="str">
        <f>"YTX9-BS/SLA"</f>
        <v>YTX9-BS/SLA</v>
      </c>
      <c r="E5317" s="1" t="s">
        <v>4566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</row>
    <row r="5318" spans="1:11" x14ac:dyDescent="0.2">
      <c r="A5318" s="1" t="s">
        <v>245</v>
      </c>
      <c r="B5318" s="1" t="s">
        <v>329</v>
      </c>
      <c r="C5318" s="1" t="str">
        <f>"MBTX7U"</f>
        <v>MBTX7U</v>
      </c>
      <c r="D5318" s="1" t="str">
        <f>"MBTX7U"</f>
        <v>MBTX7U</v>
      </c>
      <c r="E5318" s="1" t="s">
        <v>4566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</row>
    <row r="5319" spans="1:11" x14ac:dyDescent="0.2">
      <c r="A5319" s="1" t="s">
        <v>245</v>
      </c>
      <c r="B5319" s="1" t="s">
        <v>330</v>
      </c>
      <c r="C5319" s="1" t="str">
        <f>"66298794941330"</f>
        <v>66298794941330</v>
      </c>
      <c r="D5319" s="1" t="str">
        <f>"YTX9-BSQS"</f>
        <v>YTX9-BSQS</v>
      </c>
      <c r="E5319" s="1" t="s">
        <v>4566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</row>
    <row r="5320" spans="1:11" ht="30" x14ac:dyDescent="0.2">
      <c r="A5320" s="1" t="s">
        <v>245</v>
      </c>
      <c r="B5320" s="1" t="s">
        <v>331</v>
      </c>
      <c r="C5320" s="1" t="str">
        <f>"YTZ10S-BS/SLA"</f>
        <v>YTZ10S-BS/SLA</v>
      </c>
      <c r="D5320" s="1" t="str">
        <f>"YTZ10S-BS/SLA"</f>
        <v>YTZ10S-BS/SLA</v>
      </c>
      <c r="E5320" s="1" t="s">
        <v>4566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</row>
    <row r="5321" spans="1:11" x14ac:dyDescent="0.2">
      <c r="A5321" s="1" t="s">
        <v>245</v>
      </c>
      <c r="B5321" s="1" t="s">
        <v>332</v>
      </c>
      <c r="C5321" s="1" t="str">
        <f>"MBTZ10S"</f>
        <v>MBTZ10S</v>
      </c>
      <c r="D5321" s="1" t="str">
        <f>"MBTZ10S"</f>
        <v>MBTZ10S</v>
      </c>
      <c r="E5321" s="1" t="s">
        <v>4566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</row>
    <row r="5322" spans="1:11" ht="30" x14ac:dyDescent="0.2">
      <c r="A5322" s="1" t="s">
        <v>245</v>
      </c>
      <c r="B5322" s="1" t="s">
        <v>333</v>
      </c>
      <c r="C5322" s="1" t="str">
        <f>"12N9-4B-1-BS/DRY"</f>
        <v>12N9-4B-1-BS/DRY</v>
      </c>
      <c r="D5322" s="1" t="str">
        <f>"12N9-4B-1-BS/DRY"</f>
        <v>12N9-4B-1-BS/DRY</v>
      </c>
      <c r="E5322" s="1" t="s">
        <v>4566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</row>
    <row r="5323" spans="1:11" ht="30" x14ac:dyDescent="0.2">
      <c r="A5323" s="1" t="s">
        <v>245</v>
      </c>
      <c r="B5323" s="1" t="s">
        <v>334</v>
      </c>
      <c r="C5323" s="1" t="str">
        <f>"12N9-3B-BS/DRY"</f>
        <v>12N9-3B-BS/DRY</v>
      </c>
      <c r="D5323" s="1" t="str">
        <f>"12N9-3B-BS/DRY"</f>
        <v>12N9-3B-BS/DRY</v>
      </c>
      <c r="E5323" s="1" t="s">
        <v>4566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</row>
    <row r="5324" spans="1:11" ht="30" x14ac:dyDescent="0.2">
      <c r="A5324" s="1" t="s">
        <v>245</v>
      </c>
      <c r="B5324" s="1" t="s">
        <v>335</v>
      </c>
      <c r="C5324" s="1" t="str">
        <f>"YT9A-BS/MF"</f>
        <v>YT9A-BS/MF</v>
      </c>
      <c r="D5324" s="1" t="str">
        <f>"YT9A-BS/MF"</f>
        <v>YT9A-BS/MF</v>
      </c>
      <c r="E5324" s="1" t="s">
        <v>4566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</row>
    <row r="5325" spans="1:11" ht="30" x14ac:dyDescent="0.2">
      <c r="A5325" s="1" t="s">
        <v>245</v>
      </c>
      <c r="B5325" s="1" t="s">
        <v>336</v>
      </c>
      <c r="C5325" s="1" t="str">
        <f>"YB9-B-BS/SLA"</f>
        <v>YB9-B-BS/SLA</v>
      </c>
      <c r="D5325" s="1" t="str">
        <f>"YB9-B-BS/SLA"</f>
        <v>YB9-B-BS/SLA</v>
      </c>
      <c r="E5325" s="1" t="s">
        <v>4566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</row>
    <row r="5326" spans="1:11" x14ac:dyDescent="0.2">
      <c r="A5326" s="1" t="s">
        <v>245</v>
      </c>
      <c r="B5326" s="1" t="s">
        <v>337</v>
      </c>
      <c r="C5326" s="1" t="str">
        <f>"MBT9B4"</f>
        <v>MBT9B4</v>
      </c>
      <c r="D5326" s="1" t="str">
        <f>"MBT9B4"</f>
        <v>MBT9B4</v>
      </c>
      <c r="E5326" s="1" t="s">
        <v>4566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</row>
    <row r="5327" spans="1:11" x14ac:dyDescent="0.2">
      <c r="A5327" s="1" t="s">
        <v>245</v>
      </c>
      <c r="B5327" s="1" t="s">
        <v>337</v>
      </c>
      <c r="C5327" s="1" t="str">
        <f>"MB7BB"</f>
        <v>MB7BB</v>
      </c>
      <c r="D5327" s="1" t="str">
        <f>"MB7BB"</f>
        <v>MB7BB</v>
      </c>
      <c r="E5327" s="1" t="s">
        <v>4566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</row>
    <row r="5328" spans="1:11" x14ac:dyDescent="0.2">
      <c r="A5328" s="1" t="s">
        <v>245</v>
      </c>
      <c r="B5328" s="1" t="s">
        <v>338</v>
      </c>
      <c r="C5328" s="1" t="str">
        <f>"66298795050215"</f>
        <v>66298795050215</v>
      </c>
      <c r="D5328" s="1" t="str">
        <f>"12N9-4B-1QS"</f>
        <v>12N9-4B-1QS</v>
      </c>
      <c r="E5328" s="1" t="s">
        <v>4566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</row>
    <row r="5329" spans="1:11" x14ac:dyDescent="0.2">
      <c r="A5329" s="1" t="s">
        <v>245</v>
      </c>
      <c r="B5329" s="1" t="s">
        <v>338</v>
      </c>
      <c r="C5329" s="1" t="str">
        <f>"12N9-3B-BSQS"</f>
        <v>12N9-3B-BSQS</v>
      </c>
      <c r="D5329" s="1" t="str">
        <f>"12N9-3B-BSQS"</f>
        <v>12N9-3B-BSQS</v>
      </c>
      <c r="E5329" s="1" t="s">
        <v>4566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</row>
    <row r="5330" spans="1:11" x14ac:dyDescent="0.2">
      <c r="A5330" s="1" t="s">
        <v>245</v>
      </c>
      <c r="B5330" s="1" t="s">
        <v>339</v>
      </c>
      <c r="C5330" s="1" t="str">
        <f>"12N9-BSHQ"</f>
        <v>12N9-BSHQ</v>
      </c>
      <c r="D5330" s="1" t="str">
        <f>"12N9-BSHQ"</f>
        <v>12N9-BSHQ</v>
      </c>
      <c r="E5330" s="1" t="s">
        <v>4566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</row>
    <row r="5331" spans="1:11" x14ac:dyDescent="0.2">
      <c r="A5331" s="1" t="s">
        <v>245</v>
      </c>
      <c r="B5331" s="1" t="s">
        <v>340</v>
      </c>
      <c r="C5331" s="1" t="str">
        <f>"12N9-BSMZ"</f>
        <v>12N9-BSMZ</v>
      </c>
      <c r="D5331" s="1" t="str">
        <f>"12N9-BSMZ"</f>
        <v>12N9-BSMZ</v>
      </c>
      <c r="E5331" s="1" t="s">
        <v>4566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</row>
    <row r="5332" spans="1:11" x14ac:dyDescent="0.2">
      <c r="A5332" s="1" t="s">
        <v>245</v>
      </c>
      <c r="B5332" s="1" t="s">
        <v>341</v>
      </c>
      <c r="C5332" s="1" t="str">
        <f>"6N4-2A-4-F"</f>
        <v>6N4-2A-4-F</v>
      </c>
      <c r="D5332" s="1" t="str">
        <f>"6N4-2A-4-F"</f>
        <v>6N4-2A-4-F</v>
      </c>
      <c r="E5332" s="1" t="s">
        <v>4566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</row>
    <row r="5333" spans="1:11" ht="30" x14ac:dyDescent="0.2">
      <c r="A5333" s="1" t="s">
        <v>342</v>
      </c>
      <c r="B5333" s="1" t="s">
        <v>343</v>
      </c>
      <c r="C5333" s="1" t="str">
        <f>"400497"</f>
        <v>400497</v>
      </c>
      <c r="D5333" s="1" t="str">
        <f>"400497"</f>
        <v>400497</v>
      </c>
      <c r="E5333" s="1" t="s">
        <v>4566</v>
      </c>
      <c r="F5333" s="1">
        <v>16</v>
      </c>
      <c r="G5333" s="1">
        <v>5160</v>
      </c>
      <c r="H5333" s="1">
        <v>82560</v>
      </c>
      <c r="I5333" s="1">
        <v>0</v>
      </c>
      <c r="J5333" s="1">
        <v>16</v>
      </c>
      <c r="K5333" s="1">
        <v>0</v>
      </c>
    </row>
    <row r="5334" spans="1:11" ht="30" x14ac:dyDescent="0.2">
      <c r="A5334" s="1" t="s">
        <v>342</v>
      </c>
      <c r="B5334" s="1" t="s">
        <v>344</v>
      </c>
      <c r="C5334" s="1" t="str">
        <f>"400498"</f>
        <v>400498</v>
      </c>
      <c r="D5334" s="1" t="str">
        <f>"400498"</f>
        <v>400498</v>
      </c>
      <c r="E5334" s="1" t="s">
        <v>4566</v>
      </c>
      <c r="F5334" s="1">
        <v>15</v>
      </c>
      <c r="G5334" s="1">
        <v>4348</v>
      </c>
      <c r="H5334" s="1">
        <v>65220</v>
      </c>
      <c r="I5334" s="1">
        <v>0</v>
      </c>
      <c r="J5334" s="1">
        <v>15</v>
      </c>
      <c r="K5334" s="1">
        <v>0</v>
      </c>
    </row>
    <row r="5335" spans="1:11" ht="30" x14ac:dyDescent="0.2">
      <c r="A5335" s="1" t="s">
        <v>342</v>
      </c>
      <c r="B5335" s="1" t="s">
        <v>345</v>
      </c>
      <c r="C5335" s="1" t="str">
        <f>"400499"</f>
        <v>400499</v>
      </c>
      <c r="D5335" s="1" t="str">
        <f>"400499"</f>
        <v>400499</v>
      </c>
      <c r="E5335" s="1" t="s">
        <v>4566</v>
      </c>
      <c r="F5335" s="1">
        <v>18</v>
      </c>
      <c r="G5335" s="1">
        <v>4515</v>
      </c>
      <c r="H5335" s="1">
        <v>81270</v>
      </c>
      <c r="I5335" s="1">
        <v>0</v>
      </c>
      <c r="J5335" s="1">
        <v>18</v>
      </c>
      <c r="K5335" s="1">
        <v>0</v>
      </c>
    </row>
    <row r="5336" spans="1:11" ht="30" x14ac:dyDescent="0.2">
      <c r="A5336" s="1" t="s">
        <v>342</v>
      </c>
      <c r="B5336" s="1" t="s">
        <v>346</v>
      </c>
      <c r="C5336" s="1" t="str">
        <f>"66298795595403"</f>
        <v>66298795595403</v>
      </c>
      <c r="D5336" s="1" t="str">
        <f>"400002"</f>
        <v>400002</v>
      </c>
      <c r="E5336" s="1" t="s">
        <v>4566</v>
      </c>
      <c r="F5336" s="1">
        <v>22</v>
      </c>
      <c r="G5336" s="1">
        <v>5377</v>
      </c>
      <c r="H5336" s="1">
        <v>118294</v>
      </c>
      <c r="I5336" s="1">
        <v>0</v>
      </c>
      <c r="J5336" s="1">
        <v>22</v>
      </c>
      <c r="K5336" s="1">
        <v>0</v>
      </c>
    </row>
    <row r="5337" spans="1:11" ht="30" x14ac:dyDescent="0.2">
      <c r="A5337" s="1" t="s">
        <v>342</v>
      </c>
      <c r="B5337" s="1" t="s">
        <v>347</v>
      </c>
      <c r="C5337" s="1" t="str">
        <f>"S410210321018"</f>
        <v>S410210321018</v>
      </c>
      <c r="D5337" s="1" t="str">
        <f>"S410210321018"</f>
        <v>S410210321018</v>
      </c>
      <c r="E5337" s="1" t="s">
        <v>4566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</row>
    <row r="5338" spans="1:11" x14ac:dyDescent="0.2">
      <c r="A5338" s="1" t="s">
        <v>342</v>
      </c>
      <c r="B5338" s="1" t="s">
        <v>348</v>
      </c>
      <c r="C5338" s="1" t="str">
        <f>"66298795509218"</f>
        <v>66298795509218</v>
      </c>
      <c r="D5338" s="1" t="str">
        <f>"400001"</f>
        <v>400001</v>
      </c>
      <c r="E5338" s="1" t="s">
        <v>4566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</row>
    <row r="5339" spans="1:11" x14ac:dyDescent="0.2">
      <c r="A5339" s="1" t="s">
        <v>342</v>
      </c>
      <c r="B5339" s="1" t="s">
        <v>349</v>
      </c>
      <c r="C5339" s="1" t="str">
        <f>"10548"</f>
        <v>10548</v>
      </c>
      <c r="D5339" s="1" t="str">
        <f>"10548"</f>
        <v>10548</v>
      </c>
      <c r="E5339" s="1" t="s">
        <v>4566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</row>
    <row r="5340" spans="1:11" ht="30" x14ac:dyDescent="0.2">
      <c r="A5340" s="1" t="s">
        <v>342</v>
      </c>
      <c r="B5340" s="1" t="s">
        <v>350</v>
      </c>
      <c r="C5340" s="1" t="str">
        <f>"13201-KTE-900JP"</f>
        <v>13201-KTE-900JP</v>
      </c>
      <c r="D5340" s="1" t="str">
        <f>"13201-KTE-900JP"</f>
        <v>13201-KTE-900JP</v>
      </c>
      <c r="E5340" s="1" t="s">
        <v>4566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</row>
    <row r="5341" spans="1:11" x14ac:dyDescent="0.2">
      <c r="A5341" s="1" t="s">
        <v>342</v>
      </c>
      <c r="B5341" s="1" t="s">
        <v>351</v>
      </c>
      <c r="C5341" s="1" t="str">
        <f>"66298795711618"</f>
        <v>66298795711618</v>
      </c>
      <c r="D5341" s="1" t="str">
        <f>"400149"</f>
        <v>400149</v>
      </c>
      <c r="E5341" s="1" t="s">
        <v>4566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</row>
    <row r="5342" spans="1:11" x14ac:dyDescent="0.2">
      <c r="A5342" s="1" t="s">
        <v>342</v>
      </c>
      <c r="B5342" s="1" t="s">
        <v>352</v>
      </c>
      <c r="C5342" s="1" t="str">
        <f>"66298795673244"</f>
        <v>66298795673244</v>
      </c>
      <c r="D5342" s="1" t="str">
        <f>"13201-KRM-900JP"</f>
        <v>13201-KRM-900JP</v>
      </c>
      <c r="E5342" s="1" t="s">
        <v>4566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</row>
    <row r="5343" spans="1:11" ht="30" x14ac:dyDescent="0.2">
      <c r="A5343" s="1" t="s">
        <v>342</v>
      </c>
      <c r="B5343" s="1" t="s">
        <v>353</v>
      </c>
      <c r="C5343" s="1" t="str">
        <f>"SM-30207-000"</f>
        <v>SM-30207-000</v>
      </c>
      <c r="D5343" s="1" t="str">
        <f>"SM-30207-000"</f>
        <v>SM-30207-000</v>
      </c>
      <c r="E5343" s="1" t="s">
        <v>4566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</row>
    <row r="5344" spans="1:11" x14ac:dyDescent="0.2">
      <c r="A5344" s="1" t="s">
        <v>342</v>
      </c>
      <c r="B5344" s="1" t="s">
        <v>354</v>
      </c>
      <c r="C5344" s="1" t="str">
        <f>"21C-E1651-00"</f>
        <v>21C-E1651-00</v>
      </c>
      <c r="D5344" s="1" t="str">
        <f>"21C-E1651-00"</f>
        <v>21C-E1651-00</v>
      </c>
      <c r="E5344" s="1" t="s">
        <v>4566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</row>
    <row r="5345" spans="1:11" ht="30" x14ac:dyDescent="0.2">
      <c r="A5345" s="1" t="s">
        <v>342</v>
      </c>
      <c r="B5345" s="1" t="s">
        <v>355</v>
      </c>
      <c r="C5345" s="1" t="str">
        <f>"400504"</f>
        <v>400504</v>
      </c>
      <c r="D5345" s="1" t="str">
        <f>"400504"</f>
        <v>400504</v>
      </c>
      <c r="E5345" s="1" t="s">
        <v>4566</v>
      </c>
      <c r="F5345" s="1">
        <v>13</v>
      </c>
      <c r="G5345" s="1">
        <v>6450</v>
      </c>
      <c r="H5345" s="1">
        <v>83850</v>
      </c>
      <c r="I5345" s="1">
        <v>0</v>
      </c>
      <c r="J5345" s="1">
        <v>13</v>
      </c>
      <c r="K5345" s="1">
        <v>0</v>
      </c>
    </row>
    <row r="5346" spans="1:11" ht="30" x14ac:dyDescent="0.2">
      <c r="A5346" s="1" t="s">
        <v>342</v>
      </c>
      <c r="B5346" s="1" t="s">
        <v>356</v>
      </c>
      <c r="C5346" s="1" t="str">
        <f>"400505"</f>
        <v>400505</v>
      </c>
      <c r="D5346" s="1" t="str">
        <f>"400505"</f>
        <v>400505</v>
      </c>
      <c r="E5346" s="1" t="s">
        <v>4566</v>
      </c>
      <c r="F5346" s="1">
        <v>8</v>
      </c>
      <c r="G5346" s="1">
        <v>6450</v>
      </c>
      <c r="H5346" s="1">
        <v>51600</v>
      </c>
      <c r="I5346" s="1">
        <v>0</v>
      </c>
      <c r="J5346" s="1">
        <v>8</v>
      </c>
      <c r="K5346" s="1">
        <v>0</v>
      </c>
    </row>
    <row r="5347" spans="1:11" x14ac:dyDescent="0.2">
      <c r="A5347" s="1" t="s">
        <v>342</v>
      </c>
      <c r="B5347" s="1" t="s">
        <v>357</v>
      </c>
      <c r="C5347" s="1" t="str">
        <f>"12200-34J00JP"</f>
        <v>12200-34J00JP</v>
      </c>
      <c r="D5347" s="1" t="str">
        <f>"12200-34J00JP"</f>
        <v>12200-34J00JP</v>
      </c>
      <c r="E5347" s="1" t="s">
        <v>4566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</row>
    <row r="5348" spans="1:11" x14ac:dyDescent="0.2">
      <c r="A5348" s="1" t="s">
        <v>342</v>
      </c>
      <c r="B5348" s="1" t="s">
        <v>358</v>
      </c>
      <c r="C5348" s="1" t="str">
        <f>"B137"</f>
        <v>B137</v>
      </c>
      <c r="D5348" s="1" t="str">
        <f>"B137"</f>
        <v>B137</v>
      </c>
      <c r="E5348" s="1" t="s">
        <v>4566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</row>
    <row r="5349" spans="1:11" x14ac:dyDescent="0.2">
      <c r="A5349" s="1" t="s">
        <v>342</v>
      </c>
      <c r="B5349" s="1" t="s">
        <v>359</v>
      </c>
      <c r="C5349" s="1" t="str">
        <f>"12161-12F80JP"</f>
        <v>12161-12F80JP</v>
      </c>
      <c r="D5349" s="1" t="str">
        <f>"12161-12F80JP"</f>
        <v>12161-12F80JP</v>
      </c>
      <c r="E5349" s="1" t="s">
        <v>4566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</row>
    <row r="5350" spans="1:11" ht="30" x14ac:dyDescent="0.2">
      <c r="A5350" s="1" t="s">
        <v>342</v>
      </c>
      <c r="B5350" s="1" t="s">
        <v>360</v>
      </c>
      <c r="C5350" s="1" t="str">
        <f>"400506"</f>
        <v>400506</v>
      </c>
      <c r="D5350" s="1" t="str">
        <f>"400506"</f>
        <v>400506</v>
      </c>
      <c r="E5350" s="1" t="s">
        <v>4566</v>
      </c>
      <c r="F5350" s="1">
        <v>25</v>
      </c>
      <c r="G5350" s="1">
        <v>4515</v>
      </c>
      <c r="H5350" s="1">
        <v>112875</v>
      </c>
      <c r="I5350" s="1">
        <v>0</v>
      </c>
      <c r="J5350" s="1">
        <v>25</v>
      </c>
      <c r="K5350" s="1">
        <v>0</v>
      </c>
    </row>
    <row r="5351" spans="1:11" x14ac:dyDescent="0.2">
      <c r="A5351" s="1" t="s">
        <v>342</v>
      </c>
      <c r="B5351" s="1" t="s">
        <v>361</v>
      </c>
      <c r="C5351" s="1" t="str">
        <f>"12105-12F50JP"</f>
        <v>12105-12F50JP</v>
      </c>
      <c r="D5351" s="1" t="str">
        <f>"12105-12F50JP"</f>
        <v>12105-12F50JP</v>
      </c>
      <c r="E5351" s="1" t="s">
        <v>4566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</row>
    <row r="5352" spans="1:11" ht="30" x14ac:dyDescent="0.2">
      <c r="A5352" s="1" t="s">
        <v>342</v>
      </c>
      <c r="B5352" s="1" t="s">
        <v>362</v>
      </c>
      <c r="C5352" s="1" t="str">
        <f>"12200-30HA0"</f>
        <v>12200-30HA0</v>
      </c>
      <c r="D5352" s="1" t="str">
        <f>"12200-30HA0"</f>
        <v>12200-30HA0</v>
      </c>
      <c r="E5352" s="1" t="s">
        <v>4566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</row>
    <row r="5353" spans="1:11" ht="30" x14ac:dyDescent="0.2">
      <c r="A5353" s="1" t="s">
        <v>342</v>
      </c>
      <c r="B5353" s="1" t="s">
        <v>363</v>
      </c>
      <c r="C5353" s="1" t="str">
        <f>"400509"</f>
        <v>400509</v>
      </c>
      <c r="D5353" s="1" t="str">
        <f>"400509"</f>
        <v>400509</v>
      </c>
      <c r="E5353" s="1" t="s">
        <v>4566</v>
      </c>
      <c r="F5353" s="1">
        <v>25</v>
      </c>
      <c r="G5353" s="1">
        <v>6450</v>
      </c>
      <c r="H5353" s="1">
        <v>161250</v>
      </c>
      <c r="I5353" s="1">
        <v>0</v>
      </c>
      <c r="J5353" s="1">
        <v>25</v>
      </c>
      <c r="K5353" s="1">
        <v>0</v>
      </c>
    </row>
    <row r="5354" spans="1:11" ht="30" x14ac:dyDescent="0.2">
      <c r="A5354" s="1" t="s">
        <v>342</v>
      </c>
      <c r="B5354" s="1" t="s">
        <v>364</v>
      </c>
      <c r="C5354" s="1" t="str">
        <f>"400151"</f>
        <v>400151</v>
      </c>
      <c r="D5354" s="1" t="str">
        <f>"400151"</f>
        <v>400151</v>
      </c>
      <c r="E5354" s="1" t="s">
        <v>4566</v>
      </c>
      <c r="F5354" s="1">
        <v>21</v>
      </c>
      <c r="G5354" s="1">
        <v>9580</v>
      </c>
      <c r="H5354" s="1">
        <v>201180</v>
      </c>
      <c r="I5354" s="1">
        <v>0</v>
      </c>
      <c r="J5354" s="1">
        <v>21</v>
      </c>
      <c r="K5354" s="1">
        <v>0</v>
      </c>
    </row>
    <row r="5355" spans="1:11" x14ac:dyDescent="0.2">
      <c r="A5355" s="1" t="s">
        <v>342</v>
      </c>
      <c r="B5355" s="1" t="s">
        <v>365</v>
      </c>
      <c r="C5355" s="1" t="str">
        <f>"66298796247832"</f>
        <v>66298796247832</v>
      </c>
      <c r="D5355" s="1" t="str">
        <f>"12161-42A01JP"</f>
        <v>12161-42A01JP</v>
      </c>
      <c r="E5355" s="1" t="s">
        <v>4566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</row>
    <row r="5356" spans="1:11" ht="30" x14ac:dyDescent="0.2">
      <c r="A5356" s="1" t="s">
        <v>342</v>
      </c>
      <c r="B5356" s="1" t="s">
        <v>366</v>
      </c>
      <c r="C5356" s="1" t="str">
        <f>"400512"</f>
        <v>400512</v>
      </c>
      <c r="D5356" s="1" t="str">
        <f>"400512"</f>
        <v>400512</v>
      </c>
      <c r="E5356" s="1" t="s">
        <v>4566</v>
      </c>
      <c r="F5356" s="1">
        <v>20</v>
      </c>
      <c r="G5356" s="1">
        <v>5805</v>
      </c>
      <c r="H5356" s="1">
        <v>116100</v>
      </c>
      <c r="I5356" s="1">
        <v>0</v>
      </c>
      <c r="J5356" s="1">
        <v>20</v>
      </c>
      <c r="K5356" s="1">
        <v>0</v>
      </c>
    </row>
    <row r="5357" spans="1:11" ht="30" x14ac:dyDescent="0.2">
      <c r="A5357" s="1" t="s">
        <v>342</v>
      </c>
      <c r="B5357" s="1" t="s">
        <v>367</v>
      </c>
      <c r="C5357" s="1" t="str">
        <f>"400493"</f>
        <v>400493</v>
      </c>
      <c r="D5357" s="1" t="str">
        <f>"400493"</f>
        <v>400493</v>
      </c>
      <c r="E5357" s="1" t="s">
        <v>4566</v>
      </c>
      <c r="F5357" s="1">
        <v>26</v>
      </c>
      <c r="G5357" s="1">
        <v>3975</v>
      </c>
      <c r="H5357" s="1">
        <v>103350</v>
      </c>
      <c r="I5357" s="1">
        <v>0</v>
      </c>
      <c r="J5357" s="1">
        <v>26</v>
      </c>
      <c r="K5357" s="1">
        <v>0</v>
      </c>
    </row>
    <row r="5358" spans="1:11" x14ac:dyDescent="0.2">
      <c r="A5358" s="1" t="s">
        <v>342</v>
      </c>
      <c r="B5358" s="1" t="s">
        <v>368</v>
      </c>
      <c r="C5358" s="1" t="str">
        <f>"66298796449239"</f>
        <v>66298796449239</v>
      </c>
      <c r="D5358" s="1" t="str">
        <f>"JE-5310-00"</f>
        <v>JE-5310-00</v>
      </c>
      <c r="E5358" s="1" t="s">
        <v>4566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</row>
    <row r="5359" spans="1:11" ht="30" x14ac:dyDescent="0.2">
      <c r="A5359" s="1" t="s">
        <v>342</v>
      </c>
      <c r="B5359" s="1" t="s">
        <v>369</v>
      </c>
      <c r="C5359" s="1" t="str">
        <f>"400513"</f>
        <v>400513</v>
      </c>
      <c r="D5359" s="1" t="str">
        <f>"400513"</f>
        <v>400513</v>
      </c>
      <c r="E5359" s="1" t="s">
        <v>4566</v>
      </c>
      <c r="F5359" s="1">
        <v>11</v>
      </c>
      <c r="G5359" s="1">
        <v>5805</v>
      </c>
      <c r="H5359" s="1">
        <v>63855</v>
      </c>
      <c r="I5359" s="1">
        <v>0</v>
      </c>
      <c r="J5359" s="1">
        <v>11</v>
      </c>
      <c r="K5359" s="1">
        <v>0</v>
      </c>
    </row>
    <row r="5360" spans="1:11" ht="30" x14ac:dyDescent="0.2">
      <c r="A5360" s="1" t="s">
        <v>342</v>
      </c>
      <c r="B5360" s="1" t="s">
        <v>370</v>
      </c>
      <c r="C5360" s="1" t="str">
        <f>"400514"</f>
        <v>400514</v>
      </c>
      <c r="D5360" s="1" t="str">
        <f>"400514"</f>
        <v>400514</v>
      </c>
      <c r="E5360" s="1" t="s">
        <v>4566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</row>
    <row r="5361" spans="1:11" ht="30" x14ac:dyDescent="0.2">
      <c r="A5361" s="1" t="s">
        <v>342</v>
      </c>
      <c r="B5361" s="1" t="s">
        <v>371</v>
      </c>
      <c r="C5361" s="1" t="str">
        <f>"400492"</f>
        <v>400492</v>
      </c>
      <c r="D5361" s="1" t="str">
        <f>"400492"</f>
        <v>400492</v>
      </c>
      <c r="E5361" s="1" t="s">
        <v>4566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</row>
    <row r="5362" spans="1:11" ht="30" x14ac:dyDescent="0.2">
      <c r="A5362" s="1" t="s">
        <v>342</v>
      </c>
      <c r="B5362" s="1" t="s">
        <v>372</v>
      </c>
      <c r="C5362" s="1" t="str">
        <f>"13201-GY6-150JP"</f>
        <v>13201-GY6-150JP</v>
      </c>
      <c r="D5362" s="1" t="str">
        <f>"13201-GY6-150JP"</f>
        <v>13201-GY6-150JP</v>
      </c>
      <c r="E5362" s="1" t="s">
        <v>4566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</row>
    <row r="5363" spans="1:11" ht="30" x14ac:dyDescent="0.2">
      <c r="A5363" s="1" t="s">
        <v>342</v>
      </c>
      <c r="B5363" s="1" t="s">
        <v>373</v>
      </c>
      <c r="C5363" s="1" t="str">
        <f>"400494"</f>
        <v>400494</v>
      </c>
      <c r="D5363" s="1" t="str">
        <f>"400494"</f>
        <v>400494</v>
      </c>
      <c r="E5363" s="1" t="s">
        <v>4566</v>
      </c>
      <c r="F5363" s="1">
        <v>15</v>
      </c>
      <c r="G5363" s="1">
        <v>3361</v>
      </c>
      <c r="H5363" s="1">
        <v>50415</v>
      </c>
      <c r="I5363" s="1">
        <v>0</v>
      </c>
      <c r="J5363" s="1">
        <v>15</v>
      </c>
      <c r="K5363" s="1">
        <v>0</v>
      </c>
    </row>
    <row r="5364" spans="1:11" ht="30" x14ac:dyDescent="0.2">
      <c r="A5364" s="1" t="s">
        <v>342</v>
      </c>
      <c r="B5364" s="1" t="s">
        <v>374</v>
      </c>
      <c r="C5364" s="1" t="str">
        <f>"4ST-11650-00NPC"</f>
        <v>4ST-11650-00NPC</v>
      </c>
      <c r="D5364" s="1" t="str">
        <f>"4ST-11650-00NPC"</f>
        <v>4ST-11650-00NPC</v>
      </c>
      <c r="E5364" s="1" t="s">
        <v>4566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</row>
    <row r="5365" spans="1:11" x14ac:dyDescent="0.2">
      <c r="A5365" s="1" t="s">
        <v>342</v>
      </c>
      <c r="B5365" s="1" t="s">
        <v>375</v>
      </c>
      <c r="C5365" s="1" t="str">
        <f>"13201-KGA-B00JP"</f>
        <v>13201-KGA-B00JP</v>
      </c>
      <c r="D5365" s="1" t="str">
        <f>"13201-KGA-B00JP"</f>
        <v>13201-KGA-B00JP</v>
      </c>
      <c r="E5365" s="1" t="s">
        <v>4566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</row>
    <row r="5366" spans="1:11" ht="30" x14ac:dyDescent="0.2">
      <c r="A5366" s="1" t="s">
        <v>342</v>
      </c>
      <c r="B5366" s="1" t="s">
        <v>376</v>
      </c>
      <c r="C5366" s="1" t="str">
        <f>"13201-KPF-900JP"</f>
        <v>13201-KPF-900JP</v>
      </c>
      <c r="D5366" s="1" t="str">
        <f>"13201-KPF-900JP"</f>
        <v>13201-KPF-900JP</v>
      </c>
      <c r="E5366" s="1" t="s">
        <v>4566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</row>
    <row r="5367" spans="1:11" ht="30" x14ac:dyDescent="0.2">
      <c r="A5367" s="1" t="s">
        <v>342</v>
      </c>
      <c r="B5367" s="1" t="s">
        <v>377</v>
      </c>
      <c r="C5367" s="1" t="str">
        <f>"66298796836047"</f>
        <v>66298796836047</v>
      </c>
      <c r="D5367" s="1" t="str">
        <f>"400158"</f>
        <v>400158</v>
      </c>
      <c r="E5367" s="1" t="s">
        <v>4566</v>
      </c>
      <c r="F5367" s="1">
        <v>9</v>
      </c>
      <c r="G5367" s="1">
        <v>12789</v>
      </c>
      <c r="H5367" s="1">
        <v>115101</v>
      </c>
      <c r="I5367" s="1">
        <v>0</v>
      </c>
      <c r="J5367" s="1">
        <v>9</v>
      </c>
      <c r="K5367" s="1">
        <v>0</v>
      </c>
    </row>
    <row r="5368" spans="1:11" ht="30" x14ac:dyDescent="0.2">
      <c r="A5368" s="1" t="s">
        <v>342</v>
      </c>
      <c r="B5368" s="1" t="s">
        <v>378</v>
      </c>
      <c r="C5368" s="1" t="str">
        <f>"400516"</f>
        <v>400516</v>
      </c>
      <c r="D5368" s="1" t="str">
        <f>"400516"</f>
        <v>400516</v>
      </c>
      <c r="E5368" s="1" t="s">
        <v>4566</v>
      </c>
      <c r="F5368" s="1">
        <v>9</v>
      </c>
      <c r="G5368" s="1">
        <v>12901</v>
      </c>
      <c r="H5368" s="1">
        <v>116109</v>
      </c>
      <c r="I5368" s="1">
        <v>0</v>
      </c>
      <c r="J5368" s="1">
        <v>9</v>
      </c>
      <c r="K5368" s="1">
        <v>0</v>
      </c>
    </row>
    <row r="5369" spans="1:11" ht="30" x14ac:dyDescent="0.2">
      <c r="A5369" s="1" t="s">
        <v>342</v>
      </c>
      <c r="B5369" s="1" t="s">
        <v>379</v>
      </c>
      <c r="C5369" s="1" t="str">
        <f>"400148"</f>
        <v>400148</v>
      </c>
      <c r="D5369" s="1" t="str">
        <f>"400148"</f>
        <v>400148</v>
      </c>
      <c r="E5369" s="1" t="s">
        <v>4566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</row>
    <row r="5370" spans="1:11" x14ac:dyDescent="0.2">
      <c r="A5370" s="1" t="s">
        <v>342</v>
      </c>
      <c r="B5370" s="1" t="s">
        <v>380</v>
      </c>
      <c r="C5370" s="1" t="str">
        <f>"4LS-11651-00IN"</f>
        <v>4LS-11651-00IN</v>
      </c>
      <c r="D5370" s="1" t="str">
        <f>"4LS-11651-00IN"</f>
        <v>4LS-11651-00IN</v>
      </c>
      <c r="E5370" s="1" t="s">
        <v>4566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</row>
    <row r="5371" spans="1:11" x14ac:dyDescent="0.2">
      <c r="A5371" s="1" t="s">
        <v>342</v>
      </c>
      <c r="B5371" s="1" t="s">
        <v>381</v>
      </c>
      <c r="C5371" s="1" t="str">
        <f>"66298796967058"</f>
        <v>66298796967058</v>
      </c>
      <c r="D5371" s="1" t="str">
        <f>"WPR158"</f>
        <v>WPR158</v>
      </c>
      <c r="E5371" s="1" t="s">
        <v>4566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</row>
    <row r="5372" spans="1:11" x14ac:dyDescent="0.2">
      <c r="A5372" s="1" t="s">
        <v>342</v>
      </c>
      <c r="B5372" s="1" t="s">
        <v>382</v>
      </c>
      <c r="C5372" s="1" t="str">
        <f>"4VP-11650-00JP"</f>
        <v>4VP-11650-00JP</v>
      </c>
      <c r="D5372" s="1" t="str">
        <f>"4VP-11650-00JP"</f>
        <v>4VP-11650-00JP</v>
      </c>
      <c r="E5372" s="1" t="s">
        <v>4566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</row>
    <row r="5373" spans="1:11" ht="30" x14ac:dyDescent="0.2">
      <c r="A5373" s="1" t="s">
        <v>342</v>
      </c>
      <c r="B5373" s="1" t="s">
        <v>383</v>
      </c>
      <c r="C5373" s="1" t="str">
        <f>"400501"</f>
        <v>400501</v>
      </c>
      <c r="D5373" s="1" t="str">
        <f>"400501"</f>
        <v>400501</v>
      </c>
      <c r="E5373" s="1" t="s">
        <v>4566</v>
      </c>
      <c r="F5373" s="1">
        <v>19</v>
      </c>
      <c r="G5373" s="1">
        <v>5160</v>
      </c>
      <c r="H5373" s="1">
        <v>98040</v>
      </c>
      <c r="I5373" s="1">
        <v>0</v>
      </c>
      <c r="J5373" s="1">
        <v>19</v>
      </c>
      <c r="K5373" s="1">
        <v>0</v>
      </c>
    </row>
    <row r="5374" spans="1:11" ht="30" x14ac:dyDescent="0.2">
      <c r="A5374" s="1" t="s">
        <v>342</v>
      </c>
      <c r="B5374" s="1" t="s">
        <v>384</v>
      </c>
      <c r="C5374" s="1" t="str">
        <f>"5LW-11650-00JP"</f>
        <v>5LW-11650-00JP</v>
      </c>
      <c r="D5374" s="1" t="str">
        <f>"5LW-11650-00JP"</f>
        <v>5LW-11650-00JP</v>
      </c>
      <c r="E5374" s="1" t="s">
        <v>4566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</row>
    <row r="5375" spans="1:11" x14ac:dyDescent="0.2">
      <c r="A5375" s="1" t="s">
        <v>342</v>
      </c>
      <c r="B5375" s="1" t="s">
        <v>385</v>
      </c>
      <c r="C5375" s="1" t="str">
        <f>"66298797139480"</f>
        <v>66298797139480</v>
      </c>
      <c r="D5375" s="1" t="str">
        <f>"00-292"</f>
        <v>00-292</v>
      </c>
      <c r="E5375" s="1" t="s">
        <v>4566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</row>
    <row r="5376" spans="1:11" ht="30" x14ac:dyDescent="0.2">
      <c r="A5376" s="1" t="s">
        <v>342</v>
      </c>
      <c r="B5376" s="1" t="s">
        <v>386</v>
      </c>
      <c r="C5376" s="1" t="str">
        <f>"JP2001-30"</f>
        <v>JP2001-30</v>
      </c>
      <c r="D5376" s="1" t="str">
        <f>"JP2001-30"</f>
        <v>JP2001-30</v>
      </c>
      <c r="E5376" s="1" t="s">
        <v>4566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</row>
    <row r="5377" spans="1:11" x14ac:dyDescent="0.2">
      <c r="A5377" s="1" t="s">
        <v>18</v>
      </c>
      <c r="B5377" s="1" t="s">
        <v>387</v>
      </c>
      <c r="C5377" s="1" t="str">
        <f>"792"</f>
        <v>792</v>
      </c>
      <c r="D5377" s="1" t="str">
        <f>"792"</f>
        <v>792</v>
      </c>
      <c r="E5377" s="1" t="s">
        <v>4566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</row>
    <row r="5378" spans="1:11" x14ac:dyDescent="0.2">
      <c r="A5378" s="1" t="s">
        <v>18</v>
      </c>
      <c r="B5378" s="1" t="s">
        <v>387</v>
      </c>
      <c r="C5378" s="1" t="str">
        <f>"570"</f>
        <v>570</v>
      </c>
      <c r="D5378" s="1" t="str">
        <f>"570"</f>
        <v>570</v>
      </c>
      <c r="E5378" s="1" t="s">
        <v>4566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</row>
    <row r="5379" spans="1:11" x14ac:dyDescent="0.2">
      <c r="A5379" s="1" t="s">
        <v>388</v>
      </c>
      <c r="B5379" s="1" t="s">
        <v>389</v>
      </c>
      <c r="C5379" s="1" t="str">
        <f>"66298797219742"</f>
        <v>66298797219742</v>
      </c>
      <c r="D5379" s="1" t="str">
        <f>"1541"</f>
        <v>1541</v>
      </c>
      <c r="E5379" s="1" t="s">
        <v>4566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</row>
    <row r="5380" spans="1:11" x14ac:dyDescent="0.2">
      <c r="A5380" s="1" t="s">
        <v>388</v>
      </c>
      <c r="B5380" s="1" t="s">
        <v>390</v>
      </c>
      <c r="C5380" s="1" t="str">
        <f>"DF-1110-40HB"</f>
        <v>DF-1110-40HB</v>
      </c>
      <c r="D5380" s="1" t="str">
        <f>"DF-1110-40HB"</f>
        <v>DF-1110-40HB</v>
      </c>
      <c r="E5380" s="1" t="s">
        <v>4566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</row>
    <row r="5381" spans="1:11" x14ac:dyDescent="0.2">
      <c r="A5381" s="1" t="s">
        <v>388</v>
      </c>
      <c r="B5381" s="1" t="s">
        <v>391</v>
      </c>
      <c r="C5381" s="1" t="str">
        <f>"66298797259954"</f>
        <v>66298797259954</v>
      </c>
      <c r="D5381" s="1" t="str">
        <f>"PA-3512-01HB"</f>
        <v>PA-3512-01HB</v>
      </c>
      <c r="E5381" s="1" t="s">
        <v>4566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</row>
    <row r="5382" spans="1:11" x14ac:dyDescent="0.2">
      <c r="A5382" s="1" t="s">
        <v>388</v>
      </c>
      <c r="B5382" s="1" t="s">
        <v>392</v>
      </c>
      <c r="C5382" s="1" t="str">
        <f>"66298797301729"</f>
        <v>66298797301729</v>
      </c>
      <c r="D5382" s="1" t="str">
        <f>"30500-KTE-910HB"</f>
        <v>30500-KTE-910HB</v>
      </c>
      <c r="E5382" s="1" t="s">
        <v>4566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</row>
    <row r="5383" spans="1:11" x14ac:dyDescent="0.2">
      <c r="A5383" s="1" t="s">
        <v>388</v>
      </c>
      <c r="B5383" s="1" t="s">
        <v>393</v>
      </c>
      <c r="C5383" s="1" t="str">
        <f>"66298797341619"</f>
        <v>66298797341619</v>
      </c>
      <c r="D5383" s="1" t="str">
        <f>"83162"</f>
        <v>83162</v>
      </c>
      <c r="E5383" s="1" t="s">
        <v>4566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</row>
    <row r="5384" spans="1:11" x14ac:dyDescent="0.2">
      <c r="A5384" s="1" t="s">
        <v>388</v>
      </c>
      <c r="B5384" s="1" t="s">
        <v>394</v>
      </c>
      <c r="C5384" s="1" t="str">
        <f>"66298797383306"</f>
        <v>66298797383306</v>
      </c>
      <c r="D5384" s="1" t="str">
        <f>"30500-KST-940HB"</f>
        <v>30500-KST-940HB</v>
      </c>
      <c r="E5384" s="1" t="s">
        <v>4566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</row>
    <row r="5385" spans="1:11" x14ac:dyDescent="0.2">
      <c r="A5385" s="1" t="s">
        <v>388</v>
      </c>
      <c r="B5385" s="1" t="s">
        <v>395</v>
      </c>
      <c r="C5385" s="1" t="str">
        <f>"66298797418029"</f>
        <v>66298797418029</v>
      </c>
      <c r="D5385" s="1" t="str">
        <f>"80789"</f>
        <v>80789</v>
      </c>
      <c r="E5385" s="1" t="s">
        <v>4566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</row>
    <row r="5386" spans="1:11" x14ac:dyDescent="0.2">
      <c r="A5386" s="1" t="s">
        <v>388</v>
      </c>
      <c r="B5386" s="1" t="s">
        <v>396</v>
      </c>
      <c r="C5386" s="1" t="str">
        <f>"B069"</f>
        <v>B069</v>
      </c>
      <c r="D5386" s="1" t="str">
        <f>"B069"</f>
        <v>B069</v>
      </c>
      <c r="E5386" s="1" t="s">
        <v>4566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</row>
    <row r="5387" spans="1:11" x14ac:dyDescent="0.2">
      <c r="A5387" s="1" t="s">
        <v>388</v>
      </c>
      <c r="B5387" s="1" t="s">
        <v>397</v>
      </c>
      <c r="C5387" s="1" t="str">
        <f>"66298797499279"</f>
        <v>66298797499279</v>
      </c>
      <c r="D5387" s="1" t="str">
        <f>"401088"</f>
        <v>401088</v>
      </c>
      <c r="E5387" s="1" t="s">
        <v>4566</v>
      </c>
      <c r="F5387" s="1">
        <v>186</v>
      </c>
      <c r="G5387" s="1">
        <v>3227</v>
      </c>
      <c r="H5387" s="1">
        <v>600222</v>
      </c>
      <c r="I5387" s="1">
        <v>0</v>
      </c>
      <c r="J5387" s="1">
        <v>186</v>
      </c>
      <c r="K5387" s="1">
        <v>0</v>
      </c>
    </row>
    <row r="5388" spans="1:11" x14ac:dyDescent="0.2">
      <c r="A5388" s="1" t="s">
        <v>388</v>
      </c>
      <c r="B5388" s="1" t="s">
        <v>398</v>
      </c>
      <c r="C5388" s="1" t="str">
        <f>"30500-KRE-900"</f>
        <v>30500-KRE-900</v>
      </c>
      <c r="D5388" s="1" t="str">
        <f>"30500-KRE-900"</f>
        <v>30500-KRE-900</v>
      </c>
      <c r="E5388" s="1" t="s">
        <v>4566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</row>
    <row r="5389" spans="1:11" x14ac:dyDescent="0.2">
      <c r="A5389" s="1" t="s">
        <v>388</v>
      </c>
      <c r="B5389" s="1" t="s">
        <v>399</v>
      </c>
      <c r="C5389" s="1" t="str">
        <f>"66298797457668"</f>
        <v>66298797457668</v>
      </c>
      <c r="D5389" s="1" t="str">
        <f>"80790"</f>
        <v>80790</v>
      </c>
      <c r="E5389" s="1" t="s">
        <v>4566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</row>
    <row r="5390" spans="1:11" x14ac:dyDescent="0.2">
      <c r="A5390" s="1" t="s">
        <v>388</v>
      </c>
      <c r="B5390" s="1" t="s">
        <v>400</v>
      </c>
      <c r="C5390" s="1" t="str">
        <f>"85248"</f>
        <v>85248</v>
      </c>
      <c r="D5390" s="1" t="str">
        <f>"85248"</f>
        <v>85248</v>
      </c>
      <c r="E5390" s="1" t="s">
        <v>4566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</row>
    <row r="5391" spans="1:11" x14ac:dyDescent="0.2">
      <c r="A5391" s="1" t="s">
        <v>388</v>
      </c>
      <c r="B5391" s="1" t="s">
        <v>401</v>
      </c>
      <c r="C5391" s="1" t="str">
        <f>"66298797537120"</f>
        <v>66298797537120</v>
      </c>
      <c r="D5391" s="1" t="str">
        <f>"DS-1110-35HB"</f>
        <v>DS-1110-35HB</v>
      </c>
      <c r="E5391" s="1" t="s">
        <v>4566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</row>
    <row r="5392" spans="1:11" x14ac:dyDescent="0.2">
      <c r="A5392" s="1" t="s">
        <v>388</v>
      </c>
      <c r="B5392" s="1" t="s">
        <v>402</v>
      </c>
      <c r="C5392" s="1" t="str">
        <f>"66298797588228"</f>
        <v>66298797588228</v>
      </c>
      <c r="D5392" s="1" t="str">
        <f>"83131"</f>
        <v>83131</v>
      </c>
      <c r="E5392" s="1" t="s">
        <v>4566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</row>
    <row r="5393" spans="1:11" x14ac:dyDescent="0.2">
      <c r="A5393" s="1" t="s">
        <v>388</v>
      </c>
      <c r="B5393" s="1" t="s">
        <v>402</v>
      </c>
      <c r="C5393" s="1" t="str">
        <f>"66298797595659"</f>
        <v>66298797595659</v>
      </c>
      <c r="D5393" s="1" t="str">
        <f>"45D-H2310-00HB"</f>
        <v>45D-H2310-00HB</v>
      </c>
      <c r="E5393" s="1" t="s">
        <v>4566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</row>
    <row r="5394" spans="1:11" x14ac:dyDescent="0.2">
      <c r="A5394" s="1" t="s">
        <v>388</v>
      </c>
      <c r="B5394" s="1" t="s">
        <v>402</v>
      </c>
      <c r="C5394" s="1" t="str">
        <f>"66298797602960"</f>
        <v>66298797602960</v>
      </c>
      <c r="D5394" s="1" t="str">
        <f>"VB002"</f>
        <v>VB002</v>
      </c>
      <c r="E5394" s="1" t="s">
        <v>4566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</row>
    <row r="5395" spans="1:11" ht="30" x14ac:dyDescent="0.2">
      <c r="A5395" s="1" t="s">
        <v>388</v>
      </c>
      <c r="B5395" s="1" t="s">
        <v>403</v>
      </c>
      <c r="C5395" s="1" t="str">
        <f>"66298797669217"</f>
        <v>66298797669217</v>
      </c>
      <c r="D5395" s="1" t="str">
        <f>"80793"</f>
        <v>80793</v>
      </c>
      <c r="E5395" s="1" t="s">
        <v>4566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</row>
    <row r="5396" spans="1:11" ht="30" x14ac:dyDescent="0.2">
      <c r="A5396" s="1" t="s">
        <v>388</v>
      </c>
      <c r="B5396" s="1" t="s">
        <v>404</v>
      </c>
      <c r="C5396" s="1" t="str">
        <f>"66298797711956"</f>
        <v>66298797711956</v>
      </c>
      <c r="D5396" s="1" t="str">
        <f>"401089"</f>
        <v>401089</v>
      </c>
      <c r="E5396" s="1" t="s">
        <v>4566</v>
      </c>
      <c r="F5396" s="1">
        <v>102</v>
      </c>
      <c r="G5396" s="1">
        <v>4233</v>
      </c>
      <c r="H5396" s="1">
        <v>431766</v>
      </c>
      <c r="I5396" s="1">
        <v>0</v>
      </c>
      <c r="J5396" s="1">
        <v>102</v>
      </c>
      <c r="K5396" s="1">
        <v>0</v>
      </c>
    </row>
    <row r="5397" spans="1:11" x14ac:dyDescent="0.2">
      <c r="A5397" s="1" t="s">
        <v>388</v>
      </c>
      <c r="B5397" s="1" t="s">
        <v>405</v>
      </c>
      <c r="C5397" s="1" t="str">
        <f>"66298797756831"</f>
        <v>66298797756831</v>
      </c>
      <c r="D5397" s="1" t="str">
        <f>"82784"</f>
        <v>82784</v>
      </c>
      <c r="E5397" s="1" t="s">
        <v>4566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</row>
    <row r="5398" spans="1:11" x14ac:dyDescent="0.2">
      <c r="A5398" s="1" t="s">
        <v>388</v>
      </c>
      <c r="B5398" s="1" t="s">
        <v>405</v>
      </c>
      <c r="C5398" s="1" t="str">
        <f>"66298797762702"</f>
        <v>66298797762702</v>
      </c>
      <c r="D5398" s="1" t="str">
        <f>"VB005"</f>
        <v>VB005</v>
      </c>
      <c r="E5398" s="1" t="s">
        <v>4566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</row>
    <row r="5399" spans="1:11" x14ac:dyDescent="0.2">
      <c r="A5399" s="1" t="s">
        <v>388</v>
      </c>
      <c r="B5399" s="1" t="s">
        <v>406</v>
      </c>
      <c r="C5399" s="1" t="str">
        <f>"66298797815481"</f>
        <v>66298797815481</v>
      </c>
      <c r="D5399" s="1" t="str">
        <f>"84116"</f>
        <v>84116</v>
      </c>
      <c r="E5399" s="1" t="s">
        <v>4566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</row>
    <row r="5400" spans="1:11" x14ac:dyDescent="0.2">
      <c r="A5400" s="1" t="s">
        <v>388</v>
      </c>
      <c r="B5400" s="1" t="s">
        <v>407</v>
      </c>
      <c r="C5400" s="1" t="str">
        <f>"66298797857135"</f>
        <v>66298797857135</v>
      </c>
      <c r="D5400" s="1" t="str">
        <f>"DJ-1110-59HB"</f>
        <v>DJ-1110-59HB</v>
      </c>
      <c r="E5400" s="1" t="s">
        <v>4566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</row>
    <row r="5401" spans="1:11" x14ac:dyDescent="0.2">
      <c r="A5401" s="1" t="s">
        <v>388</v>
      </c>
      <c r="B5401" s="1" t="s">
        <v>408</v>
      </c>
      <c r="C5401" s="1" t="str">
        <f>"66298797942168"</f>
        <v>66298797942168</v>
      </c>
      <c r="D5401" s="1" t="str">
        <f>"BOB-SCOOTER"</f>
        <v>BOB-SCOOTER</v>
      </c>
      <c r="E5401" s="1" t="s">
        <v>4566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</row>
    <row r="5402" spans="1:11" x14ac:dyDescent="0.2">
      <c r="A5402" s="1" t="s">
        <v>388</v>
      </c>
      <c r="B5402" s="1" t="s">
        <v>409</v>
      </c>
      <c r="C5402" s="1" t="str">
        <f>"66298797899375"</f>
        <v>66298797899375</v>
      </c>
      <c r="D5402" s="1" t="str">
        <f>"82314"</f>
        <v>82314</v>
      </c>
      <c r="E5402" s="1" t="s">
        <v>4566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</row>
    <row r="5403" spans="1:11" x14ac:dyDescent="0.2">
      <c r="A5403" s="1" t="s">
        <v>388</v>
      </c>
      <c r="B5403" s="1" t="s">
        <v>409</v>
      </c>
      <c r="C5403" s="1" t="str">
        <f>"H1079"</f>
        <v>H1079</v>
      </c>
      <c r="D5403" s="1" t="str">
        <f>"H1079"</f>
        <v>H1079</v>
      </c>
      <c r="E5403" s="1" t="s">
        <v>4566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</row>
    <row r="5404" spans="1:11" x14ac:dyDescent="0.2">
      <c r="A5404" s="1" t="s">
        <v>388</v>
      </c>
      <c r="B5404" s="1" t="s">
        <v>410</v>
      </c>
      <c r="C5404" s="1" t="str">
        <f>"66298797982311"</f>
        <v>66298797982311</v>
      </c>
      <c r="D5404" s="1" t="str">
        <f>"401090"</f>
        <v>401090</v>
      </c>
      <c r="E5404" s="1" t="s">
        <v>4566</v>
      </c>
      <c r="F5404" s="1">
        <v>255</v>
      </c>
      <c r="G5404" s="1">
        <v>3141</v>
      </c>
      <c r="H5404" s="1">
        <v>800955</v>
      </c>
      <c r="I5404" s="1">
        <v>0</v>
      </c>
      <c r="J5404" s="1">
        <v>255</v>
      </c>
      <c r="K5404" s="1">
        <v>0</v>
      </c>
    </row>
    <row r="5405" spans="1:11" x14ac:dyDescent="0.2">
      <c r="A5405" s="1" t="s">
        <v>388</v>
      </c>
      <c r="B5405" s="1" t="s">
        <v>411</v>
      </c>
      <c r="C5405" s="1" t="str">
        <f>"66298798020429"</f>
        <v>66298798020429</v>
      </c>
      <c r="D5405" s="1" t="str">
        <f>"N9060180HB"</f>
        <v>N9060180HB</v>
      </c>
      <c r="E5405" s="1" t="s">
        <v>4566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</row>
    <row r="5406" spans="1:11" x14ac:dyDescent="0.2">
      <c r="A5406" s="1" t="s">
        <v>388</v>
      </c>
      <c r="B5406" s="1" t="s">
        <v>412</v>
      </c>
      <c r="C5406" s="1" t="str">
        <f>"66298798057807"</f>
        <v>66298798057807</v>
      </c>
      <c r="D5406" s="1" t="str">
        <f>"33410H87700H000"</f>
        <v>33410H87700H000</v>
      </c>
      <c r="E5406" s="1" t="s">
        <v>4566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</row>
    <row r="5407" spans="1:11" x14ac:dyDescent="0.2">
      <c r="A5407" s="1" t="s">
        <v>388</v>
      </c>
      <c r="B5407" s="1" t="s">
        <v>413</v>
      </c>
      <c r="C5407" s="1" t="str">
        <f>"66298798096122"</f>
        <v>66298798096122</v>
      </c>
      <c r="D5407" s="1" t="str">
        <f>"VB007"</f>
        <v>VB007</v>
      </c>
      <c r="E5407" s="1" t="s">
        <v>4566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</row>
    <row r="5408" spans="1:11" x14ac:dyDescent="0.2">
      <c r="A5408" s="1" t="s">
        <v>388</v>
      </c>
      <c r="B5408" s="1" t="s">
        <v>414</v>
      </c>
      <c r="C5408" s="1" t="str">
        <f>"85230"</f>
        <v>85230</v>
      </c>
      <c r="D5408" s="1" t="str">
        <f>"85230"</f>
        <v>85230</v>
      </c>
      <c r="E5408" s="1" t="s">
        <v>4566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</row>
    <row r="5409" spans="1:11" x14ac:dyDescent="0.2">
      <c r="A5409" s="1" t="s">
        <v>388</v>
      </c>
      <c r="B5409" s="1" t="s">
        <v>415</v>
      </c>
      <c r="C5409" s="1" t="str">
        <f>"66298798136214"</f>
        <v>66298798136214</v>
      </c>
      <c r="D5409" s="1" t="str">
        <f>"80792"</f>
        <v>80792</v>
      </c>
      <c r="E5409" s="1" t="s">
        <v>4566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</row>
    <row r="5410" spans="1:11" x14ac:dyDescent="0.2">
      <c r="A5410" s="1" t="s">
        <v>388</v>
      </c>
      <c r="B5410" s="1" t="s">
        <v>416</v>
      </c>
      <c r="C5410" s="1" t="str">
        <f>"66298798178433"</f>
        <v>66298798178433</v>
      </c>
      <c r="D5410" s="1" t="str">
        <f>"1P5-H2310-00"</f>
        <v>1P5-H2310-00</v>
      </c>
      <c r="E5410" s="1" t="s">
        <v>4566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</row>
    <row r="5411" spans="1:11" x14ac:dyDescent="0.2">
      <c r="A5411" s="1" t="s">
        <v>417</v>
      </c>
      <c r="B5411" s="1" t="s">
        <v>418</v>
      </c>
      <c r="C5411" s="1" t="str">
        <f>"66298798284733"</f>
        <v>66298798284733</v>
      </c>
      <c r="D5411" s="1" t="str">
        <f>"190302"</f>
        <v>190302</v>
      </c>
      <c r="E5411" s="1" t="s">
        <v>4566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</row>
    <row r="5412" spans="1:11" x14ac:dyDescent="0.2">
      <c r="A5412" s="1" t="s">
        <v>417</v>
      </c>
      <c r="B5412" s="1" t="s">
        <v>419</v>
      </c>
      <c r="C5412" s="1" t="str">
        <f>"66298798324111"</f>
        <v>66298798324111</v>
      </c>
      <c r="D5412" s="1" t="str">
        <f>"400593"</f>
        <v>400593</v>
      </c>
      <c r="E5412" s="1" t="s">
        <v>4566</v>
      </c>
      <c r="F5412" s="1">
        <v>590</v>
      </c>
      <c r="G5412" s="1">
        <v>637</v>
      </c>
      <c r="H5412" s="1">
        <v>375830</v>
      </c>
      <c r="I5412" s="1">
        <v>0</v>
      </c>
      <c r="J5412" s="1">
        <v>590</v>
      </c>
      <c r="K5412" s="1">
        <v>0</v>
      </c>
    </row>
    <row r="5413" spans="1:11" x14ac:dyDescent="0.2">
      <c r="A5413" s="1" t="s">
        <v>417</v>
      </c>
      <c r="B5413" s="1" t="s">
        <v>420</v>
      </c>
      <c r="C5413" s="1" t="str">
        <f>"66298798367345"</f>
        <v>66298798367345</v>
      </c>
      <c r="D5413" s="1" t="str">
        <f>"827"</f>
        <v>827</v>
      </c>
      <c r="E5413" s="1" t="s">
        <v>4566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</row>
    <row r="5414" spans="1:11" x14ac:dyDescent="0.2">
      <c r="A5414" s="1" t="s">
        <v>417</v>
      </c>
      <c r="B5414" s="1" t="s">
        <v>421</v>
      </c>
      <c r="C5414" s="1" t="str">
        <f>"66298798221015"</f>
        <v>66298798221015</v>
      </c>
      <c r="D5414" s="1" t="str">
        <f>"80795"</f>
        <v>80795</v>
      </c>
      <c r="E5414" s="1" t="s">
        <v>4566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</row>
    <row r="5415" spans="1:11" x14ac:dyDescent="0.2">
      <c r="A5415" s="1" t="s">
        <v>417</v>
      </c>
      <c r="B5415" s="1" t="s">
        <v>421</v>
      </c>
      <c r="C5415" s="1" t="str">
        <f>"66298798226039"</f>
        <v>66298798226039</v>
      </c>
      <c r="D5415" s="1" t="str">
        <f>"80794"</f>
        <v>80794</v>
      </c>
      <c r="E5415" s="1" t="s">
        <v>4566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</row>
    <row r="5416" spans="1:11" x14ac:dyDescent="0.2">
      <c r="A5416" s="1" t="s">
        <v>417</v>
      </c>
      <c r="B5416" s="1" t="s">
        <v>422</v>
      </c>
      <c r="C5416" s="1" t="str">
        <f>"66298798406164"</f>
        <v>66298798406164</v>
      </c>
      <c r="D5416" s="1" t="str">
        <f>"81797"</f>
        <v>81797</v>
      </c>
      <c r="E5416" s="1" t="s">
        <v>4566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</row>
    <row r="5417" spans="1:11" x14ac:dyDescent="0.2">
      <c r="A5417" s="1" t="s">
        <v>417</v>
      </c>
      <c r="B5417" s="1" t="s">
        <v>423</v>
      </c>
      <c r="C5417" s="1" t="str">
        <f>"66298798449230"</f>
        <v>66298798449230</v>
      </c>
      <c r="D5417" s="1" t="str">
        <f>"BOCINA"</f>
        <v>BOCINA</v>
      </c>
      <c r="E5417" s="1" t="s">
        <v>4566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</row>
    <row r="5418" spans="1:11" x14ac:dyDescent="0.2">
      <c r="A5418" s="1" t="s">
        <v>18</v>
      </c>
      <c r="B5418" s="1" t="s">
        <v>424</v>
      </c>
      <c r="C5418" s="1" t="str">
        <f>"66298798491810"</f>
        <v>66298798491810</v>
      </c>
      <c r="D5418" s="1" t="str">
        <f>"BOLSA-VINI"</f>
        <v>BOLSA-VINI</v>
      </c>
      <c r="E5418" s="1" t="s">
        <v>4566</v>
      </c>
      <c r="F5418" s="1">
        <v>250</v>
      </c>
      <c r="G5418" s="1">
        <v>20</v>
      </c>
      <c r="H5418" s="1">
        <v>5000</v>
      </c>
      <c r="I5418" s="1">
        <v>0</v>
      </c>
      <c r="J5418" s="1">
        <v>250</v>
      </c>
      <c r="K5418" s="1">
        <v>0</v>
      </c>
    </row>
    <row r="5419" spans="1:11" x14ac:dyDescent="0.2">
      <c r="A5419" s="1" t="s">
        <v>425</v>
      </c>
      <c r="B5419" s="1" t="s">
        <v>426</v>
      </c>
      <c r="C5419" s="1" t="str">
        <f>"66298798533811"</f>
        <v>66298798533811</v>
      </c>
      <c r="D5419" s="1" t="str">
        <f>"400762"</f>
        <v>400762</v>
      </c>
      <c r="E5419" s="1" t="s">
        <v>4566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</row>
    <row r="5420" spans="1:11" x14ac:dyDescent="0.2">
      <c r="A5420" s="1" t="s">
        <v>425</v>
      </c>
      <c r="B5420" s="1" t="s">
        <v>427</v>
      </c>
      <c r="C5420" s="1" t="str">
        <f>"B092"</f>
        <v>B092</v>
      </c>
      <c r="D5420" s="1" t="str">
        <f>"B092"</f>
        <v>B092</v>
      </c>
      <c r="E5420" s="1" t="s">
        <v>4566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</row>
    <row r="5421" spans="1:11" x14ac:dyDescent="0.2">
      <c r="A5421" s="1" t="s">
        <v>425</v>
      </c>
      <c r="B5421" s="1" t="s">
        <v>428</v>
      </c>
      <c r="C5421" s="1" t="str">
        <f>"66298798661833"</f>
        <v>66298798661833</v>
      </c>
      <c r="D5421" s="1" t="str">
        <f>"400765"</f>
        <v>400765</v>
      </c>
      <c r="E5421" s="1" t="s">
        <v>4566</v>
      </c>
      <c r="F5421" s="1">
        <v>288</v>
      </c>
      <c r="G5421" s="1">
        <v>2182</v>
      </c>
      <c r="H5421" s="1">
        <v>628416</v>
      </c>
      <c r="I5421" s="1">
        <v>0</v>
      </c>
      <c r="J5421" s="1">
        <v>288</v>
      </c>
      <c r="K5421" s="1">
        <v>0</v>
      </c>
    </row>
    <row r="5422" spans="1:11" x14ac:dyDescent="0.2">
      <c r="A5422" s="1" t="s">
        <v>425</v>
      </c>
      <c r="B5422" s="1" t="s">
        <v>429</v>
      </c>
      <c r="C5422" s="1" t="str">
        <f>"11450"</f>
        <v>11450</v>
      </c>
      <c r="D5422" s="1" t="str">
        <f>"11450"</f>
        <v>11450</v>
      </c>
      <c r="E5422" s="1" t="s">
        <v>4566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</row>
    <row r="5423" spans="1:11" x14ac:dyDescent="0.2">
      <c r="A5423" s="1" t="s">
        <v>425</v>
      </c>
      <c r="B5423" s="1" t="s">
        <v>430</v>
      </c>
      <c r="C5423" s="1" t="str">
        <f>"66298798617551"</f>
        <v>66298798617551</v>
      </c>
      <c r="D5423" s="1" t="str">
        <f>"400998"</f>
        <v>400998</v>
      </c>
      <c r="E5423" s="1" t="s">
        <v>4566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</row>
    <row r="5424" spans="1:11" x14ac:dyDescent="0.2">
      <c r="A5424" s="1" t="s">
        <v>425</v>
      </c>
      <c r="B5424" s="1" t="s">
        <v>431</v>
      </c>
      <c r="C5424" s="1" t="str">
        <f>"66298798703427"</f>
        <v>66298798703427</v>
      </c>
      <c r="D5424" s="1" t="str">
        <f>"400766"</f>
        <v>400766</v>
      </c>
      <c r="E5424" s="1" t="s">
        <v>4566</v>
      </c>
      <c r="F5424" s="1">
        <v>288</v>
      </c>
      <c r="G5424" s="1">
        <v>1801</v>
      </c>
      <c r="H5424" s="1">
        <v>518688</v>
      </c>
      <c r="I5424" s="1">
        <v>0</v>
      </c>
      <c r="J5424" s="1">
        <v>288</v>
      </c>
      <c r="K5424" s="1">
        <v>0</v>
      </c>
    </row>
    <row r="5425" spans="1:11" x14ac:dyDescent="0.2">
      <c r="A5425" s="1" t="s">
        <v>425</v>
      </c>
      <c r="B5425" s="1" t="s">
        <v>432</v>
      </c>
      <c r="C5425" s="1" t="str">
        <f>"66298798749546"</f>
        <v>66298798749546</v>
      </c>
      <c r="D5425" s="1" t="str">
        <f>"80319"</f>
        <v>80319</v>
      </c>
      <c r="E5425" s="1" t="s">
        <v>4566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</row>
    <row r="5426" spans="1:11" x14ac:dyDescent="0.2">
      <c r="A5426" s="1" t="s">
        <v>425</v>
      </c>
      <c r="B5426" s="1" t="s">
        <v>433</v>
      </c>
      <c r="C5426" s="1" t="str">
        <f>"66298798830569"</f>
        <v>66298798830569</v>
      </c>
      <c r="D5426" s="1" t="str">
        <f>"400763"</f>
        <v>400763</v>
      </c>
      <c r="E5426" s="1" t="s">
        <v>4566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</row>
    <row r="5427" spans="1:11" x14ac:dyDescent="0.2">
      <c r="A5427" s="1" t="s">
        <v>425</v>
      </c>
      <c r="B5427" s="1" t="s">
        <v>434</v>
      </c>
      <c r="C5427" s="1" t="str">
        <f>"66298798788674"</f>
        <v>66298798788674</v>
      </c>
      <c r="D5427" s="1" t="str">
        <f>"81359"</f>
        <v>81359</v>
      </c>
      <c r="E5427" s="1" t="s">
        <v>4566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</row>
    <row r="5428" spans="1:11" x14ac:dyDescent="0.2">
      <c r="A5428" s="1" t="s">
        <v>425</v>
      </c>
      <c r="B5428" s="1" t="s">
        <v>435</v>
      </c>
      <c r="C5428" s="1" t="str">
        <f>"66298798871149"</f>
        <v>66298798871149</v>
      </c>
      <c r="D5428" s="1" t="str">
        <f>"400760"</f>
        <v>400760</v>
      </c>
      <c r="E5428" s="1" t="s">
        <v>4566</v>
      </c>
      <c r="F5428" s="1">
        <v>100</v>
      </c>
      <c r="G5428" s="1">
        <v>2789</v>
      </c>
      <c r="H5428" s="1">
        <v>278900</v>
      </c>
      <c r="I5428" s="1">
        <v>0</v>
      </c>
      <c r="J5428" s="1">
        <v>100</v>
      </c>
      <c r="K5428" s="1">
        <v>0</v>
      </c>
    </row>
    <row r="5429" spans="1:11" x14ac:dyDescent="0.2">
      <c r="A5429" s="1" t="s">
        <v>425</v>
      </c>
      <c r="B5429" s="1" t="s">
        <v>436</v>
      </c>
      <c r="C5429" s="1" t="str">
        <f>"66298798910168"</f>
        <v>66298798910168</v>
      </c>
      <c r="D5429" s="1" t="str">
        <f>"CP002"</f>
        <v>CP002</v>
      </c>
      <c r="E5429" s="1" t="s">
        <v>4566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</row>
    <row r="5430" spans="1:11" x14ac:dyDescent="0.2">
      <c r="A5430" s="1" t="s">
        <v>425</v>
      </c>
      <c r="B5430" s="1" t="s">
        <v>437</v>
      </c>
      <c r="C5430" s="1" t="str">
        <f>"66298798952749"</f>
        <v>66298798952749</v>
      </c>
      <c r="D5430" s="1" t="str">
        <f>"83941"</f>
        <v>83941</v>
      </c>
      <c r="E5430" s="1" t="s">
        <v>4566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</row>
    <row r="5431" spans="1:11" x14ac:dyDescent="0.2">
      <c r="A5431" s="1" t="s">
        <v>425</v>
      </c>
      <c r="B5431" s="1" t="s">
        <v>438</v>
      </c>
      <c r="C5431" s="1" t="str">
        <f>"66298798996589"</f>
        <v>66298798996589</v>
      </c>
      <c r="D5431" s="1" t="str">
        <f>"400761"</f>
        <v>400761</v>
      </c>
      <c r="E5431" s="1" t="s">
        <v>4566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</row>
    <row r="5432" spans="1:11" x14ac:dyDescent="0.2">
      <c r="A5432" s="1" t="s">
        <v>425</v>
      </c>
      <c r="B5432" s="1" t="s">
        <v>439</v>
      </c>
      <c r="C5432" s="1" t="str">
        <f>"CP009"</f>
        <v>CP009</v>
      </c>
      <c r="D5432" s="1" t="str">
        <f>"CP009"</f>
        <v>CP009</v>
      </c>
      <c r="E5432" s="1" t="s">
        <v>4566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</row>
    <row r="5433" spans="1:11" x14ac:dyDescent="0.2">
      <c r="A5433" s="1" t="s">
        <v>425</v>
      </c>
      <c r="B5433" s="1" t="s">
        <v>440</v>
      </c>
      <c r="C5433" s="1" t="str">
        <f>"66298799035344"</f>
        <v>66298799035344</v>
      </c>
      <c r="D5433" s="1" t="str">
        <f>"400764"</f>
        <v>400764</v>
      </c>
      <c r="E5433" s="1" t="s">
        <v>4566</v>
      </c>
      <c r="F5433" s="1">
        <v>63</v>
      </c>
      <c r="G5433" s="1">
        <v>1710</v>
      </c>
      <c r="H5433" s="1">
        <v>107730</v>
      </c>
      <c r="I5433" s="1">
        <v>0</v>
      </c>
      <c r="J5433" s="1">
        <v>63</v>
      </c>
      <c r="K5433" s="1">
        <v>0</v>
      </c>
    </row>
    <row r="5434" spans="1:11" x14ac:dyDescent="0.2">
      <c r="A5434" s="1" t="s">
        <v>425</v>
      </c>
      <c r="B5434" s="1" t="s">
        <v>441</v>
      </c>
      <c r="C5434" s="1" t="str">
        <f>"12167"</f>
        <v>12167</v>
      </c>
      <c r="D5434" s="1" t="str">
        <f>"12167"</f>
        <v>12167</v>
      </c>
      <c r="E5434" s="1" t="s">
        <v>4566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</row>
    <row r="5435" spans="1:11" x14ac:dyDescent="0.2">
      <c r="A5435" s="1" t="s">
        <v>442</v>
      </c>
      <c r="B5435" s="1" t="s">
        <v>443</v>
      </c>
      <c r="C5435" s="1" t="str">
        <f>"HFP-382H"</f>
        <v>HFP-382H</v>
      </c>
      <c r="D5435" s="1" t="str">
        <f>"HFP-382H"</f>
        <v>HFP-382H</v>
      </c>
      <c r="E5435" s="1" t="s">
        <v>4566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</row>
    <row r="5436" spans="1:11" x14ac:dyDescent="0.2">
      <c r="A5436" s="1" t="s">
        <v>442</v>
      </c>
      <c r="B5436" s="1" t="s">
        <v>444</v>
      </c>
      <c r="C5436" s="1" t="str">
        <f>"66298799077286"</f>
        <v>66298799077286</v>
      </c>
      <c r="D5436" s="1" t="str">
        <f>"AG50"</f>
        <v>AG50</v>
      </c>
      <c r="E5436" s="1" t="s">
        <v>4566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</row>
    <row r="5437" spans="1:11" x14ac:dyDescent="0.2">
      <c r="A5437" s="1" t="s">
        <v>442</v>
      </c>
      <c r="B5437" s="1" t="s">
        <v>445</v>
      </c>
      <c r="C5437" s="1" t="str">
        <f>"66298799126851"</f>
        <v>66298799126851</v>
      </c>
      <c r="D5437" s="1" t="str">
        <f>"GRACE-F13-7"</f>
        <v>GRACE-F13-7</v>
      </c>
      <c r="E5437" s="1" t="s">
        <v>4566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</row>
    <row r="5438" spans="1:11" x14ac:dyDescent="0.2">
      <c r="A5438" s="1" t="s">
        <v>442</v>
      </c>
      <c r="B5438" s="1" t="s">
        <v>446</v>
      </c>
      <c r="C5438" s="1" t="str">
        <f>"66298799172507"</f>
        <v>66298799172507</v>
      </c>
      <c r="D5438" s="1" t="str">
        <f>"HFP-382K"</f>
        <v>HFP-382K</v>
      </c>
      <c r="E5438" s="1" t="s">
        <v>4566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</row>
    <row r="5439" spans="1:11" x14ac:dyDescent="0.2">
      <c r="A5439" s="1" t="s">
        <v>442</v>
      </c>
      <c r="B5439" s="1" t="s">
        <v>447</v>
      </c>
      <c r="C5439" s="1" t="str">
        <f>"66298799209613"</f>
        <v>66298799209613</v>
      </c>
      <c r="D5439" s="1" t="str">
        <f>"HFP-389"</f>
        <v>HFP-389</v>
      </c>
      <c r="E5439" s="1" t="s">
        <v>4566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</row>
    <row r="5440" spans="1:11" x14ac:dyDescent="0.2">
      <c r="A5440" s="1" t="s">
        <v>448</v>
      </c>
      <c r="B5440" s="1" t="s">
        <v>449</v>
      </c>
      <c r="C5440" s="1" t="str">
        <f>"66298799292049"</f>
        <v>66298799292049</v>
      </c>
      <c r="D5440" s="1" t="str">
        <f>"W150"</f>
        <v>W150</v>
      </c>
      <c r="E5440" s="1" t="s">
        <v>4566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</row>
    <row r="5441" spans="1:11" x14ac:dyDescent="0.2">
      <c r="A5441" s="1" t="s">
        <v>448</v>
      </c>
      <c r="B5441" s="1" t="s">
        <v>450</v>
      </c>
      <c r="C5441" s="1" t="str">
        <f>"Q014"</f>
        <v>Q014</v>
      </c>
      <c r="D5441" s="1" t="str">
        <f>"Q014"</f>
        <v>Q014</v>
      </c>
      <c r="E5441" s="1" t="s">
        <v>4566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</row>
    <row r="5442" spans="1:11" x14ac:dyDescent="0.2">
      <c r="A5442" s="1" t="s">
        <v>448</v>
      </c>
      <c r="B5442" s="1" t="s">
        <v>451</v>
      </c>
      <c r="C5442" s="1" t="str">
        <f>"Q015"</f>
        <v>Q015</v>
      </c>
      <c r="D5442" s="1" t="str">
        <f>"Q015"</f>
        <v>Q015</v>
      </c>
      <c r="E5442" s="1" t="s">
        <v>4566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</row>
    <row r="5443" spans="1:11" x14ac:dyDescent="0.2">
      <c r="A5443" s="1" t="s">
        <v>448</v>
      </c>
      <c r="B5443" s="1" t="s">
        <v>452</v>
      </c>
      <c r="C5443" s="1" t="str">
        <f>"66298799623614"</f>
        <v>66298799623614</v>
      </c>
      <c r="D5443" s="1" t="str">
        <f>"Q008"</f>
        <v>Q008</v>
      </c>
      <c r="E5443" s="1" t="s">
        <v>4566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</row>
    <row r="5444" spans="1:11" x14ac:dyDescent="0.2">
      <c r="A5444" s="1" t="s">
        <v>448</v>
      </c>
      <c r="B5444" s="1" t="s">
        <v>453</v>
      </c>
      <c r="C5444" s="1" t="str">
        <f>"Q007"</f>
        <v>Q007</v>
      </c>
      <c r="D5444" s="1" t="str">
        <f>"Q007"</f>
        <v>Q007</v>
      </c>
      <c r="E5444" s="1" t="s">
        <v>4566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</row>
    <row r="5445" spans="1:11" x14ac:dyDescent="0.2">
      <c r="A5445" s="1" t="s">
        <v>448</v>
      </c>
      <c r="B5445" s="1" t="s">
        <v>454</v>
      </c>
      <c r="C5445" s="1" t="str">
        <f>"9399"</f>
        <v>9399</v>
      </c>
      <c r="D5445" s="1" t="str">
        <f>"9399"</f>
        <v>9399</v>
      </c>
      <c r="E5445" s="1" t="s">
        <v>4566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</row>
    <row r="5446" spans="1:11" x14ac:dyDescent="0.2">
      <c r="A5446" s="1" t="s">
        <v>448</v>
      </c>
      <c r="B5446" s="1" t="s">
        <v>455</v>
      </c>
      <c r="C5446" s="1" t="str">
        <f>"66298799458059"</f>
        <v>66298799458059</v>
      </c>
      <c r="D5446" s="1" t="str">
        <f>"400530"</f>
        <v>400530</v>
      </c>
      <c r="E5446" s="1" t="s">
        <v>4566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</row>
    <row r="5447" spans="1:11" x14ac:dyDescent="0.2">
      <c r="A5447" s="1" t="s">
        <v>448</v>
      </c>
      <c r="B5447" s="1" t="s">
        <v>456</v>
      </c>
      <c r="C5447" s="1" t="str">
        <f>"66298799495819"</f>
        <v>66298799495819</v>
      </c>
      <c r="D5447" s="1" t="str">
        <f>"BF-GN125"</f>
        <v>BF-GN125</v>
      </c>
      <c r="E5447" s="1" t="s">
        <v>4566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</row>
    <row r="5448" spans="1:11" x14ac:dyDescent="0.2">
      <c r="A5448" s="1" t="s">
        <v>448</v>
      </c>
      <c r="B5448" s="1" t="s">
        <v>457</v>
      </c>
      <c r="C5448" s="1" t="str">
        <f>"Q013"</f>
        <v>Q013</v>
      </c>
      <c r="D5448" s="1" t="str">
        <f>"Q013"</f>
        <v>Q013</v>
      </c>
      <c r="E5448" s="1" t="s">
        <v>4566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</row>
    <row r="5449" spans="1:11" x14ac:dyDescent="0.2">
      <c r="A5449" s="1" t="s">
        <v>448</v>
      </c>
      <c r="B5449" s="1" t="s">
        <v>458</v>
      </c>
      <c r="C5449" s="1" t="str">
        <f>"66298799535723"</f>
        <v>66298799535723</v>
      </c>
      <c r="D5449" s="1" t="str">
        <f>"59064H2A080H000"</f>
        <v>59064H2A080H000</v>
      </c>
      <c r="E5449" s="1" t="s">
        <v>4566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</row>
    <row r="5450" spans="1:11" x14ac:dyDescent="0.2">
      <c r="A5450" s="1" t="s">
        <v>448</v>
      </c>
      <c r="B5450" s="1" t="s">
        <v>459</v>
      </c>
      <c r="C5450" s="1" t="str">
        <f>"66298799579942"</f>
        <v>66298799579942</v>
      </c>
      <c r="D5450" s="1" t="str">
        <f>"Q029"</f>
        <v>Q029</v>
      </c>
      <c r="E5450" s="1" t="s">
        <v>4566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</row>
    <row r="5451" spans="1:11" x14ac:dyDescent="0.2">
      <c r="A5451" s="1" t="s">
        <v>448</v>
      </c>
      <c r="B5451" s="1" t="s">
        <v>460</v>
      </c>
      <c r="C5451" s="1" t="str">
        <f>"66298799753987"</f>
        <v>66298799753987</v>
      </c>
      <c r="D5451" s="1" t="str">
        <f>"H1110"</f>
        <v>H1110</v>
      </c>
      <c r="E5451" s="1" t="s">
        <v>4566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</row>
    <row r="5452" spans="1:11" x14ac:dyDescent="0.2">
      <c r="A5452" s="1" t="s">
        <v>448</v>
      </c>
      <c r="B5452" s="1" t="s">
        <v>461</v>
      </c>
      <c r="C5452" s="1" t="str">
        <f>"Q012"</f>
        <v>Q012</v>
      </c>
      <c r="D5452" s="1" t="str">
        <f>"Q012"</f>
        <v>Q012</v>
      </c>
      <c r="E5452" s="1" t="s">
        <v>4566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</row>
    <row r="5453" spans="1:11" x14ac:dyDescent="0.2">
      <c r="A5453" s="1" t="s">
        <v>448</v>
      </c>
      <c r="B5453" s="1" t="s">
        <v>461</v>
      </c>
      <c r="C5453" s="1" t="str">
        <f>"66298799708072"</f>
        <v>66298799708072</v>
      </c>
      <c r="D5453" s="1" t="str">
        <f>"LY125"</f>
        <v>LY125</v>
      </c>
      <c r="E5453" s="1" t="s">
        <v>4566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</row>
    <row r="5454" spans="1:11" x14ac:dyDescent="0.2">
      <c r="A5454" s="1" t="s">
        <v>448</v>
      </c>
      <c r="B5454" s="1" t="s">
        <v>462</v>
      </c>
      <c r="C5454" s="1" t="str">
        <f>"66298799792490"</f>
        <v>66298799792490</v>
      </c>
      <c r="D5454" s="1" t="str">
        <f>"400572"</f>
        <v>400572</v>
      </c>
      <c r="E5454" s="1" t="s">
        <v>4566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</row>
    <row r="5455" spans="1:11" x14ac:dyDescent="0.2">
      <c r="A5455" s="1" t="s">
        <v>448</v>
      </c>
      <c r="B5455" s="1" t="s">
        <v>463</v>
      </c>
      <c r="C5455" s="1" t="str">
        <f>"Q009"</f>
        <v>Q009</v>
      </c>
      <c r="D5455" s="1" t="str">
        <f>"Q009"</f>
        <v>Q009</v>
      </c>
      <c r="E5455" s="1" t="s">
        <v>4566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</row>
    <row r="5456" spans="1:11" x14ac:dyDescent="0.2">
      <c r="A5456" s="1" t="s">
        <v>448</v>
      </c>
      <c r="B5456" s="1" t="s">
        <v>464</v>
      </c>
      <c r="C5456" s="1" t="str">
        <f>"66298799834223"</f>
        <v>66298799834223</v>
      </c>
      <c r="D5456" s="1" t="str">
        <f>"400531"</f>
        <v>400531</v>
      </c>
      <c r="E5456" s="1" t="s">
        <v>4566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</row>
    <row r="5457" spans="1:11" x14ac:dyDescent="0.2">
      <c r="A5457" s="1" t="s">
        <v>448</v>
      </c>
      <c r="B5457" s="1" t="s">
        <v>465</v>
      </c>
      <c r="C5457" s="1" t="str">
        <f>"66298799926841"</f>
        <v>66298799926841</v>
      </c>
      <c r="D5457" s="1" t="str">
        <f>"G125"</f>
        <v>G125</v>
      </c>
      <c r="E5457" s="1" t="s">
        <v>4566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</row>
    <row r="5458" spans="1:11" x14ac:dyDescent="0.2">
      <c r="A5458" s="1" t="s">
        <v>448</v>
      </c>
      <c r="B5458" s="1" t="s">
        <v>466</v>
      </c>
      <c r="C5458" s="1" t="str">
        <f>"66298799879995"</f>
        <v>66298799879995</v>
      </c>
      <c r="D5458" s="1" t="str">
        <f>"L150"</f>
        <v>L150</v>
      </c>
      <c r="E5458" s="1" t="s">
        <v>4566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</row>
    <row r="5459" spans="1:11" x14ac:dyDescent="0.2">
      <c r="A5459" s="1" t="s">
        <v>448</v>
      </c>
      <c r="B5459" s="1" t="s">
        <v>467</v>
      </c>
      <c r="C5459" s="1" t="str">
        <f>"66298800074222"</f>
        <v>66298800074222</v>
      </c>
      <c r="D5459" s="1" t="str">
        <f>"400571"</f>
        <v>400571</v>
      </c>
      <c r="E5459" s="1" t="s">
        <v>4566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</row>
    <row r="5460" spans="1:11" x14ac:dyDescent="0.2">
      <c r="A5460" s="1" t="s">
        <v>448</v>
      </c>
      <c r="B5460" s="1" t="s">
        <v>468</v>
      </c>
      <c r="C5460" s="1" t="str">
        <f>"66298799966017"</f>
        <v>66298799966017</v>
      </c>
      <c r="D5460" s="1" t="str">
        <f>"E150"</f>
        <v>E150</v>
      </c>
      <c r="E5460" s="1" t="s">
        <v>4566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</row>
    <row r="5461" spans="1:11" x14ac:dyDescent="0.2">
      <c r="A5461" s="1" t="s">
        <v>448</v>
      </c>
      <c r="B5461" s="1" t="s">
        <v>468</v>
      </c>
      <c r="C5461" s="1" t="str">
        <f>"Q001"</f>
        <v>Q001</v>
      </c>
      <c r="D5461" s="1" t="str">
        <f>"Q001"</f>
        <v>Q001</v>
      </c>
      <c r="E5461" s="1" t="s">
        <v>4566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</row>
    <row r="5462" spans="1:11" x14ac:dyDescent="0.2">
      <c r="A5462" s="1" t="s">
        <v>448</v>
      </c>
      <c r="B5462" s="1" t="s">
        <v>468</v>
      </c>
      <c r="C5462" s="1" t="str">
        <f>"Q005"</f>
        <v>Q005</v>
      </c>
      <c r="D5462" s="1" t="str">
        <f>"Q005"</f>
        <v>Q005</v>
      </c>
      <c r="E5462" s="1" t="s">
        <v>4566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</row>
    <row r="5463" spans="1:11" x14ac:dyDescent="0.2">
      <c r="A5463" s="1" t="s">
        <v>448</v>
      </c>
      <c r="B5463" s="1" t="s">
        <v>468</v>
      </c>
      <c r="C5463" s="1" t="str">
        <f>"Q003"</f>
        <v>Q003</v>
      </c>
      <c r="D5463" s="1" t="str">
        <f>"Q003"</f>
        <v>Q003</v>
      </c>
      <c r="E5463" s="1" t="s">
        <v>4566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</row>
    <row r="5464" spans="1:11" x14ac:dyDescent="0.2">
      <c r="A5464" s="1" t="s">
        <v>448</v>
      </c>
      <c r="B5464" s="1" t="s">
        <v>469</v>
      </c>
      <c r="C5464" s="1" t="str">
        <f>"Q016"</f>
        <v>Q016</v>
      </c>
      <c r="D5464" s="1" t="str">
        <f>"Q016"</f>
        <v>Q016</v>
      </c>
      <c r="E5464" s="1" t="s">
        <v>4566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</row>
    <row r="5465" spans="1:11" x14ac:dyDescent="0.2">
      <c r="A5465" s="1" t="s">
        <v>448</v>
      </c>
      <c r="B5465" s="1" t="s">
        <v>470</v>
      </c>
      <c r="C5465" s="1" t="str">
        <f>"66298800152935"</f>
        <v>66298800152935</v>
      </c>
      <c r="D5465" s="1" t="str">
        <f>"400532"</f>
        <v>400532</v>
      </c>
      <c r="E5465" s="1" t="s">
        <v>4566</v>
      </c>
      <c r="F5465" s="1">
        <v>9</v>
      </c>
      <c r="G5465" s="1">
        <v>4062</v>
      </c>
      <c r="H5465" s="1">
        <v>36558</v>
      </c>
      <c r="I5465" s="1">
        <v>0</v>
      </c>
      <c r="J5465" s="1">
        <v>9</v>
      </c>
      <c r="K5465" s="1">
        <v>0</v>
      </c>
    </row>
    <row r="5466" spans="1:11" x14ac:dyDescent="0.2">
      <c r="A5466" s="1" t="s">
        <v>448</v>
      </c>
      <c r="B5466" s="1" t="s">
        <v>471</v>
      </c>
      <c r="C5466" s="1" t="str">
        <f>"Q006"</f>
        <v>Q006</v>
      </c>
      <c r="D5466" s="1" t="str">
        <f>"Q006"</f>
        <v>Q006</v>
      </c>
      <c r="E5466" s="1" t="s">
        <v>4566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</row>
    <row r="5467" spans="1:11" x14ac:dyDescent="0.2">
      <c r="A5467" s="1" t="s">
        <v>448</v>
      </c>
      <c r="B5467" s="1" t="s">
        <v>472</v>
      </c>
      <c r="C5467" s="1" t="str">
        <f>"66298800232610"</f>
        <v>66298800232610</v>
      </c>
      <c r="D5467" s="1" t="str">
        <f>"80975"</f>
        <v>80975</v>
      </c>
      <c r="E5467" s="1" t="s">
        <v>4566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</row>
    <row r="5468" spans="1:11" x14ac:dyDescent="0.2">
      <c r="A5468" s="1" t="s">
        <v>448</v>
      </c>
      <c r="B5468" s="1" t="s">
        <v>473</v>
      </c>
      <c r="C5468" s="1" t="str">
        <f>"66298800112749"</f>
        <v>66298800112749</v>
      </c>
      <c r="D5468" s="1" t="str">
        <f>"Q017"</f>
        <v>Q017</v>
      </c>
      <c r="E5468" s="1" t="s">
        <v>4566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</row>
    <row r="5469" spans="1:11" x14ac:dyDescent="0.2">
      <c r="A5469" s="1" t="s">
        <v>448</v>
      </c>
      <c r="B5469" s="1" t="s">
        <v>474</v>
      </c>
      <c r="C5469" s="1" t="str">
        <f>"66298800272348"</f>
        <v>66298800272348</v>
      </c>
      <c r="D5469" s="1" t="str">
        <f>"400570"</f>
        <v>400570</v>
      </c>
      <c r="E5469" s="1" t="s">
        <v>4566</v>
      </c>
      <c r="F5469" s="1">
        <v>40</v>
      </c>
      <c r="G5469" s="1">
        <v>4041</v>
      </c>
      <c r="H5469" s="1">
        <v>161640</v>
      </c>
      <c r="I5469" s="1">
        <v>0</v>
      </c>
      <c r="J5469" s="1">
        <v>40</v>
      </c>
      <c r="K5469" s="1">
        <v>0</v>
      </c>
    </row>
    <row r="5470" spans="1:11" x14ac:dyDescent="0.2">
      <c r="A5470" s="1" t="s">
        <v>448</v>
      </c>
      <c r="B5470" s="1" t="s">
        <v>475</v>
      </c>
      <c r="C5470" s="1" t="str">
        <f>"66298799247975"</f>
        <v>66298799247975</v>
      </c>
      <c r="D5470" s="1" t="str">
        <f>"J150"</f>
        <v>J150</v>
      </c>
      <c r="E5470" s="1" t="s">
        <v>4566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</row>
    <row r="5471" spans="1:11" x14ac:dyDescent="0.2">
      <c r="A5471" s="1" t="s">
        <v>448</v>
      </c>
      <c r="B5471" s="1" t="s">
        <v>476</v>
      </c>
      <c r="C5471" s="1" t="str">
        <f>"131"</f>
        <v>131</v>
      </c>
      <c r="D5471" s="1" t="str">
        <f>"131"</f>
        <v>131</v>
      </c>
      <c r="E5471" s="1" t="s">
        <v>4566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</row>
    <row r="5472" spans="1:11" x14ac:dyDescent="0.2">
      <c r="A5472" s="1" t="s">
        <v>448</v>
      </c>
      <c r="B5472" s="1" t="s">
        <v>477</v>
      </c>
      <c r="C5472" s="1" t="str">
        <f>"66298800358170"</f>
        <v>66298800358170</v>
      </c>
      <c r="D5472" s="1" t="str">
        <f>"QB001"</f>
        <v>QB001</v>
      </c>
      <c r="E5472" s="1" t="s">
        <v>4566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</row>
    <row r="5473" spans="1:11" x14ac:dyDescent="0.2">
      <c r="A5473" s="1" t="s">
        <v>448</v>
      </c>
      <c r="B5473" s="1" t="s">
        <v>478</v>
      </c>
      <c r="C5473" s="1" t="str">
        <f>"66298800310945"</f>
        <v>66298800310945</v>
      </c>
      <c r="D5473" s="1" t="str">
        <f>"QB003"</f>
        <v>QB003</v>
      </c>
      <c r="E5473" s="1" t="s">
        <v>4566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</row>
    <row r="5474" spans="1:11" x14ac:dyDescent="0.2">
      <c r="A5474" s="1" t="s">
        <v>479</v>
      </c>
      <c r="B5474" s="1" t="s">
        <v>480</v>
      </c>
      <c r="C5474" s="1" t="str">
        <f>"QG005"</f>
        <v>QG005</v>
      </c>
      <c r="D5474" s="1" t="str">
        <f>"QG005"</f>
        <v>QG005</v>
      </c>
      <c r="E5474" s="1" t="s">
        <v>4566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</row>
    <row r="5475" spans="1:11" x14ac:dyDescent="0.2">
      <c r="A5475" s="1" t="s">
        <v>479</v>
      </c>
      <c r="B5475" s="1" t="s">
        <v>480</v>
      </c>
      <c r="C5475" s="1" t="str">
        <f>"BO-BOCINA"</f>
        <v>BO-BOCINA</v>
      </c>
      <c r="D5475" s="1" t="str">
        <f>"BO-BOCINA"</f>
        <v>BO-BOCINA</v>
      </c>
      <c r="E5475" s="1" t="s">
        <v>4566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</row>
    <row r="5476" spans="1:11" x14ac:dyDescent="0.2">
      <c r="A5476" s="1" t="s">
        <v>479</v>
      </c>
      <c r="B5476" s="1" t="s">
        <v>481</v>
      </c>
      <c r="C5476" s="1" t="str">
        <f>"QG003"</f>
        <v>QG003</v>
      </c>
      <c r="D5476" s="1" t="str">
        <f>"QG003"</f>
        <v>QG003</v>
      </c>
      <c r="E5476" s="1" t="s">
        <v>4566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</row>
    <row r="5477" spans="1:11" x14ac:dyDescent="0.2">
      <c r="A5477" s="1" t="s">
        <v>479</v>
      </c>
      <c r="B5477" s="1" t="s">
        <v>481</v>
      </c>
      <c r="C5477" s="1" t="str">
        <f>"BO-CALUCES"</f>
        <v>BO-CALUCES</v>
      </c>
      <c r="D5477" s="1" t="str">
        <f>"BO-CALUCES"</f>
        <v>BO-CALUCES</v>
      </c>
      <c r="E5477" s="1" t="s">
        <v>4566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</row>
    <row r="5478" spans="1:11" x14ac:dyDescent="0.2">
      <c r="A5478" s="1" t="s">
        <v>479</v>
      </c>
      <c r="B5478" s="1" t="s">
        <v>482</v>
      </c>
      <c r="C5478" s="1" t="str">
        <f>"66298800438483"</f>
        <v>66298800438483</v>
      </c>
      <c r="D5478" s="1" t="str">
        <f>"QG076"</f>
        <v>QG076</v>
      </c>
      <c r="E5478" s="1" t="s">
        <v>4566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</row>
    <row r="5479" spans="1:11" x14ac:dyDescent="0.2">
      <c r="A5479" s="1" t="s">
        <v>479</v>
      </c>
      <c r="B5479" s="1" t="s">
        <v>482</v>
      </c>
      <c r="C5479" s="1" t="str">
        <f>"4043"</f>
        <v>4043</v>
      </c>
      <c r="D5479" s="1" t="str">
        <f>"4043"</f>
        <v>4043</v>
      </c>
      <c r="E5479" s="1" t="s">
        <v>4566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</row>
    <row r="5480" spans="1:11" x14ac:dyDescent="0.2">
      <c r="A5480" s="1" t="s">
        <v>479</v>
      </c>
      <c r="B5480" s="1" t="s">
        <v>483</v>
      </c>
      <c r="C5480" s="1" t="str">
        <f>"66298800477532"</f>
        <v>66298800477532</v>
      </c>
      <c r="D5480" s="1" t="str">
        <f>"QF026-A"</f>
        <v>QF026-A</v>
      </c>
      <c r="E5480" s="1" t="s">
        <v>4566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</row>
    <row r="5481" spans="1:11" x14ac:dyDescent="0.2">
      <c r="A5481" s="1" t="s">
        <v>479</v>
      </c>
      <c r="B5481" s="1" t="s">
        <v>484</v>
      </c>
      <c r="C5481" s="1" t="str">
        <f>"BO-ENC"</f>
        <v>BO-ENC</v>
      </c>
      <c r="D5481" s="1" t="str">
        <f>"BO-ENC"</f>
        <v>BO-ENC</v>
      </c>
      <c r="E5481" s="1" t="s">
        <v>4566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</row>
    <row r="5482" spans="1:11" x14ac:dyDescent="0.2">
      <c r="A5482" s="1" t="s">
        <v>479</v>
      </c>
      <c r="B5482" s="1" t="s">
        <v>484</v>
      </c>
      <c r="C5482" s="1" t="str">
        <f>"80400"</f>
        <v>80400</v>
      </c>
      <c r="D5482" s="1" t="str">
        <f>"80400"</f>
        <v>80400</v>
      </c>
      <c r="E5482" s="1" t="s">
        <v>4566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</row>
    <row r="5483" spans="1:11" x14ac:dyDescent="0.2">
      <c r="A5483" s="1" t="s">
        <v>479</v>
      </c>
      <c r="B5483" s="1" t="s">
        <v>485</v>
      </c>
      <c r="C5483" s="1" t="str">
        <f>"QG009"</f>
        <v>QG009</v>
      </c>
      <c r="D5483" s="1" t="str">
        <f>"QG009"</f>
        <v>QG009</v>
      </c>
      <c r="E5483" s="1" t="s">
        <v>4566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</row>
    <row r="5484" spans="1:11" x14ac:dyDescent="0.2">
      <c r="A5484" s="1" t="s">
        <v>479</v>
      </c>
      <c r="B5484" s="1" t="s">
        <v>485</v>
      </c>
      <c r="C5484" s="1" t="str">
        <f>"2250"</f>
        <v>2250</v>
      </c>
      <c r="D5484" s="1" t="str">
        <f>"2250"</f>
        <v>2250</v>
      </c>
      <c r="E5484" s="1" t="s">
        <v>4566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</row>
    <row r="5485" spans="1:11" x14ac:dyDescent="0.2">
      <c r="A5485" s="1" t="s">
        <v>479</v>
      </c>
      <c r="B5485" s="1" t="s">
        <v>486</v>
      </c>
      <c r="C5485" s="1" t="str">
        <f>"QG006"</f>
        <v>QG006</v>
      </c>
      <c r="D5485" s="1" t="str">
        <f>"QG006"</f>
        <v>QG006</v>
      </c>
      <c r="E5485" s="1" t="s">
        <v>4566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</row>
    <row r="5486" spans="1:11" x14ac:dyDescent="0.2">
      <c r="A5486" s="1" t="s">
        <v>479</v>
      </c>
      <c r="B5486" s="1" t="s">
        <v>486</v>
      </c>
      <c r="C5486" s="1" t="str">
        <f>"BO-ALTAYBAJA"</f>
        <v>BO-ALTAYBAJA</v>
      </c>
      <c r="D5486" s="1" t="str">
        <f>"BO-ALTAYBAJA"</f>
        <v>BO-ALTAYBAJA</v>
      </c>
      <c r="E5486" s="1" t="s">
        <v>4566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</row>
    <row r="5487" spans="1:11" x14ac:dyDescent="0.2">
      <c r="A5487" s="1" t="s">
        <v>479</v>
      </c>
      <c r="B5487" s="1" t="s">
        <v>487</v>
      </c>
      <c r="C5487" s="1" t="str">
        <f>"BOTON-GY6"</f>
        <v>BOTON-GY6</v>
      </c>
      <c r="D5487" s="1" t="str">
        <f>"BOTON-GY6"</f>
        <v>BOTON-GY6</v>
      </c>
      <c r="E5487" s="1" t="s">
        <v>4566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</row>
    <row r="5488" spans="1:11" x14ac:dyDescent="0.2">
      <c r="A5488" s="1" t="s">
        <v>479</v>
      </c>
      <c r="B5488" s="1" t="s">
        <v>488</v>
      </c>
      <c r="C5488" s="1" t="str">
        <f>"66298800514760"</f>
        <v>66298800514760</v>
      </c>
      <c r="D5488" s="1" t="str">
        <f>"QG050"</f>
        <v>QG050</v>
      </c>
      <c r="E5488" s="1" t="s">
        <v>4566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</row>
    <row r="5489" spans="1:11" x14ac:dyDescent="0.2">
      <c r="A5489" s="1" t="s">
        <v>479</v>
      </c>
      <c r="B5489" s="1" t="s">
        <v>489</v>
      </c>
      <c r="C5489" s="1" t="str">
        <f>"66298800637205"</f>
        <v>66298800637205</v>
      </c>
      <c r="D5489" s="1" t="str">
        <f>"QG008"</f>
        <v>QG008</v>
      </c>
      <c r="E5489" s="1" t="s">
        <v>4566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</row>
    <row r="5490" spans="1:11" x14ac:dyDescent="0.2">
      <c r="A5490" s="1" t="s">
        <v>479</v>
      </c>
      <c r="B5490" s="1" t="s">
        <v>490</v>
      </c>
      <c r="C5490" s="1" t="str">
        <f>"66298800683705"</f>
        <v>66298800683705</v>
      </c>
      <c r="D5490" s="1" t="str">
        <f>"QG053"</f>
        <v>QG053</v>
      </c>
      <c r="E5490" s="1" t="s">
        <v>4566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</row>
    <row r="5491" spans="1:11" x14ac:dyDescent="0.2">
      <c r="A5491" s="1" t="s">
        <v>479</v>
      </c>
      <c r="B5491" s="1" t="s">
        <v>491</v>
      </c>
      <c r="C5491" s="1" t="str">
        <f>"66298800723853"</f>
        <v>66298800723853</v>
      </c>
      <c r="D5491" s="1" t="str">
        <f>"0393"</f>
        <v>0393</v>
      </c>
      <c r="E5491" s="1" t="s">
        <v>4566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</row>
    <row r="5492" spans="1:11" x14ac:dyDescent="0.2">
      <c r="A5492" s="1" t="s">
        <v>479</v>
      </c>
      <c r="B5492" s="1" t="s">
        <v>492</v>
      </c>
      <c r="C5492" s="1" t="str">
        <f>"66298800555912"</f>
        <v>66298800555912</v>
      </c>
      <c r="D5492" s="1" t="str">
        <f>"3221"</f>
        <v>3221</v>
      </c>
      <c r="E5492" s="1" t="s">
        <v>4566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</row>
    <row r="5493" spans="1:11" x14ac:dyDescent="0.2">
      <c r="A5493" s="1" t="s">
        <v>479</v>
      </c>
      <c r="B5493" s="1" t="s">
        <v>492</v>
      </c>
      <c r="C5493" s="1" t="str">
        <f>"66298800560729"</f>
        <v>66298800560729</v>
      </c>
      <c r="D5493" s="1" t="str">
        <f>"QG077"</f>
        <v>QG077</v>
      </c>
      <c r="E5493" s="1" t="s">
        <v>4566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</row>
    <row r="5494" spans="1:11" x14ac:dyDescent="0.2">
      <c r="A5494" s="1" t="s">
        <v>479</v>
      </c>
      <c r="B5494" s="1" t="s">
        <v>492</v>
      </c>
      <c r="C5494" s="1" t="str">
        <f>"66298800567862"</f>
        <v>66298800567862</v>
      </c>
      <c r="D5494" s="1" t="str">
        <f>"QG054"</f>
        <v>QG054</v>
      </c>
      <c r="E5494" s="1" t="s">
        <v>4566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</row>
    <row r="5495" spans="1:11" x14ac:dyDescent="0.2">
      <c r="A5495" s="1" t="s">
        <v>18</v>
      </c>
      <c r="B5495" s="1" t="s">
        <v>492</v>
      </c>
      <c r="C5495" s="1" t="str">
        <f>"QF016"</f>
        <v>QF016</v>
      </c>
      <c r="D5495" s="1" t="str">
        <f>"QF016"</f>
        <v>QF016</v>
      </c>
      <c r="E5495" s="1" t="s">
        <v>4566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</row>
    <row r="5496" spans="1:11" x14ac:dyDescent="0.2">
      <c r="A5496" s="1" t="s">
        <v>18</v>
      </c>
      <c r="B5496" s="1" t="s">
        <v>492</v>
      </c>
      <c r="C5496" s="1" t="str">
        <f>"QF011"</f>
        <v>QF011</v>
      </c>
      <c r="D5496" s="1" t="str">
        <f>"QF011"</f>
        <v>QF011</v>
      </c>
      <c r="E5496" s="1" t="s">
        <v>4566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</row>
    <row r="5497" spans="1:11" x14ac:dyDescent="0.2">
      <c r="A5497" s="1" t="s">
        <v>479</v>
      </c>
      <c r="B5497" s="1" t="s">
        <v>492</v>
      </c>
      <c r="C5497" s="1" t="str">
        <f>"202104"</f>
        <v>202104</v>
      </c>
      <c r="D5497" s="1" t="str">
        <f>"202104"</f>
        <v>202104</v>
      </c>
      <c r="E5497" s="1" t="s">
        <v>4566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</row>
    <row r="5498" spans="1:11" x14ac:dyDescent="0.2">
      <c r="A5498" s="1" t="s">
        <v>479</v>
      </c>
      <c r="B5498" s="1" t="s">
        <v>493</v>
      </c>
      <c r="C5498" s="1" t="str">
        <f>"QG002"</f>
        <v>QG002</v>
      </c>
      <c r="D5498" s="1" t="str">
        <f>"QG002"</f>
        <v>QG002</v>
      </c>
      <c r="E5498" s="1" t="s">
        <v>4566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</row>
    <row r="5499" spans="1:11" x14ac:dyDescent="0.2">
      <c r="A5499" s="1" t="s">
        <v>479</v>
      </c>
      <c r="B5499" s="1" t="s">
        <v>494</v>
      </c>
      <c r="C5499" s="1" t="str">
        <f>"QG004"</f>
        <v>QG004</v>
      </c>
      <c r="D5499" s="1" t="str">
        <f>"QG004"</f>
        <v>QG004</v>
      </c>
      <c r="E5499" s="1" t="s">
        <v>4566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</row>
    <row r="5500" spans="1:11" x14ac:dyDescent="0.2">
      <c r="A5500" s="1" t="s">
        <v>479</v>
      </c>
      <c r="B5500" s="1" t="s">
        <v>494</v>
      </c>
      <c r="C5500" s="1" t="str">
        <f>"BO-SENAL"</f>
        <v>BO-SENAL</v>
      </c>
      <c r="D5500" s="1" t="str">
        <f>"BO-SENAL"</f>
        <v>BO-SENAL</v>
      </c>
      <c r="E5500" s="1" t="s">
        <v>4566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</row>
    <row r="5501" spans="1:11" x14ac:dyDescent="0.2">
      <c r="A5501" s="1" t="s">
        <v>18</v>
      </c>
      <c r="B5501" s="1" t="s">
        <v>495</v>
      </c>
      <c r="C5501" s="1" t="str">
        <f>"C175"</f>
        <v>C175</v>
      </c>
      <c r="D5501" s="1" t="str">
        <f>"C175"</f>
        <v>C175</v>
      </c>
      <c r="E5501" s="1" t="s">
        <v>4566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</row>
    <row r="5502" spans="1:11" x14ac:dyDescent="0.2">
      <c r="A5502" s="1" t="s">
        <v>496</v>
      </c>
      <c r="B5502" s="1" t="s">
        <v>497</v>
      </c>
      <c r="C5502" s="1" t="str">
        <f>"ZZA005"</f>
        <v>ZZA005</v>
      </c>
      <c r="D5502" s="1" t="str">
        <f>"ZZA005"</f>
        <v>ZZA005</v>
      </c>
      <c r="E5502" s="1" t="s">
        <v>4566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</row>
    <row r="5503" spans="1:11" x14ac:dyDescent="0.2">
      <c r="A5503" s="1" t="s">
        <v>496</v>
      </c>
      <c r="B5503" s="1" t="s">
        <v>498</v>
      </c>
      <c r="C5503" s="1" t="str">
        <f>"21650-33G80-000"</f>
        <v>21650-33G80-000</v>
      </c>
      <c r="D5503" s="1" t="str">
        <f>"21650-33G80-000"</f>
        <v>21650-33G80-000</v>
      </c>
      <c r="E5503" s="1" t="s">
        <v>4566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</row>
    <row r="5504" spans="1:11" x14ac:dyDescent="0.2">
      <c r="A5504" s="1" t="s">
        <v>496</v>
      </c>
      <c r="B5504" s="1" t="s">
        <v>499</v>
      </c>
      <c r="C5504" s="1" t="str">
        <f>"66298800770590"</f>
        <v>66298800770590</v>
      </c>
      <c r="D5504" s="1" t="str">
        <f>"CC003"</f>
        <v>CC003</v>
      </c>
      <c r="E5504" s="1" t="s">
        <v>4566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</row>
    <row r="5505" spans="1:11" ht="30" x14ac:dyDescent="0.2">
      <c r="A5505" s="1" t="s">
        <v>496</v>
      </c>
      <c r="B5505" s="1" t="s">
        <v>500</v>
      </c>
      <c r="C5505" s="1" t="str">
        <f>"66298800816074"</f>
        <v>66298800816074</v>
      </c>
      <c r="D5505" s="1" t="str">
        <f>"CC002"</f>
        <v>CC002</v>
      </c>
      <c r="E5505" s="1" t="s">
        <v>4566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</row>
    <row r="5506" spans="1:11" x14ac:dyDescent="0.2">
      <c r="A5506" s="1" t="s">
        <v>496</v>
      </c>
      <c r="B5506" s="1" t="s">
        <v>501</v>
      </c>
      <c r="C5506" s="1" t="str">
        <f>"22121-HKE-000"</f>
        <v>22121-HKE-000</v>
      </c>
      <c r="D5506" s="1" t="str">
        <f>"22121-HKE-000"</f>
        <v>22121-HKE-000</v>
      </c>
      <c r="E5506" s="1" t="s">
        <v>4566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</row>
    <row r="5507" spans="1:11" x14ac:dyDescent="0.2">
      <c r="A5507" s="1" t="s">
        <v>496</v>
      </c>
      <c r="B5507" s="1" t="s">
        <v>501</v>
      </c>
      <c r="C5507" s="1" t="str">
        <f>"H2120"</f>
        <v>H2120</v>
      </c>
      <c r="D5507" s="1" t="str">
        <f>"H2120"</f>
        <v>H2120</v>
      </c>
      <c r="E5507" s="1" t="s">
        <v>4566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</row>
    <row r="5508" spans="1:11" x14ac:dyDescent="0.2">
      <c r="A5508" s="1" t="s">
        <v>496</v>
      </c>
      <c r="B5508" s="1" t="s">
        <v>502</v>
      </c>
      <c r="C5508" s="1" t="str">
        <f>"CC001"</f>
        <v>CC001</v>
      </c>
      <c r="D5508" s="1" t="str">
        <f>"CC001"</f>
        <v>CC001</v>
      </c>
      <c r="E5508" s="1" t="s">
        <v>4566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</row>
    <row r="5509" spans="1:11" x14ac:dyDescent="0.2">
      <c r="A5509" s="1" t="s">
        <v>496</v>
      </c>
      <c r="B5509" s="1" t="s">
        <v>503</v>
      </c>
      <c r="C5509" s="1" t="str">
        <f>"B120"</f>
        <v>B120</v>
      </c>
      <c r="D5509" s="1" t="str">
        <f>"B120"</f>
        <v>B120</v>
      </c>
      <c r="E5509" s="1" t="s">
        <v>4566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</row>
    <row r="5510" spans="1:11" x14ac:dyDescent="0.2">
      <c r="A5510" s="1" t="s">
        <v>496</v>
      </c>
      <c r="B5510" s="1" t="s">
        <v>504</v>
      </c>
      <c r="C5510" s="1" t="str">
        <f>"66298800858288"</f>
        <v>66298800858288</v>
      </c>
      <c r="D5510" s="1" t="str">
        <f>"13521"</f>
        <v>13521</v>
      </c>
      <c r="E5510" s="1" t="s">
        <v>4566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</row>
    <row r="5511" spans="1:11" x14ac:dyDescent="0.2">
      <c r="A5511" s="1" t="s">
        <v>505</v>
      </c>
      <c r="B5511" s="1" t="s">
        <v>506</v>
      </c>
      <c r="C5511" s="1" t="str">
        <f>"66298800901697"</f>
        <v>66298800901697</v>
      </c>
      <c r="D5511" s="1" t="str">
        <f>"D8EACN"</f>
        <v>D8EACN</v>
      </c>
      <c r="E5511" s="1" t="s">
        <v>4566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</row>
    <row r="5512" spans="1:11" x14ac:dyDescent="0.2">
      <c r="A5512" s="1" t="s">
        <v>505</v>
      </c>
      <c r="B5512" s="1" t="s">
        <v>507</v>
      </c>
      <c r="C5512" s="1" t="str">
        <f>"66298800985695"</f>
        <v>66298800985695</v>
      </c>
      <c r="D5512" s="1" t="str">
        <f>"IU20JP"</f>
        <v>IU20JP</v>
      </c>
      <c r="E5512" s="1" t="s">
        <v>4566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</row>
    <row r="5513" spans="1:11" x14ac:dyDescent="0.2">
      <c r="A5513" s="1" t="s">
        <v>505</v>
      </c>
      <c r="B5513" s="1" t="s">
        <v>508</v>
      </c>
      <c r="C5513" s="1" t="str">
        <f>"66298801067873"</f>
        <v>66298801067873</v>
      </c>
      <c r="D5513" s="1" t="str">
        <f>"IU22JP"</f>
        <v>IU22JP</v>
      </c>
      <c r="E5513" s="1" t="s">
        <v>4566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</row>
    <row r="5514" spans="1:11" x14ac:dyDescent="0.2">
      <c r="A5514" s="1" t="s">
        <v>505</v>
      </c>
      <c r="B5514" s="1" t="s">
        <v>509</v>
      </c>
      <c r="C5514" s="1" t="str">
        <f>"IU24JP"</f>
        <v>IU24JP</v>
      </c>
      <c r="D5514" s="1" t="str">
        <f>"IU24JP"</f>
        <v>IU24JP</v>
      </c>
      <c r="E5514" s="1" t="s">
        <v>4566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</row>
    <row r="5515" spans="1:11" ht="30" x14ac:dyDescent="0.2">
      <c r="A5515" s="1" t="s">
        <v>505</v>
      </c>
      <c r="B5515" s="1" t="s">
        <v>510</v>
      </c>
      <c r="C5515" s="1" t="str">
        <f>"66298801320393"</f>
        <v>66298801320393</v>
      </c>
      <c r="D5515" s="1" t="str">
        <f>"IU24AJP"</f>
        <v>IU24AJP</v>
      </c>
      <c r="E5515" s="1" t="s">
        <v>4566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</row>
    <row r="5516" spans="1:11" x14ac:dyDescent="0.2">
      <c r="A5516" s="1" t="s">
        <v>505</v>
      </c>
      <c r="B5516" s="1" t="s">
        <v>511</v>
      </c>
      <c r="C5516" s="1" t="str">
        <f>"IU27JP"</f>
        <v>IU27JP</v>
      </c>
      <c r="D5516" s="1" t="str">
        <f>"IU27JP"</f>
        <v>IU27JP</v>
      </c>
      <c r="E5516" s="1" t="s">
        <v>4566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</row>
    <row r="5517" spans="1:11" x14ac:dyDescent="0.2">
      <c r="A5517" s="1" t="s">
        <v>505</v>
      </c>
      <c r="B5517" s="1" t="s">
        <v>512</v>
      </c>
      <c r="C5517" s="1" t="str">
        <f>"66298801360705"</f>
        <v>66298801360705</v>
      </c>
      <c r="D5517" s="1" t="str">
        <f>"IU27AJP"</f>
        <v>IU27AJP</v>
      </c>
      <c r="E5517" s="1" t="s">
        <v>4566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</row>
    <row r="5518" spans="1:11" x14ac:dyDescent="0.2">
      <c r="A5518" s="1" t="s">
        <v>505</v>
      </c>
      <c r="B5518" s="1" t="s">
        <v>513</v>
      </c>
      <c r="C5518" s="1" t="str">
        <f>"IU31"</f>
        <v>IU31</v>
      </c>
      <c r="D5518" s="1" t="str">
        <f>"IU31"</f>
        <v>IU31</v>
      </c>
      <c r="E5518" s="1" t="s">
        <v>4566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</row>
    <row r="5519" spans="1:11" ht="30" x14ac:dyDescent="0.2">
      <c r="A5519" s="1" t="s">
        <v>505</v>
      </c>
      <c r="B5519" s="1" t="s">
        <v>514</v>
      </c>
      <c r="C5519" s="1" t="str">
        <f>"66298801025535"</f>
        <v>66298801025535</v>
      </c>
      <c r="D5519" s="1" t="str">
        <f>"IU31AJP"</f>
        <v>IU31AJP</v>
      </c>
      <c r="E5519" s="1" t="s">
        <v>4566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</row>
    <row r="5520" spans="1:11" x14ac:dyDescent="0.2">
      <c r="A5520" s="1" t="s">
        <v>505</v>
      </c>
      <c r="B5520" s="1" t="s">
        <v>515</v>
      </c>
      <c r="C5520" s="1" t="str">
        <f>"IUF22JP"</f>
        <v>IUF22JP</v>
      </c>
      <c r="D5520" s="1" t="str">
        <f>"IUF22JP"</f>
        <v>IUF22JP</v>
      </c>
      <c r="E5520" s="1" t="s">
        <v>4566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</row>
    <row r="5521" spans="1:11" x14ac:dyDescent="0.2">
      <c r="A5521" s="1" t="s">
        <v>505</v>
      </c>
      <c r="B5521" s="1" t="s">
        <v>516</v>
      </c>
      <c r="C5521" s="1" t="str">
        <f>"IUF24JP"</f>
        <v>IUF24JP</v>
      </c>
      <c r="D5521" s="1" t="str">
        <f>"IUF24JP"</f>
        <v>IUF24JP</v>
      </c>
      <c r="E5521" s="1" t="s">
        <v>4566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</row>
    <row r="5522" spans="1:11" x14ac:dyDescent="0.2">
      <c r="A5522" s="1" t="s">
        <v>505</v>
      </c>
      <c r="B5522" s="1" t="s">
        <v>517</v>
      </c>
      <c r="C5522" s="1" t="str">
        <f>"66298801112250"</f>
        <v>66298801112250</v>
      </c>
      <c r="D5522" s="1" t="str">
        <f>"IUH24JP"</f>
        <v>IUH24JP</v>
      </c>
      <c r="E5522" s="1" t="s">
        <v>4566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</row>
    <row r="5523" spans="1:11" x14ac:dyDescent="0.2">
      <c r="A5523" s="1" t="s">
        <v>505</v>
      </c>
      <c r="B5523" s="1" t="s">
        <v>518</v>
      </c>
      <c r="C5523" s="1" t="str">
        <f>"66298801189788"</f>
        <v>66298801189788</v>
      </c>
      <c r="D5523" s="1" t="str">
        <f>"IUH27JP"</f>
        <v>IUH27JP</v>
      </c>
      <c r="E5523" s="1" t="s">
        <v>4566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</row>
    <row r="5524" spans="1:11" x14ac:dyDescent="0.2">
      <c r="A5524" s="1" t="s">
        <v>505</v>
      </c>
      <c r="B5524" s="1" t="s">
        <v>519</v>
      </c>
      <c r="C5524" s="1" t="str">
        <f>"66298800943216"</f>
        <v>66298800943216</v>
      </c>
      <c r="D5524" s="1" t="str">
        <f>"IW24JP"</f>
        <v>IW24JP</v>
      </c>
      <c r="E5524" s="1" t="s">
        <v>4566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</row>
    <row r="5525" spans="1:11" x14ac:dyDescent="0.2">
      <c r="A5525" s="1" t="s">
        <v>505</v>
      </c>
      <c r="B5525" s="1" t="s">
        <v>520</v>
      </c>
      <c r="C5525" s="1" t="str">
        <f>"IWF24JP"</f>
        <v>IWF24JP</v>
      </c>
      <c r="D5525" s="1" t="str">
        <f>"IWF24JP"</f>
        <v>IWF24JP</v>
      </c>
      <c r="E5525" s="1" t="s">
        <v>4566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</row>
    <row r="5526" spans="1:11" x14ac:dyDescent="0.2">
      <c r="A5526" s="1" t="s">
        <v>505</v>
      </c>
      <c r="B5526" s="1" t="s">
        <v>521</v>
      </c>
      <c r="C5526" s="1" t="str">
        <f>"IX24JP"</f>
        <v>IX24JP</v>
      </c>
      <c r="D5526" s="1" t="str">
        <f>"IX24JP"</f>
        <v>IX24JP</v>
      </c>
      <c r="E5526" s="1" t="s">
        <v>4566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</row>
    <row r="5527" spans="1:11" x14ac:dyDescent="0.2">
      <c r="A5527" s="1" t="s">
        <v>505</v>
      </c>
      <c r="B5527" s="1" t="s">
        <v>522</v>
      </c>
      <c r="C5527" s="1" t="str">
        <f>"IX24BJP"</f>
        <v>IX24BJP</v>
      </c>
      <c r="D5527" s="1" t="str">
        <f>"IX24BJP"</f>
        <v>IX24BJP</v>
      </c>
      <c r="E5527" s="1" t="s">
        <v>4566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</row>
    <row r="5528" spans="1:11" x14ac:dyDescent="0.2">
      <c r="A5528" s="1" t="s">
        <v>505</v>
      </c>
      <c r="B5528" s="1" t="s">
        <v>523</v>
      </c>
      <c r="C5528" s="1" t="str">
        <f>"IX27BJP"</f>
        <v>IX27BJP</v>
      </c>
      <c r="D5528" s="1" t="str">
        <f>"IX27BJP"</f>
        <v>IX27BJP</v>
      </c>
      <c r="E5528" s="1" t="s">
        <v>4566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</row>
    <row r="5529" spans="1:11" x14ac:dyDescent="0.2">
      <c r="A5529" s="1" t="s">
        <v>505</v>
      </c>
      <c r="B5529" s="1" t="s">
        <v>524</v>
      </c>
      <c r="C5529" s="1" t="str">
        <f>"IXU24JP"</f>
        <v>IXU24JP</v>
      </c>
      <c r="D5529" s="1" t="str">
        <f>"IXU24JP"</f>
        <v>IXU24JP</v>
      </c>
      <c r="E5529" s="1" t="s">
        <v>4566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</row>
    <row r="5530" spans="1:11" ht="30" x14ac:dyDescent="0.2">
      <c r="A5530" s="1" t="s">
        <v>505</v>
      </c>
      <c r="B5530" s="1" t="s">
        <v>525</v>
      </c>
      <c r="C5530" s="1" t="str">
        <f>"66298801276854"</f>
        <v>66298801276854</v>
      </c>
      <c r="D5530" s="1" t="str">
        <f>"IXU27JP"</f>
        <v>IXU27JP</v>
      </c>
      <c r="E5530" s="1" t="s">
        <v>4566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</row>
    <row r="5531" spans="1:11" x14ac:dyDescent="0.2">
      <c r="A5531" s="1" t="s">
        <v>505</v>
      </c>
      <c r="B5531" s="1" t="s">
        <v>526</v>
      </c>
      <c r="C5531" s="1" t="str">
        <f>"U20EPR-9JP"</f>
        <v>U20EPR-9JP</v>
      </c>
      <c r="D5531" s="1" t="str">
        <f>"U20EPR-9JP"</f>
        <v>U20EPR-9JP</v>
      </c>
      <c r="E5531" s="1" t="s">
        <v>4566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</row>
    <row r="5532" spans="1:11" x14ac:dyDescent="0.2">
      <c r="A5532" s="1" t="s">
        <v>505</v>
      </c>
      <c r="B5532" s="1" t="s">
        <v>527</v>
      </c>
      <c r="C5532" s="1" t="str">
        <f>"U22FS-UJP"</f>
        <v>U22FS-UJP</v>
      </c>
      <c r="D5532" s="1" t="str">
        <f>"U22FS-UJP"</f>
        <v>U22FS-UJP</v>
      </c>
      <c r="E5532" s="1" t="s">
        <v>4566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</row>
    <row r="5533" spans="1:11" x14ac:dyDescent="0.2">
      <c r="A5533" s="1" t="s">
        <v>505</v>
      </c>
      <c r="B5533" s="1" t="s">
        <v>528</v>
      </c>
      <c r="C5533" s="1" t="str">
        <f>"66298801485728"</f>
        <v>66298801485728</v>
      </c>
      <c r="D5533" s="1" t="str">
        <f>"U22FSR-UJP"</f>
        <v>U22FSR-UJP</v>
      </c>
      <c r="E5533" s="1" t="s">
        <v>4566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</row>
    <row r="5534" spans="1:11" x14ac:dyDescent="0.2">
      <c r="A5534" s="1" t="s">
        <v>505</v>
      </c>
      <c r="B5534" s="1" t="s">
        <v>529</v>
      </c>
      <c r="C5534" s="1" t="str">
        <f>"66298801531667"</f>
        <v>66298801531667</v>
      </c>
      <c r="D5534" s="1" t="str">
        <f>"U24ES-NJP"</f>
        <v>U24ES-NJP</v>
      </c>
      <c r="E5534" s="1" t="s">
        <v>4566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</row>
    <row r="5535" spans="1:11" ht="30" x14ac:dyDescent="0.2">
      <c r="A5535" s="1" t="s">
        <v>505</v>
      </c>
      <c r="B5535" s="1" t="s">
        <v>530</v>
      </c>
      <c r="C5535" s="1" t="str">
        <f>"U24FER-9JP"</f>
        <v>U24FER-9JP</v>
      </c>
      <c r="D5535" s="1" t="str">
        <f>"U24FER-9JP"</f>
        <v>U24FER-9JP</v>
      </c>
      <c r="E5535" s="1" t="s">
        <v>4566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</row>
    <row r="5536" spans="1:11" x14ac:dyDescent="0.2">
      <c r="A5536" s="1" t="s">
        <v>505</v>
      </c>
      <c r="B5536" s="1" t="s">
        <v>531</v>
      </c>
      <c r="C5536" s="1" t="str">
        <f>"66298801608746"</f>
        <v>66298801608746</v>
      </c>
      <c r="D5536" s="1" t="str">
        <f>"U27ES-NJP"</f>
        <v>U27ES-NJP</v>
      </c>
      <c r="E5536" s="1" t="s">
        <v>4566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</row>
    <row r="5537" spans="1:11" x14ac:dyDescent="0.2">
      <c r="A5537" s="1" t="s">
        <v>505</v>
      </c>
      <c r="B5537" s="1" t="s">
        <v>532</v>
      </c>
      <c r="C5537" s="1" t="str">
        <f>"66298801651527"</f>
        <v>66298801651527</v>
      </c>
      <c r="D5537" s="1" t="str">
        <f>"U27ESR-NJP"</f>
        <v>U27ESR-NJP</v>
      </c>
      <c r="E5537" s="1" t="s">
        <v>4566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</row>
    <row r="5538" spans="1:11" x14ac:dyDescent="0.2">
      <c r="A5538" s="1" t="s">
        <v>505</v>
      </c>
      <c r="B5538" s="1" t="s">
        <v>533</v>
      </c>
      <c r="C5538" s="1" t="str">
        <f>"66298801407141"</f>
        <v>66298801407141</v>
      </c>
      <c r="D5538" s="1" t="str">
        <f>"U27FER-9JP"</f>
        <v>U27FER-9JP</v>
      </c>
      <c r="E5538" s="1" t="s">
        <v>4566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</row>
    <row r="5539" spans="1:11" x14ac:dyDescent="0.2">
      <c r="A5539" s="1" t="s">
        <v>505</v>
      </c>
      <c r="B5539" s="1" t="s">
        <v>534</v>
      </c>
      <c r="C5539" s="1" t="str">
        <f>"66298801696820"</f>
        <v>66298801696820</v>
      </c>
      <c r="D5539" s="1" t="str">
        <f>"U31ETRJP"</f>
        <v>U31ETRJP</v>
      </c>
      <c r="E5539" s="1" t="s">
        <v>4566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</row>
    <row r="5540" spans="1:11" x14ac:dyDescent="0.2">
      <c r="A5540" s="1" t="s">
        <v>505</v>
      </c>
      <c r="B5540" s="1" t="s">
        <v>535</v>
      </c>
      <c r="C5540" s="1" t="str">
        <f>"W20M-UJP"</f>
        <v>W20M-UJP</v>
      </c>
      <c r="D5540" s="1" t="str">
        <f>"W20M-UJP"</f>
        <v>W20M-UJP</v>
      </c>
      <c r="E5540" s="1" t="s">
        <v>4566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</row>
    <row r="5541" spans="1:11" x14ac:dyDescent="0.2">
      <c r="A5541" s="1" t="s">
        <v>505</v>
      </c>
      <c r="B5541" s="1" t="s">
        <v>536</v>
      </c>
      <c r="C5541" s="1" t="str">
        <f>"W24ESR-UJP"</f>
        <v>W24ESR-UJP</v>
      </c>
      <c r="D5541" s="1" t="str">
        <f>"W24ESR-UJP"</f>
        <v>W24ESR-UJP</v>
      </c>
      <c r="E5541" s="1" t="s">
        <v>4566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</row>
    <row r="5542" spans="1:11" x14ac:dyDescent="0.2">
      <c r="A5542" s="1" t="s">
        <v>505</v>
      </c>
      <c r="B5542" s="1" t="s">
        <v>537</v>
      </c>
      <c r="C5542" s="1" t="str">
        <f>"W24ESR-VJP"</f>
        <v>W24ESR-VJP</v>
      </c>
      <c r="D5542" s="1" t="str">
        <f>"W24ESR-VJP"</f>
        <v>W24ESR-VJP</v>
      </c>
      <c r="E5542" s="1" t="s">
        <v>4566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</row>
    <row r="5543" spans="1:11" x14ac:dyDescent="0.2">
      <c r="A5543" s="1" t="s">
        <v>505</v>
      </c>
      <c r="B5543" s="1" t="s">
        <v>538</v>
      </c>
      <c r="C5543" s="1" t="str">
        <f>"W24FS-UJP"</f>
        <v>W24FS-UJP</v>
      </c>
      <c r="D5543" s="1" t="str">
        <f>"W24FS-UJP"</f>
        <v>W24FS-UJP</v>
      </c>
      <c r="E5543" s="1" t="s">
        <v>4566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</row>
    <row r="5544" spans="1:11" x14ac:dyDescent="0.2">
      <c r="A5544" s="1" t="s">
        <v>505</v>
      </c>
      <c r="B5544" s="1" t="s">
        <v>539</v>
      </c>
      <c r="C5544" s="1" t="str">
        <f>"X24EP-U9JP"</f>
        <v>X24EP-U9JP</v>
      </c>
      <c r="D5544" s="1" t="str">
        <f>"X24EP-U9JP"</f>
        <v>X24EP-U9JP</v>
      </c>
      <c r="E5544" s="1" t="s">
        <v>4566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</row>
    <row r="5545" spans="1:11" x14ac:dyDescent="0.2">
      <c r="A5545" s="1" t="s">
        <v>505</v>
      </c>
      <c r="B5545" s="1" t="s">
        <v>540</v>
      </c>
      <c r="C5545" s="1" t="str">
        <f>"66298801737741"</f>
        <v>66298801737741</v>
      </c>
      <c r="D5545" s="1" t="str">
        <f>"X24EPR-U9JP"</f>
        <v>X24EPR-U9JP</v>
      </c>
      <c r="E5545" s="1" t="s">
        <v>4566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</row>
    <row r="5546" spans="1:11" x14ac:dyDescent="0.2">
      <c r="A5546" s="1" t="s">
        <v>505</v>
      </c>
      <c r="B5546" s="1" t="s">
        <v>541</v>
      </c>
      <c r="C5546" s="1" t="str">
        <f>"66298801824468"</f>
        <v>66298801824468</v>
      </c>
      <c r="D5546" s="1" t="str">
        <f>"XU24EPR-UJP"</f>
        <v>XU24EPR-UJP</v>
      </c>
      <c r="E5546" s="1" t="s">
        <v>4566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</row>
    <row r="5547" spans="1:11" x14ac:dyDescent="0.2">
      <c r="A5547" s="1" t="s">
        <v>505</v>
      </c>
      <c r="B5547" s="1" t="s">
        <v>542</v>
      </c>
      <c r="C5547" s="1" t="str">
        <f>"66298801864920"</f>
        <v>66298801864920</v>
      </c>
      <c r="D5547" s="1" t="str">
        <f>"CR9E-EK"</f>
        <v>CR9E-EK</v>
      </c>
      <c r="E5547" s="1" t="s">
        <v>4566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</row>
    <row r="5548" spans="1:11" x14ac:dyDescent="0.2">
      <c r="A5548" s="1" t="s">
        <v>505</v>
      </c>
      <c r="B5548" s="1" t="s">
        <v>543</v>
      </c>
      <c r="C5548" s="1" t="str">
        <f>"66298801905107"</f>
        <v>66298801905107</v>
      </c>
      <c r="D5548" s="1" t="str">
        <f>"CR7EI-EK"</f>
        <v>CR7EI-EK</v>
      </c>
      <c r="E5548" s="1" t="s">
        <v>4566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</row>
    <row r="5549" spans="1:11" x14ac:dyDescent="0.2">
      <c r="A5549" s="1" t="s">
        <v>505</v>
      </c>
      <c r="B5549" s="1" t="s">
        <v>544</v>
      </c>
      <c r="C5549" s="1" t="str">
        <f>"66298801945839"</f>
        <v>66298801945839</v>
      </c>
      <c r="D5549" s="1" t="str">
        <f>"IUF22-EK"</f>
        <v>IUF22-EK</v>
      </c>
      <c r="E5549" s="1" t="s">
        <v>4566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</row>
    <row r="5550" spans="1:11" x14ac:dyDescent="0.2">
      <c r="A5550" s="1" t="s">
        <v>505</v>
      </c>
      <c r="B5550" s="1" t="s">
        <v>545</v>
      </c>
      <c r="C5550" s="1" t="str">
        <f>"66298801987355"</f>
        <v>66298801987355</v>
      </c>
      <c r="D5550" s="1" t="str">
        <f>"B7HS-EK"</f>
        <v>B7HS-EK</v>
      </c>
      <c r="E5550" s="1" t="s">
        <v>4566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</row>
    <row r="5551" spans="1:11" x14ac:dyDescent="0.2">
      <c r="A5551" s="1" t="s">
        <v>505</v>
      </c>
      <c r="B5551" s="1" t="s">
        <v>546</v>
      </c>
      <c r="C5551" s="1" t="str">
        <f>"66298802033748"</f>
        <v>66298802033748</v>
      </c>
      <c r="D5551" s="1" t="str">
        <f>"A7TC-EK"</f>
        <v>A7TC-EK</v>
      </c>
      <c r="E5551" s="1" t="s">
        <v>4566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</row>
    <row r="5552" spans="1:11" x14ac:dyDescent="0.2">
      <c r="A5552" s="1" t="s">
        <v>505</v>
      </c>
      <c r="B5552" s="1" t="s">
        <v>547</v>
      </c>
      <c r="C5552" s="1" t="str">
        <f>"66298802074846"</f>
        <v>66298802074846</v>
      </c>
      <c r="D5552" s="1" t="str">
        <f>"CR7HSCN"</f>
        <v>CR7HSCN</v>
      </c>
      <c r="E5552" s="1" t="s">
        <v>4566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</row>
    <row r="5553" spans="1:11" x14ac:dyDescent="0.2">
      <c r="A5553" s="1" t="s">
        <v>505</v>
      </c>
      <c r="B5553" s="1" t="s">
        <v>548</v>
      </c>
      <c r="C5553" s="1" t="str">
        <f>"66298802120728"</f>
        <v>66298802120728</v>
      </c>
      <c r="D5553" s="1" t="str">
        <f>"DPR8EA-9CN"</f>
        <v>DPR8EA-9CN</v>
      </c>
      <c r="E5553" s="1" t="s">
        <v>4566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</row>
    <row r="5554" spans="1:11" x14ac:dyDescent="0.2">
      <c r="A5554" s="1" t="s">
        <v>505</v>
      </c>
      <c r="B5554" s="1" t="s">
        <v>549</v>
      </c>
      <c r="C5554" s="1" t="str">
        <f>"66298802172961"</f>
        <v>66298802172961</v>
      </c>
      <c r="D5554" s="1" t="str">
        <f>"IWF16-JP"</f>
        <v>IWF16-JP</v>
      </c>
      <c r="E5554" s="1" t="s">
        <v>4566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</row>
    <row r="5555" spans="1:11" x14ac:dyDescent="0.2">
      <c r="A5555" s="1" t="s">
        <v>505</v>
      </c>
      <c r="B5555" s="1" t="s">
        <v>550</v>
      </c>
      <c r="C5555" s="1" t="str">
        <f>"66298802217472"</f>
        <v>66298802217472</v>
      </c>
      <c r="D5555" s="1" t="str">
        <f>"BPR8EIXJP"</f>
        <v>BPR8EIXJP</v>
      </c>
      <c r="E5555" s="1" t="s">
        <v>4566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</row>
    <row r="5556" spans="1:11" x14ac:dyDescent="0.2">
      <c r="A5556" s="1" t="s">
        <v>505</v>
      </c>
      <c r="B5556" s="1" t="s">
        <v>551</v>
      </c>
      <c r="C5556" s="1" t="str">
        <f>"66298802262478"</f>
        <v>66298802262478</v>
      </c>
      <c r="D5556" s="1" t="str">
        <f>"BR10EIX"</f>
        <v>BR10EIX</v>
      </c>
      <c r="E5556" s="1" t="s">
        <v>4566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</row>
    <row r="5557" spans="1:11" ht="30" x14ac:dyDescent="0.2">
      <c r="A5557" s="1" t="s">
        <v>505</v>
      </c>
      <c r="B5557" s="1" t="s">
        <v>552</v>
      </c>
      <c r="C5557" s="1" t="str">
        <f>"IFR6G-11K"</f>
        <v>IFR6G-11K</v>
      </c>
      <c r="D5557" s="1" t="str">
        <f>"IFR6G-11K"</f>
        <v>IFR6G-11K</v>
      </c>
      <c r="E5557" s="1" t="s">
        <v>4566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</row>
    <row r="5558" spans="1:11" x14ac:dyDescent="0.2">
      <c r="A5558" s="1" t="s">
        <v>505</v>
      </c>
      <c r="B5558" s="1" t="s">
        <v>553</v>
      </c>
      <c r="C5558" s="1" t="str">
        <f>"66298802311964"</f>
        <v>66298802311964</v>
      </c>
      <c r="D5558" s="1" t="str">
        <f>"IJR8B-9JP"</f>
        <v>IJR8B-9JP</v>
      </c>
      <c r="E5558" s="1" t="s">
        <v>4566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</row>
    <row r="5559" spans="1:11" x14ac:dyDescent="0.2">
      <c r="A5559" s="1" t="s">
        <v>505</v>
      </c>
      <c r="B5559" s="1" t="s">
        <v>554</v>
      </c>
      <c r="C5559" s="1" t="str">
        <f>"B8ESJP"</f>
        <v>B8ESJP</v>
      </c>
      <c r="D5559" s="1" t="str">
        <f>"B8ESJP"</f>
        <v>B8ESJP</v>
      </c>
      <c r="E5559" s="1" t="s">
        <v>4566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</row>
    <row r="5560" spans="1:11" x14ac:dyDescent="0.2">
      <c r="A5560" s="1" t="s">
        <v>505</v>
      </c>
      <c r="B5560" s="1" t="s">
        <v>555</v>
      </c>
      <c r="C5560" s="1" t="str">
        <f>"66298802354731"</f>
        <v>66298802354731</v>
      </c>
      <c r="D5560" s="1" t="str">
        <f>"BPR6ESJP"</f>
        <v>BPR6ESJP</v>
      </c>
      <c r="E5560" s="1" t="s">
        <v>4566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</row>
    <row r="5561" spans="1:11" x14ac:dyDescent="0.2">
      <c r="A5561" s="1" t="s">
        <v>505</v>
      </c>
      <c r="B5561" s="1" t="s">
        <v>556</v>
      </c>
      <c r="C5561" s="1" t="str">
        <f>"66298802399039"</f>
        <v>66298802399039</v>
      </c>
      <c r="D5561" s="1" t="str">
        <f>"BPR6ES-11BR"</f>
        <v>BPR6ES-11BR</v>
      </c>
      <c r="E5561" s="1" t="s">
        <v>4566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</row>
    <row r="5562" spans="1:11" x14ac:dyDescent="0.2">
      <c r="A5562" s="1" t="s">
        <v>505</v>
      </c>
      <c r="B5562" s="1" t="s">
        <v>557</v>
      </c>
      <c r="C5562" s="1" t="str">
        <f>"C7HSBR"</f>
        <v>C7HSBR</v>
      </c>
      <c r="D5562" s="1" t="str">
        <f>"C7HSBR"</f>
        <v>C7HSBR</v>
      </c>
      <c r="E5562" s="1" t="s">
        <v>4566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</row>
    <row r="5563" spans="1:11" x14ac:dyDescent="0.2">
      <c r="A5563" s="1" t="s">
        <v>505</v>
      </c>
      <c r="B5563" s="1" t="s">
        <v>558</v>
      </c>
      <c r="C5563" s="1" t="str">
        <f>"C7HSA-BR"</f>
        <v>C7HSA-BR</v>
      </c>
      <c r="D5563" s="1" t="str">
        <f>"C7HSA-BR"</f>
        <v>C7HSA-BR</v>
      </c>
      <c r="E5563" s="1" t="s">
        <v>4566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</row>
    <row r="5564" spans="1:11" x14ac:dyDescent="0.2">
      <c r="A5564" s="1" t="s">
        <v>505</v>
      </c>
      <c r="B5564" s="1" t="s">
        <v>559</v>
      </c>
      <c r="C5564" s="1" t="str">
        <f>"CR6HS"</f>
        <v>CR6HS</v>
      </c>
      <c r="D5564" s="1" t="str">
        <f>"CR6HS"</f>
        <v>CR6HS</v>
      </c>
      <c r="E5564" s="1" t="s">
        <v>4566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</row>
    <row r="5565" spans="1:11" x14ac:dyDescent="0.2">
      <c r="A5565" s="1" t="s">
        <v>505</v>
      </c>
      <c r="B5565" s="1" t="s">
        <v>560</v>
      </c>
      <c r="C5565" s="1" t="str">
        <f>"66298802441205"</f>
        <v>66298802441205</v>
      </c>
      <c r="D5565" s="1" t="str">
        <f>"CR7EH-9JP"</f>
        <v>CR7EH-9JP</v>
      </c>
      <c r="E5565" s="1" t="s">
        <v>4566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</row>
    <row r="5566" spans="1:11" x14ac:dyDescent="0.2">
      <c r="A5566" s="1" t="s">
        <v>505</v>
      </c>
      <c r="B5566" s="1" t="s">
        <v>561</v>
      </c>
      <c r="C5566" s="1" t="str">
        <f>"CR8EJP"</f>
        <v>CR8EJP</v>
      </c>
      <c r="D5566" s="1" t="str">
        <f>"CR8EJP"</f>
        <v>CR8EJP</v>
      </c>
      <c r="E5566" s="1" t="s">
        <v>4566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</row>
    <row r="5567" spans="1:11" x14ac:dyDescent="0.2">
      <c r="A5567" s="1" t="s">
        <v>505</v>
      </c>
      <c r="B5567" s="1" t="s">
        <v>562</v>
      </c>
      <c r="C5567" s="1" t="str">
        <f>"CR9EJP"</f>
        <v>CR9EJP</v>
      </c>
      <c r="D5567" s="1" t="str">
        <f>"CR9EJP"</f>
        <v>CR9EJP</v>
      </c>
      <c r="E5567" s="1" t="s">
        <v>4566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</row>
    <row r="5568" spans="1:11" x14ac:dyDescent="0.2">
      <c r="A5568" s="1" t="s">
        <v>505</v>
      </c>
      <c r="B5568" s="1" t="s">
        <v>563</v>
      </c>
      <c r="C5568" s="1" t="str">
        <f>"D8EAJP"</f>
        <v>D8EAJP</v>
      </c>
      <c r="D5568" s="1" t="str">
        <f>"D8EAJP"</f>
        <v>D8EAJP</v>
      </c>
      <c r="E5568" s="1" t="s">
        <v>4566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</row>
    <row r="5569" spans="1:11" x14ac:dyDescent="0.2">
      <c r="A5569" s="1" t="s">
        <v>505</v>
      </c>
      <c r="B5569" s="1" t="s">
        <v>564</v>
      </c>
      <c r="C5569" s="1" t="str">
        <f>"66298802485220"</f>
        <v>66298802485220</v>
      </c>
      <c r="D5569" s="1" t="str">
        <f>"DPR8EA-9BR"</f>
        <v>DPR8EA-9BR</v>
      </c>
      <c r="E5569" s="1" t="s">
        <v>4566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</row>
    <row r="5570" spans="1:11" ht="30" x14ac:dyDescent="0.2">
      <c r="A5570" s="1" t="s">
        <v>505</v>
      </c>
      <c r="B5570" s="1" t="s">
        <v>565</v>
      </c>
      <c r="C5570" s="1" t="str">
        <f>"LKAR8A-9"</f>
        <v>LKAR8A-9</v>
      </c>
      <c r="D5570" s="1" t="str">
        <f>"LKAR8A-9"</f>
        <v>LKAR8A-9</v>
      </c>
      <c r="E5570" s="1" t="s">
        <v>4566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</row>
    <row r="5571" spans="1:11" x14ac:dyDescent="0.2">
      <c r="A5571" s="1" t="s">
        <v>505</v>
      </c>
      <c r="B5571" s="1" t="s">
        <v>566</v>
      </c>
      <c r="C5571" s="1" t="str">
        <f>"66298802530482"</f>
        <v>66298802530482</v>
      </c>
      <c r="D5571" s="1" t="str">
        <f>"CPR8EA-9EIX-VN"</f>
        <v>CPR8EA-9EIX-VN</v>
      </c>
      <c r="E5571" s="1" t="s">
        <v>4566</v>
      </c>
      <c r="F5571" s="1">
        <v>1120</v>
      </c>
      <c r="G5571" s="1">
        <v>1666</v>
      </c>
      <c r="H5571" s="1">
        <v>1865920</v>
      </c>
      <c r="I5571" s="1">
        <v>0</v>
      </c>
      <c r="J5571" s="1">
        <v>1120</v>
      </c>
      <c r="K5571" s="1">
        <v>0</v>
      </c>
    </row>
    <row r="5572" spans="1:11" x14ac:dyDescent="0.2">
      <c r="A5572" s="1" t="s">
        <v>505</v>
      </c>
      <c r="B5572" s="1" t="s">
        <v>567</v>
      </c>
      <c r="C5572" s="1" t="str">
        <f>"66298802573508"</f>
        <v>66298802573508</v>
      </c>
      <c r="D5572" s="1" t="str">
        <f>"CR8EH-9EIX-VN"</f>
        <v>CR8EH-9EIX-VN</v>
      </c>
      <c r="E5572" s="1" t="s">
        <v>4566</v>
      </c>
      <c r="F5572" s="1">
        <v>1530</v>
      </c>
      <c r="G5572" s="1">
        <v>1625</v>
      </c>
      <c r="H5572" s="1">
        <v>2486250</v>
      </c>
      <c r="I5572" s="1">
        <v>0</v>
      </c>
      <c r="J5572" s="1">
        <v>1530</v>
      </c>
      <c r="K5572" s="1">
        <v>0</v>
      </c>
    </row>
    <row r="5573" spans="1:11" x14ac:dyDescent="0.2">
      <c r="A5573" s="1" t="s">
        <v>505</v>
      </c>
      <c r="B5573" s="1" t="s">
        <v>568</v>
      </c>
      <c r="C5573" s="1" t="str">
        <f>"66298802617007"</f>
        <v>66298802617007</v>
      </c>
      <c r="D5573" s="1" t="str">
        <f>"DPR8EA-9EIX-VN"</f>
        <v>DPR8EA-9EIX-VN</v>
      </c>
      <c r="E5573" s="1" t="s">
        <v>4566</v>
      </c>
      <c r="F5573" s="1">
        <v>1580</v>
      </c>
      <c r="G5573" s="1">
        <v>1624</v>
      </c>
      <c r="H5573" s="1">
        <v>2565920</v>
      </c>
      <c r="I5573" s="1">
        <v>0</v>
      </c>
      <c r="J5573" s="1">
        <v>1580</v>
      </c>
      <c r="K5573" s="1">
        <v>0</v>
      </c>
    </row>
    <row r="5574" spans="1:11" x14ac:dyDescent="0.2">
      <c r="A5574" s="1" t="s">
        <v>505</v>
      </c>
      <c r="B5574" s="1" t="s">
        <v>569</v>
      </c>
      <c r="C5574" s="1" t="str">
        <f>"66298802661000"</f>
        <v>66298802661000</v>
      </c>
      <c r="D5574" s="1" t="str">
        <f>"C7HSVN"</f>
        <v>C7HSVN</v>
      </c>
      <c r="E5574" s="1" t="s">
        <v>4566</v>
      </c>
      <c r="F5574" s="1">
        <v>2670</v>
      </c>
      <c r="G5574" s="1">
        <v>316</v>
      </c>
      <c r="H5574" s="1">
        <v>843720</v>
      </c>
      <c r="I5574" s="1">
        <v>0</v>
      </c>
      <c r="J5574" s="1">
        <v>2670</v>
      </c>
      <c r="K5574" s="1">
        <v>0</v>
      </c>
    </row>
    <row r="5575" spans="1:11" x14ac:dyDescent="0.2">
      <c r="A5575" s="1" t="s">
        <v>505</v>
      </c>
      <c r="B5575" s="1" t="s">
        <v>570</v>
      </c>
      <c r="C5575" s="1" t="str">
        <f>"66298802707892"</f>
        <v>66298802707892</v>
      </c>
      <c r="D5575" s="1" t="str">
        <f>"CR8EVN"</f>
        <v>CR8EVN</v>
      </c>
      <c r="E5575" s="1" t="s">
        <v>4566</v>
      </c>
      <c r="F5575" s="1">
        <v>3450</v>
      </c>
      <c r="G5575" s="1">
        <v>508</v>
      </c>
      <c r="H5575" s="1">
        <v>1752600</v>
      </c>
      <c r="I5575" s="1">
        <v>0</v>
      </c>
      <c r="J5575" s="1">
        <v>3450</v>
      </c>
      <c r="K5575" s="1">
        <v>0</v>
      </c>
    </row>
    <row r="5576" spans="1:11" x14ac:dyDescent="0.2">
      <c r="A5576" s="1" t="s">
        <v>505</v>
      </c>
      <c r="B5576" s="1" t="s">
        <v>571</v>
      </c>
      <c r="C5576" s="1" t="str">
        <f>"66298802748152"</f>
        <v>66298802748152</v>
      </c>
      <c r="D5576" s="1" t="str">
        <f>"D8EAVN"</f>
        <v>D8EAVN</v>
      </c>
      <c r="E5576" s="1" t="s">
        <v>4566</v>
      </c>
      <c r="F5576" s="1">
        <v>3480</v>
      </c>
      <c r="G5576" s="1">
        <v>348</v>
      </c>
      <c r="H5576" s="1">
        <v>1211040</v>
      </c>
      <c r="I5576" s="1">
        <v>0</v>
      </c>
      <c r="J5576" s="1">
        <v>3480</v>
      </c>
      <c r="K5576" s="1">
        <v>0</v>
      </c>
    </row>
    <row r="5577" spans="1:11" x14ac:dyDescent="0.2">
      <c r="A5577" s="1" t="s">
        <v>572</v>
      </c>
      <c r="B5577" s="1" t="s">
        <v>573</v>
      </c>
      <c r="C5577" s="1" t="str">
        <f>"66298802786849"</f>
        <v>66298802786849</v>
      </c>
      <c r="D5577" s="1" t="str">
        <f>"DM-B-00004"</f>
        <v>DM-B-00004</v>
      </c>
      <c r="E5577" s="1" t="s">
        <v>4566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</row>
    <row r="5578" spans="1:11" x14ac:dyDescent="0.2">
      <c r="A5578" s="1" t="s">
        <v>574</v>
      </c>
      <c r="B5578" s="1" t="s">
        <v>575</v>
      </c>
      <c r="C5578" s="1" t="str">
        <f>"66298802829474"</f>
        <v>66298802829474</v>
      </c>
      <c r="D5578" s="1" t="str">
        <f>"VA004"</f>
        <v>VA004</v>
      </c>
      <c r="E5578" s="1" t="s">
        <v>4566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</row>
    <row r="5579" spans="1:11" x14ac:dyDescent="0.2">
      <c r="A5579" s="1" t="s">
        <v>574</v>
      </c>
      <c r="B5579" s="1" t="s">
        <v>576</v>
      </c>
      <c r="C5579" s="1" t="str">
        <f>"66298802872553"</f>
        <v>66298802872553</v>
      </c>
      <c r="D5579" s="1" t="str">
        <f>"VA008"</f>
        <v>VA008</v>
      </c>
      <c r="E5579" s="1" t="s">
        <v>4566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</row>
    <row r="5580" spans="1:11" x14ac:dyDescent="0.2">
      <c r="A5580" s="1" t="s">
        <v>574</v>
      </c>
      <c r="B5580" s="1" t="s">
        <v>576</v>
      </c>
      <c r="C5580" s="1" t="str">
        <f>"66298802914895"</f>
        <v>66298802914895</v>
      </c>
      <c r="D5580" s="1" t="str">
        <f>"VA019"</f>
        <v>VA019</v>
      </c>
      <c r="E5580" s="1" t="s">
        <v>4566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</row>
    <row r="5581" spans="1:11" x14ac:dyDescent="0.2">
      <c r="A5581" s="1" t="s">
        <v>574</v>
      </c>
      <c r="B5581" s="1" t="s">
        <v>577</v>
      </c>
      <c r="C5581" s="1" t="str">
        <f>"VA040"</f>
        <v>VA040</v>
      </c>
      <c r="D5581" s="1" t="str">
        <f>"VA040"</f>
        <v>VA040</v>
      </c>
      <c r="E5581" s="1" t="s">
        <v>4566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</row>
    <row r="5582" spans="1:11" ht="30" x14ac:dyDescent="0.2">
      <c r="A5582" s="1" t="s">
        <v>574</v>
      </c>
      <c r="B5582" s="1" t="s">
        <v>578</v>
      </c>
      <c r="C5582" s="1" t="str">
        <f>"66298802954882"</f>
        <v>66298802954882</v>
      </c>
      <c r="D5582" s="1" t="str">
        <f>"30410-KSP-911HB"</f>
        <v>30410-KSP-911HB</v>
      </c>
      <c r="E5582" s="1" t="s">
        <v>4566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</row>
    <row r="5583" spans="1:11" x14ac:dyDescent="0.2">
      <c r="A5583" s="1" t="s">
        <v>574</v>
      </c>
      <c r="B5583" s="1" t="s">
        <v>579</v>
      </c>
      <c r="C5583" s="1" t="str">
        <f>"66298802996722"</f>
        <v>66298802996722</v>
      </c>
      <c r="D5583" s="1" t="str">
        <f>"83163"</f>
        <v>83163</v>
      </c>
      <c r="E5583" s="1" t="s">
        <v>4566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</row>
    <row r="5584" spans="1:11" x14ac:dyDescent="0.2">
      <c r="A5584" s="1" t="s">
        <v>574</v>
      </c>
      <c r="B5584" s="1" t="s">
        <v>580</v>
      </c>
      <c r="C5584" s="1" t="str">
        <f>"66298803039279"</f>
        <v>66298803039279</v>
      </c>
      <c r="D5584" s="1" t="str">
        <f>"V027"</f>
        <v>V027</v>
      </c>
      <c r="E5584" s="1" t="s">
        <v>4566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</row>
    <row r="5585" spans="1:11" x14ac:dyDescent="0.2">
      <c r="A5585" s="1" t="s">
        <v>574</v>
      </c>
      <c r="B5585" s="1" t="s">
        <v>580</v>
      </c>
      <c r="C5585" s="1" t="str">
        <f>"66298803045585"</f>
        <v>66298803045585</v>
      </c>
      <c r="D5585" s="1" t="str">
        <f>"VA016"</f>
        <v>VA016</v>
      </c>
      <c r="E5585" s="1" t="s">
        <v>4566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</row>
    <row r="5586" spans="1:11" x14ac:dyDescent="0.2">
      <c r="A5586" s="1" t="s">
        <v>574</v>
      </c>
      <c r="B5586" s="1" t="s">
        <v>581</v>
      </c>
      <c r="C5586" s="1" t="str">
        <f>"F34"</f>
        <v>F34</v>
      </c>
      <c r="D5586" s="1" t="str">
        <f>"F34"</f>
        <v>F34</v>
      </c>
      <c r="E5586" s="1" t="s">
        <v>4566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</row>
    <row r="5587" spans="1:11" x14ac:dyDescent="0.2">
      <c r="A5587" s="1" t="s">
        <v>574</v>
      </c>
      <c r="B5587" s="1" t="s">
        <v>581</v>
      </c>
      <c r="C5587" s="1" t="str">
        <f>"F35"</f>
        <v>F35</v>
      </c>
      <c r="D5587" s="1" t="str">
        <f>"F35"</f>
        <v>F35</v>
      </c>
      <c r="E5587" s="1" t="s">
        <v>4566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</row>
    <row r="5588" spans="1:11" x14ac:dyDescent="0.2">
      <c r="A5588" s="1" t="s">
        <v>574</v>
      </c>
      <c r="B5588" s="1" t="s">
        <v>582</v>
      </c>
      <c r="C5588" s="1" t="str">
        <f>"66298803186450"</f>
        <v>66298803186450</v>
      </c>
      <c r="D5588" s="1" t="str">
        <f>"M067"</f>
        <v>M067</v>
      </c>
      <c r="E5588" s="1" t="s">
        <v>4566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</row>
    <row r="5589" spans="1:11" x14ac:dyDescent="0.2">
      <c r="A5589" s="1" t="s">
        <v>574</v>
      </c>
      <c r="B5589" s="1" t="s">
        <v>583</v>
      </c>
      <c r="C5589" s="1" t="str">
        <f>"66298803108320"</f>
        <v>66298803108320</v>
      </c>
      <c r="D5589" s="1" t="str">
        <f>"80782"</f>
        <v>80782</v>
      </c>
      <c r="E5589" s="1" t="s">
        <v>4566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</row>
    <row r="5590" spans="1:11" x14ac:dyDescent="0.2">
      <c r="A5590" s="1" t="s">
        <v>574</v>
      </c>
      <c r="B5590" s="1" t="s">
        <v>583</v>
      </c>
      <c r="C5590" s="1" t="str">
        <f>"66298803113014"</f>
        <v>66298803113014</v>
      </c>
      <c r="D5590" s="1" t="str">
        <f>"DM-C-00039"</f>
        <v>DM-C-00039</v>
      </c>
      <c r="E5590" s="1" t="s">
        <v>4566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</row>
    <row r="5591" spans="1:11" x14ac:dyDescent="0.2">
      <c r="A5591" s="1" t="s">
        <v>574</v>
      </c>
      <c r="B5591" s="1" t="s">
        <v>583</v>
      </c>
      <c r="C5591" s="1" t="str">
        <f>"66298803118491"</f>
        <v>66298803118491</v>
      </c>
      <c r="D5591" s="1" t="str">
        <f>"VA013"</f>
        <v>VA013</v>
      </c>
      <c r="E5591" s="1" t="s">
        <v>4566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</row>
    <row r="5592" spans="1:11" x14ac:dyDescent="0.2">
      <c r="A5592" s="1" t="s">
        <v>574</v>
      </c>
      <c r="B5592" s="1" t="s">
        <v>584</v>
      </c>
      <c r="C5592" s="1" t="str">
        <f>"81092"</f>
        <v>81092</v>
      </c>
      <c r="D5592" s="1" t="str">
        <f>"81092"</f>
        <v>81092</v>
      </c>
      <c r="E5592" s="1" t="s">
        <v>4566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</row>
    <row r="5593" spans="1:11" x14ac:dyDescent="0.2">
      <c r="A5593" s="1" t="s">
        <v>574</v>
      </c>
      <c r="B5593" s="1" t="s">
        <v>585</v>
      </c>
      <c r="C5593" s="1" t="str">
        <f>"66298803264171"</f>
        <v>66298803264171</v>
      </c>
      <c r="D5593" s="1" t="str">
        <f>"401054"</f>
        <v>401054</v>
      </c>
      <c r="E5593" s="1" t="s">
        <v>4566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</row>
    <row r="5594" spans="1:11" x14ac:dyDescent="0.2">
      <c r="A5594" s="1" t="s">
        <v>574</v>
      </c>
      <c r="B5594" s="1" t="s">
        <v>586</v>
      </c>
      <c r="C5594" s="1" t="str">
        <f>"66298803303011"</f>
        <v>66298803303011</v>
      </c>
      <c r="D5594" s="1" t="str">
        <f>"80781"</f>
        <v>80781</v>
      </c>
      <c r="E5594" s="1" t="s">
        <v>4566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</row>
    <row r="5595" spans="1:11" x14ac:dyDescent="0.2">
      <c r="A5595" s="1" t="s">
        <v>574</v>
      </c>
      <c r="B5595" s="1" t="s">
        <v>587</v>
      </c>
      <c r="C5595" s="1" t="str">
        <f>"VA002"</f>
        <v>VA002</v>
      </c>
      <c r="D5595" s="1" t="str">
        <f>"VA002"</f>
        <v>VA002</v>
      </c>
      <c r="E5595" s="1" t="s">
        <v>4566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</row>
    <row r="5596" spans="1:11" x14ac:dyDescent="0.2">
      <c r="A5596" s="1" t="s">
        <v>574</v>
      </c>
      <c r="B5596" s="1" t="s">
        <v>588</v>
      </c>
      <c r="C5596" s="1" t="str">
        <f>"66298803344101"</f>
        <v>66298803344101</v>
      </c>
      <c r="D5596" s="1" t="str">
        <f>"VA018"</f>
        <v>VA018</v>
      </c>
      <c r="E5596" s="1" t="s">
        <v>4566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</row>
    <row r="5597" spans="1:11" x14ac:dyDescent="0.2">
      <c r="A5597" s="1" t="s">
        <v>574</v>
      </c>
      <c r="B5597" s="1" t="s">
        <v>589</v>
      </c>
      <c r="C5597" s="1" t="str">
        <f>"66298803394235"</f>
        <v>66298803394235</v>
      </c>
      <c r="D5597" s="1" t="str">
        <f>"21C-H5540-00HB"</f>
        <v>21C-H5540-00HB</v>
      </c>
      <c r="E5597" s="1" t="s">
        <v>4566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</row>
    <row r="5598" spans="1:11" x14ac:dyDescent="0.2">
      <c r="A5598" s="1" t="s">
        <v>574</v>
      </c>
      <c r="B5598" s="1" t="s">
        <v>589</v>
      </c>
      <c r="C5598" s="1" t="str">
        <f>"VA014"</f>
        <v>VA014</v>
      </c>
      <c r="D5598" s="1" t="str">
        <f>"VA014"</f>
        <v>VA014</v>
      </c>
      <c r="E5598" s="1" t="s">
        <v>4566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</row>
    <row r="5599" spans="1:11" x14ac:dyDescent="0.2">
      <c r="A5599" s="1" t="s">
        <v>574</v>
      </c>
      <c r="B5599" s="1" t="s">
        <v>589</v>
      </c>
      <c r="C5599" s="1" t="str">
        <f>"CDI-FZ16"</f>
        <v>CDI-FZ16</v>
      </c>
      <c r="D5599" s="1" t="str">
        <f>"CDI-FZ16"</f>
        <v>CDI-FZ16</v>
      </c>
      <c r="E5599" s="1" t="s">
        <v>4566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</row>
    <row r="5600" spans="1:11" x14ac:dyDescent="0.2">
      <c r="A5600" s="1" t="s">
        <v>574</v>
      </c>
      <c r="B5600" s="1" t="s">
        <v>590</v>
      </c>
      <c r="C5600" s="1" t="str">
        <f>"66298803437005"</f>
        <v>66298803437005</v>
      </c>
      <c r="D5600" s="1" t="str">
        <f>"B77-H591A-00"</f>
        <v>B77-H591A-00</v>
      </c>
      <c r="E5600" s="1" t="s">
        <v>4566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</row>
    <row r="5601" spans="1:11" x14ac:dyDescent="0.2">
      <c r="A5601" s="1" t="s">
        <v>574</v>
      </c>
      <c r="B5601" s="1" t="s">
        <v>591</v>
      </c>
      <c r="C5601" s="1" t="str">
        <f>"66298803478068"</f>
        <v>66298803478068</v>
      </c>
      <c r="D5601" s="1" t="str">
        <f>"VA017"</f>
        <v>VA017</v>
      </c>
      <c r="E5601" s="1" t="s">
        <v>4566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</row>
    <row r="5602" spans="1:11" x14ac:dyDescent="0.2">
      <c r="A5602" s="1" t="s">
        <v>574</v>
      </c>
      <c r="B5602" s="1" t="s">
        <v>592</v>
      </c>
      <c r="C5602" s="1" t="str">
        <f>"66298803518064"</f>
        <v>66298803518064</v>
      </c>
      <c r="D5602" s="1" t="str">
        <f>"VA023"</f>
        <v>VA023</v>
      </c>
      <c r="E5602" s="1" t="s">
        <v>4566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</row>
    <row r="5603" spans="1:11" x14ac:dyDescent="0.2">
      <c r="A5603" s="1" t="s">
        <v>574</v>
      </c>
      <c r="B5603" s="1" t="s">
        <v>593</v>
      </c>
      <c r="C5603" s="1" t="str">
        <f>"66298803559321"</f>
        <v>66298803559321</v>
      </c>
      <c r="D5603" s="1" t="str">
        <f>"VA020"</f>
        <v>VA020</v>
      </c>
      <c r="E5603" s="1" t="s">
        <v>4566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</row>
    <row r="5604" spans="1:11" x14ac:dyDescent="0.2">
      <c r="A5604" s="1" t="s">
        <v>574</v>
      </c>
      <c r="B5604" s="1" t="s">
        <v>594</v>
      </c>
      <c r="C5604" s="1" t="str">
        <f>"66298803599467"</f>
        <v>66298803599467</v>
      </c>
      <c r="D5604" s="1" t="str">
        <f>"32900H2C000H000"</f>
        <v>32900H2C000H000</v>
      </c>
      <c r="E5604" s="1" t="s">
        <v>4566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</row>
    <row r="5605" spans="1:11" x14ac:dyDescent="0.2">
      <c r="A5605" s="1" t="s">
        <v>574</v>
      </c>
      <c r="B5605" s="1" t="s">
        <v>595</v>
      </c>
      <c r="C5605" s="1" t="str">
        <f>"66298803640520"</f>
        <v>66298803640520</v>
      </c>
      <c r="D5605" s="1" t="str">
        <f>"32900H40000H000"</f>
        <v>32900H40000H000</v>
      </c>
      <c r="E5605" s="1" t="s">
        <v>4566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</row>
    <row r="5606" spans="1:11" x14ac:dyDescent="0.2">
      <c r="A5606" s="1" t="s">
        <v>574</v>
      </c>
      <c r="B5606" s="1" t="s">
        <v>596</v>
      </c>
      <c r="C5606" s="1" t="str">
        <f>"66298803683575"</f>
        <v>66298803683575</v>
      </c>
      <c r="D5606" s="1" t="str">
        <f>"83179"</f>
        <v>83179</v>
      </c>
      <c r="E5606" s="1" t="s">
        <v>4566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</row>
    <row r="5607" spans="1:11" x14ac:dyDescent="0.2">
      <c r="A5607" s="1" t="s">
        <v>574</v>
      </c>
      <c r="B5607" s="1" t="s">
        <v>596</v>
      </c>
      <c r="C5607" s="1" t="str">
        <f>"66298803691138"</f>
        <v>66298803691138</v>
      </c>
      <c r="D5607" s="1" t="str">
        <f>"JL-3512-00HB"</f>
        <v>JL-3512-00HB</v>
      </c>
      <c r="E5607" s="1" t="s">
        <v>4566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</row>
    <row r="5608" spans="1:11" x14ac:dyDescent="0.2">
      <c r="A5608" s="1" t="s">
        <v>574</v>
      </c>
      <c r="B5608" s="1" t="s">
        <v>597</v>
      </c>
      <c r="C5608" s="1" t="str">
        <f>"66298803748282"</f>
        <v>66298803748282</v>
      </c>
      <c r="D5608" s="1" t="str">
        <f>"401053"</f>
        <v>401053</v>
      </c>
      <c r="E5608" s="1" t="s">
        <v>4566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</row>
    <row r="5609" spans="1:11" x14ac:dyDescent="0.2">
      <c r="A5609" s="1" t="s">
        <v>574</v>
      </c>
      <c r="B5609" s="1" t="s">
        <v>598</v>
      </c>
      <c r="C5609" s="1" t="str">
        <f>"66298803787525"</f>
        <v>66298803787525</v>
      </c>
      <c r="D5609" s="1" t="str">
        <f>"82795"</f>
        <v>82795</v>
      </c>
      <c r="E5609" s="1" t="s">
        <v>4566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</row>
    <row r="5610" spans="1:11" x14ac:dyDescent="0.2">
      <c r="A5610" s="1" t="s">
        <v>574</v>
      </c>
      <c r="B5610" s="1" t="s">
        <v>599</v>
      </c>
      <c r="C5610" s="1" t="str">
        <f>"66298803834424"</f>
        <v>66298803834424</v>
      </c>
      <c r="D5610" s="1" t="str">
        <f>"VA021"</f>
        <v>VA021</v>
      </c>
      <c r="E5610" s="1" t="s">
        <v>4566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</row>
    <row r="5611" spans="1:11" x14ac:dyDescent="0.2">
      <c r="A5611" s="1" t="s">
        <v>574</v>
      </c>
      <c r="B5611" s="1" t="s">
        <v>600</v>
      </c>
      <c r="C5611" s="1" t="str">
        <f>"CK110S7-F2-28"</f>
        <v>CK110S7-F2-28</v>
      </c>
      <c r="D5611" s="1" t="str">
        <f>"CK110S7-F2-28"</f>
        <v>CK110S7-F2-28</v>
      </c>
      <c r="E5611" s="1" t="s">
        <v>4566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</row>
    <row r="5612" spans="1:11" x14ac:dyDescent="0.2">
      <c r="A5612" s="1" t="s">
        <v>574</v>
      </c>
      <c r="B5612" s="1" t="s">
        <v>601</v>
      </c>
      <c r="C5612" s="1" t="str">
        <f>"LXGS2-F10-3"</f>
        <v>LXGS2-F10-3</v>
      </c>
      <c r="D5612" s="1" t="str">
        <f>"LXGS2-F10-3"</f>
        <v>LXGS2-F10-3</v>
      </c>
      <c r="E5612" s="1" t="s">
        <v>4566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</row>
    <row r="5613" spans="1:11" x14ac:dyDescent="0.2">
      <c r="A5613" s="1" t="s">
        <v>574</v>
      </c>
      <c r="B5613" s="1" t="s">
        <v>602</v>
      </c>
      <c r="C5613" s="1" t="str">
        <f>"66298803876078"</f>
        <v>66298803876078</v>
      </c>
      <c r="D5613" s="1" t="str">
        <f>"82421"</f>
        <v>82421</v>
      </c>
      <c r="E5613" s="1" t="s">
        <v>4566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</row>
    <row r="5614" spans="1:11" x14ac:dyDescent="0.2">
      <c r="A5614" s="1" t="s">
        <v>574</v>
      </c>
      <c r="B5614" s="1" t="s">
        <v>603</v>
      </c>
      <c r="C5614" s="1" t="str">
        <f>"139"</f>
        <v>139</v>
      </c>
      <c r="D5614" s="1" t="str">
        <f>"139"</f>
        <v>139</v>
      </c>
      <c r="E5614" s="1" t="s">
        <v>4566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</row>
    <row r="5615" spans="1:11" x14ac:dyDescent="0.2">
      <c r="A5615" s="1" t="s">
        <v>574</v>
      </c>
      <c r="B5615" s="1" t="s">
        <v>604</v>
      </c>
      <c r="C5615" s="1" t="str">
        <f>"66298803918266"</f>
        <v>66298803918266</v>
      </c>
      <c r="D5615" s="1" t="str">
        <f>"VA015"</f>
        <v>VA015</v>
      </c>
      <c r="E5615" s="1" t="s">
        <v>4566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</row>
    <row r="5616" spans="1:11" ht="30" x14ac:dyDescent="0.2">
      <c r="A5616" s="1" t="s">
        <v>574</v>
      </c>
      <c r="B5616" s="1" t="s">
        <v>605</v>
      </c>
      <c r="C5616" s="1" t="str">
        <f>"66298803960807"</f>
        <v>66298803960807</v>
      </c>
      <c r="D5616" s="1" t="str">
        <f>"400026"</f>
        <v>400026</v>
      </c>
      <c r="E5616" s="1" t="s">
        <v>4566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</row>
    <row r="5617" spans="1:11" x14ac:dyDescent="0.2">
      <c r="A5617" s="1" t="s">
        <v>574</v>
      </c>
      <c r="B5617" s="1" t="s">
        <v>606</v>
      </c>
      <c r="C5617" s="1" t="str">
        <f>"66298804004536"</f>
        <v>66298804004536</v>
      </c>
      <c r="D5617" s="1" t="str">
        <f>"401052"</f>
        <v>401052</v>
      </c>
      <c r="E5617" s="1" t="s">
        <v>4566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</row>
    <row r="5618" spans="1:11" x14ac:dyDescent="0.2">
      <c r="A5618" s="1" t="s">
        <v>18</v>
      </c>
      <c r="B5618" s="1" t="s">
        <v>607</v>
      </c>
      <c r="C5618" s="1" t="str">
        <f>"66298804043366"</f>
        <v>66298804043366</v>
      </c>
      <c r="D5618" s="1" t="str">
        <f>"H186"</f>
        <v>H186</v>
      </c>
      <c r="E5618" s="1" t="s">
        <v>4566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</row>
    <row r="5619" spans="1:11" x14ac:dyDescent="0.2">
      <c r="A5619" s="1" t="s">
        <v>608</v>
      </c>
      <c r="B5619" s="1" t="s">
        <v>609</v>
      </c>
      <c r="C5619" s="1" t="str">
        <f>"66298804083958"</f>
        <v>66298804083958</v>
      </c>
      <c r="D5619" s="1" t="str">
        <f>"88"</f>
        <v>88</v>
      </c>
      <c r="E5619" s="1" t="s">
        <v>4566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</row>
    <row r="5620" spans="1:11" x14ac:dyDescent="0.2">
      <c r="A5620" s="1" t="s">
        <v>608</v>
      </c>
      <c r="B5620" s="1" t="s">
        <v>609</v>
      </c>
      <c r="C5620" s="1" t="str">
        <f>"ACEL-UNIV"</f>
        <v>ACEL-UNIV</v>
      </c>
      <c r="D5620" s="1" t="str">
        <f>"ACEL-UNIV"</f>
        <v>ACEL-UNIV</v>
      </c>
      <c r="E5620" s="1" t="s">
        <v>4566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</row>
    <row r="5621" spans="1:11" x14ac:dyDescent="0.2">
      <c r="A5621" s="1" t="s">
        <v>608</v>
      </c>
      <c r="B5621" s="1" t="s">
        <v>610</v>
      </c>
      <c r="C5621" s="1" t="str">
        <f>"66298804126657"</f>
        <v>66298804126657</v>
      </c>
      <c r="D5621" s="1" t="str">
        <f>"XN-12901-000JP"</f>
        <v>XN-12901-000JP</v>
      </c>
      <c r="E5621" s="1" t="s">
        <v>4566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</row>
    <row r="5622" spans="1:11" x14ac:dyDescent="0.2">
      <c r="A5622" s="1" t="s">
        <v>608</v>
      </c>
      <c r="B5622" s="1" t="s">
        <v>611</v>
      </c>
      <c r="C5622" s="1" t="str">
        <f>"66298804166211"</f>
        <v>66298804166211</v>
      </c>
      <c r="D5622" s="1" t="str">
        <f>"82066"</f>
        <v>82066</v>
      </c>
      <c r="E5622" s="1" t="s">
        <v>4566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</row>
    <row r="5623" spans="1:11" x14ac:dyDescent="0.2">
      <c r="A5623" s="1" t="s">
        <v>608</v>
      </c>
      <c r="B5623" s="1" t="s">
        <v>611</v>
      </c>
      <c r="C5623" s="1" t="str">
        <f>"66298804209961"</f>
        <v>66298804209961</v>
      </c>
      <c r="D5623" s="1" t="str">
        <f>"BC008"</f>
        <v>BC008</v>
      </c>
      <c r="E5623" s="1" t="s">
        <v>4566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</row>
    <row r="5624" spans="1:11" x14ac:dyDescent="0.2">
      <c r="A5624" s="1" t="s">
        <v>608</v>
      </c>
      <c r="B5624" s="1" t="s">
        <v>612</v>
      </c>
      <c r="C5624" s="1" t="str">
        <f>"66298804254152"</f>
        <v>66298804254152</v>
      </c>
      <c r="D5624" s="1" t="str">
        <f>"400630"</f>
        <v>400630</v>
      </c>
      <c r="E5624" s="1" t="s">
        <v>4566</v>
      </c>
      <c r="F5624" s="1">
        <v>50</v>
      </c>
      <c r="G5624" s="1">
        <v>555</v>
      </c>
      <c r="H5624" s="1">
        <v>27750</v>
      </c>
      <c r="I5624" s="1">
        <v>0</v>
      </c>
      <c r="J5624" s="1">
        <v>50</v>
      </c>
      <c r="K5624" s="1">
        <v>0</v>
      </c>
    </row>
    <row r="5625" spans="1:11" x14ac:dyDescent="0.2">
      <c r="A5625" s="1" t="s">
        <v>608</v>
      </c>
      <c r="B5625" s="1" t="s">
        <v>613</v>
      </c>
      <c r="C5625" s="1" t="str">
        <f>"66298804392057"</f>
        <v>66298804392057</v>
      </c>
      <c r="D5625" s="1" t="str">
        <f>"17910-K70-601GH"</f>
        <v>17910-K70-601GH</v>
      </c>
      <c r="E5625" s="1" t="s">
        <v>4566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</row>
    <row r="5626" spans="1:11" x14ac:dyDescent="0.2">
      <c r="A5626" s="1" t="s">
        <v>608</v>
      </c>
      <c r="B5626" s="1" t="s">
        <v>614</v>
      </c>
      <c r="C5626" s="1" t="str">
        <f>"66298804346374"</f>
        <v>66298804346374</v>
      </c>
      <c r="D5626" s="1" t="str">
        <f>"17910-K70-601HB"</f>
        <v>17910-K70-601HB</v>
      </c>
      <c r="E5626" s="1" t="s">
        <v>4566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</row>
    <row r="5627" spans="1:11" x14ac:dyDescent="0.2">
      <c r="A5627" s="1" t="s">
        <v>608</v>
      </c>
      <c r="B5627" s="1" t="s">
        <v>615</v>
      </c>
      <c r="C5627" s="1" t="str">
        <f>"66298804431042"</f>
        <v>66298804431042</v>
      </c>
      <c r="D5627" s="1" t="str">
        <f>"400645"</f>
        <v>400645</v>
      </c>
      <c r="E5627" s="1" t="s">
        <v>4566</v>
      </c>
      <c r="F5627" s="1">
        <v>420</v>
      </c>
      <c r="G5627" s="1">
        <v>480</v>
      </c>
      <c r="H5627" s="1">
        <v>201600</v>
      </c>
      <c r="I5627" s="1">
        <v>0</v>
      </c>
      <c r="J5627" s="1">
        <v>420</v>
      </c>
      <c r="K5627" s="1">
        <v>0</v>
      </c>
    </row>
    <row r="5628" spans="1:11" x14ac:dyDescent="0.2">
      <c r="A5628" s="1" t="s">
        <v>608</v>
      </c>
      <c r="B5628" s="1" t="s">
        <v>616</v>
      </c>
      <c r="C5628" s="1" t="str">
        <f>"66298804472212"</f>
        <v>66298804472212</v>
      </c>
      <c r="D5628" s="1" t="str">
        <f>"400646"</f>
        <v>400646</v>
      </c>
      <c r="E5628" s="1" t="s">
        <v>4566</v>
      </c>
      <c r="F5628" s="1">
        <v>400</v>
      </c>
      <c r="G5628" s="1">
        <v>583</v>
      </c>
      <c r="H5628" s="1">
        <v>233200</v>
      </c>
      <c r="I5628" s="1">
        <v>0</v>
      </c>
      <c r="J5628" s="1">
        <v>400</v>
      </c>
      <c r="K5628" s="1">
        <v>0</v>
      </c>
    </row>
    <row r="5629" spans="1:11" x14ac:dyDescent="0.2">
      <c r="A5629" s="1" t="s">
        <v>608</v>
      </c>
      <c r="B5629" s="1" t="s">
        <v>617</v>
      </c>
      <c r="C5629" s="1" t="str">
        <f>"BC021"</f>
        <v>BC021</v>
      </c>
      <c r="D5629" s="1" t="str">
        <f>"BC021"</f>
        <v>BC021</v>
      </c>
      <c r="E5629" s="1" t="s">
        <v>4566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</row>
    <row r="5630" spans="1:11" x14ac:dyDescent="0.2">
      <c r="A5630" s="1" t="s">
        <v>608</v>
      </c>
      <c r="B5630" s="1" t="s">
        <v>618</v>
      </c>
      <c r="C5630" s="1" t="str">
        <f>"BC015"</f>
        <v>BC015</v>
      </c>
      <c r="D5630" s="1" t="str">
        <f>"BC015"</f>
        <v>BC015</v>
      </c>
      <c r="E5630" s="1" t="s">
        <v>4566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</row>
    <row r="5631" spans="1:11" x14ac:dyDescent="0.2">
      <c r="A5631" s="1" t="s">
        <v>608</v>
      </c>
      <c r="B5631" s="1" t="s">
        <v>619</v>
      </c>
      <c r="C5631" s="1" t="str">
        <f>"66298804512010"</f>
        <v>66298804512010</v>
      </c>
      <c r="D5631" s="1" t="str">
        <f>"400631"</f>
        <v>400631</v>
      </c>
      <c r="E5631" s="1" t="s">
        <v>4566</v>
      </c>
      <c r="F5631" s="1">
        <v>412</v>
      </c>
      <c r="G5631" s="1">
        <v>515</v>
      </c>
      <c r="H5631" s="1">
        <v>212180</v>
      </c>
      <c r="I5631" s="1">
        <v>0</v>
      </c>
      <c r="J5631" s="1">
        <v>412</v>
      </c>
      <c r="K5631" s="1">
        <v>0</v>
      </c>
    </row>
    <row r="5632" spans="1:11" x14ac:dyDescent="0.2">
      <c r="A5632" s="1" t="s">
        <v>608</v>
      </c>
      <c r="B5632" s="1" t="s">
        <v>620</v>
      </c>
      <c r="C5632" s="1" t="str">
        <f>"66298804551896"</f>
        <v>66298804551896</v>
      </c>
      <c r="D5632" s="1" t="str">
        <f>"17910-KSP-900HB"</f>
        <v>17910-KSP-900HB</v>
      </c>
      <c r="E5632" s="1" t="s">
        <v>4566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</row>
    <row r="5633" spans="1:11" x14ac:dyDescent="0.2">
      <c r="A5633" s="1" t="s">
        <v>608</v>
      </c>
      <c r="B5633" s="1" t="s">
        <v>621</v>
      </c>
      <c r="C5633" s="1" t="str">
        <f>"66298804592175"</f>
        <v>66298804592175</v>
      </c>
      <c r="D5633" s="1" t="str">
        <f>"80338"</f>
        <v>80338</v>
      </c>
      <c r="E5633" s="1" t="s">
        <v>4566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</row>
    <row r="5634" spans="1:11" x14ac:dyDescent="0.2">
      <c r="A5634" s="1" t="s">
        <v>608</v>
      </c>
      <c r="B5634" s="1" t="s">
        <v>622</v>
      </c>
      <c r="C5634" s="1" t="str">
        <f>"66298804639819"</f>
        <v>66298804639819</v>
      </c>
      <c r="D5634" s="1" t="str">
        <f>"171210510-0001JP"</f>
        <v>171210510-0001JP</v>
      </c>
      <c r="E5634" s="1" t="s">
        <v>4566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</row>
    <row r="5635" spans="1:11" x14ac:dyDescent="0.2">
      <c r="A5635" s="1" t="s">
        <v>608</v>
      </c>
      <c r="B5635" s="1" t="s">
        <v>622</v>
      </c>
      <c r="C5635" s="1" t="str">
        <f>"66298804648191"</f>
        <v>66298804648191</v>
      </c>
      <c r="D5635" s="1" t="str">
        <f>"7701023704380"</f>
        <v>7701023704380</v>
      </c>
      <c r="E5635" s="1" t="s">
        <v>4566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</row>
    <row r="5636" spans="1:11" x14ac:dyDescent="0.2">
      <c r="A5636" s="1" t="s">
        <v>608</v>
      </c>
      <c r="B5636" s="1" t="s">
        <v>622</v>
      </c>
      <c r="C5636" s="1" t="str">
        <f>"66298804654264"</f>
        <v>66298804654264</v>
      </c>
      <c r="D5636" s="1" t="str">
        <f>"BC001"</f>
        <v>BC001</v>
      </c>
      <c r="E5636" s="1" t="s">
        <v>4566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</row>
    <row r="5637" spans="1:11" x14ac:dyDescent="0.2">
      <c r="A5637" s="1" t="s">
        <v>608</v>
      </c>
      <c r="B5637" s="1" t="s">
        <v>623</v>
      </c>
      <c r="C5637" s="1" t="str">
        <f>"66298804725437"</f>
        <v>66298804725437</v>
      </c>
      <c r="D5637" s="1" t="str">
        <f>"80341"</f>
        <v>80341</v>
      </c>
      <c r="E5637" s="1" t="s">
        <v>4566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</row>
    <row r="5638" spans="1:11" x14ac:dyDescent="0.2">
      <c r="A5638" s="1" t="s">
        <v>608</v>
      </c>
      <c r="B5638" s="1" t="s">
        <v>624</v>
      </c>
      <c r="C5638" s="1" t="str">
        <f>"66298804774501"</f>
        <v>66298804774501</v>
      </c>
      <c r="D5638" s="1" t="str">
        <f>"17910-KRF-B41HB"</f>
        <v>17910-KRF-B41HB</v>
      </c>
      <c r="E5638" s="1" t="s">
        <v>4566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</row>
    <row r="5639" spans="1:11" x14ac:dyDescent="0.2">
      <c r="A5639" s="1" t="s">
        <v>608</v>
      </c>
      <c r="B5639" s="1" t="s">
        <v>624</v>
      </c>
      <c r="C5639" s="1" t="str">
        <f>"66298804781728"</f>
        <v>66298804781728</v>
      </c>
      <c r="D5639" s="1" t="str">
        <f>"82064"</f>
        <v>82064</v>
      </c>
      <c r="E5639" s="1" t="s">
        <v>4566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</row>
    <row r="5640" spans="1:11" x14ac:dyDescent="0.2">
      <c r="A5640" s="1" t="s">
        <v>608</v>
      </c>
      <c r="B5640" s="1" t="s">
        <v>625</v>
      </c>
      <c r="C5640" s="1" t="str">
        <f>"66298804837282"</f>
        <v>66298804837282</v>
      </c>
      <c r="D5640" s="1" t="str">
        <f>"400246"</f>
        <v>400246</v>
      </c>
      <c r="E5640" s="1" t="s">
        <v>4566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</row>
    <row r="5641" spans="1:11" x14ac:dyDescent="0.2">
      <c r="A5641" s="1" t="s">
        <v>608</v>
      </c>
      <c r="B5641" s="1" t="s">
        <v>626</v>
      </c>
      <c r="C5641" s="1" t="str">
        <f>"66298804874553"</f>
        <v>66298804874553</v>
      </c>
      <c r="D5641" s="1" t="str">
        <f>"58300-44AA0"</f>
        <v>58300-44AA0</v>
      </c>
      <c r="E5641" s="1" t="s">
        <v>4566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</row>
    <row r="5642" spans="1:11" x14ac:dyDescent="0.2">
      <c r="A5642" s="1" t="s">
        <v>608</v>
      </c>
      <c r="B5642" s="1" t="s">
        <v>627</v>
      </c>
      <c r="C5642" s="1" t="str">
        <f>"66298804915148"</f>
        <v>66298804915148</v>
      </c>
      <c r="D5642" s="1" t="str">
        <f>"BC016"</f>
        <v>BC016</v>
      </c>
      <c r="E5642" s="1" t="s">
        <v>4566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</row>
    <row r="5643" spans="1:11" x14ac:dyDescent="0.2">
      <c r="A5643" s="1" t="s">
        <v>608</v>
      </c>
      <c r="B5643" s="1" t="s">
        <v>628</v>
      </c>
      <c r="C5643" s="1" t="str">
        <f>"66298805200494"</f>
        <v>66298805200494</v>
      </c>
      <c r="D5643" s="1" t="str">
        <f>"3JO-23260-00HB"</f>
        <v>3JO-23260-00HB</v>
      </c>
      <c r="E5643" s="1" t="s">
        <v>4566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</row>
    <row r="5644" spans="1:11" x14ac:dyDescent="0.2">
      <c r="A5644" s="1" t="s">
        <v>608</v>
      </c>
      <c r="B5644" s="1" t="s">
        <v>629</v>
      </c>
      <c r="C5644" s="1" t="str">
        <f>"66298805240704"</f>
        <v>66298805240704</v>
      </c>
      <c r="D5644" s="1" t="str">
        <f>"90102091000"</f>
        <v>90102091000</v>
      </c>
      <c r="E5644" s="1" t="s">
        <v>4566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</row>
    <row r="5645" spans="1:11" x14ac:dyDescent="0.2">
      <c r="A5645" s="1" t="s">
        <v>608</v>
      </c>
      <c r="B5645" s="1" t="s">
        <v>630</v>
      </c>
      <c r="C5645" s="1" t="str">
        <f>"66298805279694"</f>
        <v>66298805279694</v>
      </c>
      <c r="D5645" s="1" t="str">
        <f>"82607"</f>
        <v>82607</v>
      </c>
      <c r="E5645" s="1" t="s">
        <v>4566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</row>
    <row r="5646" spans="1:11" x14ac:dyDescent="0.2">
      <c r="A5646" s="1" t="s">
        <v>608</v>
      </c>
      <c r="B5646" s="1" t="s">
        <v>631</v>
      </c>
      <c r="C5646" s="1" t="str">
        <f>"66298805319195"</f>
        <v>66298805319195</v>
      </c>
      <c r="D5646" s="1" t="str">
        <f>"82067"</f>
        <v>82067</v>
      </c>
      <c r="E5646" s="1" t="s">
        <v>4566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</row>
    <row r="5647" spans="1:11" x14ac:dyDescent="0.2">
      <c r="A5647" s="1" t="s">
        <v>608</v>
      </c>
      <c r="B5647" s="1" t="s">
        <v>632</v>
      </c>
      <c r="C5647" s="1" t="str">
        <f>"BC019"</f>
        <v>BC019</v>
      </c>
      <c r="D5647" s="1" t="str">
        <f>"BC019"</f>
        <v>BC019</v>
      </c>
      <c r="E5647" s="1" t="s">
        <v>4566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</row>
    <row r="5648" spans="1:11" x14ac:dyDescent="0.2">
      <c r="A5648" s="1" t="s">
        <v>608</v>
      </c>
      <c r="B5648" s="1" t="s">
        <v>633</v>
      </c>
      <c r="C5648" s="1" t="str">
        <f>"66298805359607"</f>
        <v>66298805359607</v>
      </c>
      <c r="D5648" s="1" t="str">
        <f>"400632"</f>
        <v>400632</v>
      </c>
      <c r="E5648" s="1" t="s">
        <v>4566</v>
      </c>
      <c r="F5648" s="1">
        <v>360</v>
      </c>
      <c r="G5648" s="1">
        <v>587</v>
      </c>
      <c r="H5648" s="1">
        <v>211320</v>
      </c>
      <c r="I5648" s="1">
        <v>0</v>
      </c>
      <c r="J5648" s="1">
        <v>360</v>
      </c>
      <c r="K5648" s="1">
        <v>0</v>
      </c>
    </row>
    <row r="5649" spans="1:11" x14ac:dyDescent="0.2">
      <c r="A5649" s="1" t="s">
        <v>608</v>
      </c>
      <c r="B5649" s="1" t="s">
        <v>634</v>
      </c>
      <c r="C5649" s="1" t="str">
        <f>"66298805400042"</f>
        <v>66298805400042</v>
      </c>
      <c r="D5649" s="1" t="str">
        <f>"400633"</f>
        <v>400633</v>
      </c>
      <c r="E5649" s="1" t="s">
        <v>4566</v>
      </c>
      <c r="F5649" s="1">
        <v>370</v>
      </c>
      <c r="G5649" s="1">
        <v>505</v>
      </c>
      <c r="H5649" s="1">
        <v>186850</v>
      </c>
      <c r="I5649" s="1">
        <v>0</v>
      </c>
      <c r="J5649" s="1">
        <v>370</v>
      </c>
      <c r="K5649" s="1">
        <v>0</v>
      </c>
    </row>
    <row r="5650" spans="1:11" x14ac:dyDescent="0.2">
      <c r="A5650" s="1" t="s">
        <v>608</v>
      </c>
      <c r="B5650" s="1" t="s">
        <v>635</v>
      </c>
      <c r="C5650" s="1" t="str">
        <f>"BC003"</f>
        <v>BC003</v>
      </c>
      <c r="D5650" s="1" t="str">
        <f>"BC003"</f>
        <v>BC003</v>
      </c>
      <c r="E5650" s="1" t="s">
        <v>4566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</row>
    <row r="5651" spans="1:11" x14ac:dyDescent="0.2">
      <c r="A5651" s="1" t="s">
        <v>608</v>
      </c>
      <c r="B5651" s="1" t="s">
        <v>636</v>
      </c>
      <c r="C5651" s="1" t="str">
        <f>"66298805438150"</f>
        <v>66298805438150</v>
      </c>
      <c r="D5651" s="1" t="str">
        <f>"21C-F6311-00HB"</f>
        <v>21C-F6311-00HB</v>
      </c>
      <c r="E5651" s="1" t="s">
        <v>4566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</row>
    <row r="5652" spans="1:11" x14ac:dyDescent="0.2">
      <c r="A5652" s="1" t="s">
        <v>608</v>
      </c>
      <c r="B5652" s="1" t="s">
        <v>636</v>
      </c>
      <c r="C5652" s="1" t="str">
        <f>"66298805477505"</f>
        <v>66298805477505</v>
      </c>
      <c r="D5652" s="1" t="str">
        <f>"21C-F6311-00"</f>
        <v>21C-F6311-00</v>
      </c>
      <c r="E5652" s="1" t="s">
        <v>4566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</row>
    <row r="5653" spans="1:11" x14ac:dyDescent="0.2">
      <c r="A5653" s="1" t="s">
        <v>608</v>
      </c>
      <c r="B5653" s="1" t="s">
        <v>637</v>
      </c>
      <c r="C5653" s="1" t="str">
        <f>"66298805519587"</f>
        <v>66298805519587</v>
      </c>
      <c r="D5653" s="1" t="str">
        <f>"400634"</f>
        <v>400634</v>
      </c>
      <c r="E5653" s="1" t="s">
        <v>4566</v>
      </c>
      <c r="F5653" s="1">
        <v>414</v>
      </c>
      <c r="G5653" s="1">
        <v>680</v>
      </c>
      <c r="H5653" s="1">
        <v>281520</v>
      </c>
      <c r="I5653" s="1">
        <v>0</v>
      </c>
      <c r="J5653" s="1">
        <v>414</v>
      </c>
      <c r="K5653" s="1">
        <v>0</v>
      </c>
    </row>
    <row r="5654" spans="1:11" x14ac:dyDescent="0.2">
      <c r="A5654" s="1" t="s">
        <v>608</v>
      </c>
      <c r="B5654" s="1" t="s">
        <v>638</v>
      </c>
      <c r="C5654" s="1" t="str">
        <f>"BC020"</f>
        <v>BC020</v>
      </c>
      <c r="D5654" s="1" t="str">
        <f>"BC020"</f>
        <v>BC020</v>
      </c>
      <c r="E5654" s="1" t="s">
        <v>4566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</row>
    <row r="5655" spans="1:11" x14ac:dyDescent="0.2">
      <c r="A5655" s="1" t="s">
        <v>608</v>
      </c>
      <c r="B5655" s="1" t="s">
        <v>639</v>
      </c>
      <c r="C5655" s="1" t="str">
        <f>"66298805630405"</f>
        <v>66298805630405</v>
      </c>
      <c r="D5655" s="1" t="str">
        <f>"400636"</f>
        <v>400636</v>
      </c>
      <c r="E5655" s="1" t="s">
        <v>4566</v>
      </c>
      <c r="F5655" s="1">
        <v>400</v>
      </c>
      <c r="G5655" s="1">
        <v>473</v>
      </c>
      <c r="H5655" s="1">
        <v>189200</v>
      </c>
      <c r="I5655" s="1">
        <v>0</v>
      </c>
      <c r="J5655" s="1">
        <v>400</v>
      </c>
      <c r="K5655" s="1">
        <v>0</v>
      </c>
    </row>
    <row r="5656" spans="1:11" x14ac:dyDescent="0.2">
      <c r="A5656" s="1" t="s">
        <v>608</v>
      </c>
      <c r="B5656" s="1" t="s">
        <v>640</v>
      </c>
      <c r="C5656" s="1" t="str">
        <f>"66298805676320"</f>
        <v>66298805676320</v>
      </c>
      <c r="D5656" s="1" t="str">
        <f>"400635"</f>
        <v>400635</v>
      </c>
      <c r="E5656" s="1" t="s">
        <v>4566</v>
      </c>
      <c r="F5656" s="1">
        <v>440</v>
      </c>
      <c r="G5656" s="1">
        <v>464</v>
      </c>
      <c r="H5656" s="1">
        <v>204160</v>
      </c>
      <c r="I5656" s="1">
        <v>0</v>
      </c>
      <c r="J5656" s="1">
        <v>440</v>
      </c>
      <c r="K5656" s="1">
        <v>0</v>
      </c>
    </row>
    <row r="5657" spans="1:11" x14ac:dyDescent="0.2">
      <c r="A5657" s="1" t="s">
        <v>608</v>
      </c>
      <c r="B5657" s="1" t="s">
        <v>641</v>
      </c>
      <c r="C5657" s="1" t="str">
        <f>"66298805571772"</f>
        <v>66298805571772</v>
      </c>
      <c r="D5657" s="1" t="str">
        <f>"58300-053G0HB"</f>
        <v>58300-053G0HB</v>
      </c>
      <c r="E5657" s="1" t="s">
        <v>4566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</row>
    <row r="5658" spans="1:11" x14ac:dyDescent="0.2">
      <c r="A5658" s="1" t="s">
        <v>608</v>
      </c>
      <c r="B5658" s="1" t="s">
        <v>642</v>
      </c>
      <c r="C5658" s="1" t="str">
        <f>"66298805563428"</f>
        <v>66298805563428</v>
      </c>
      <c r="D5658" s="1" t="str">
        <f>"82065"</f>
        <v>82065</v>
      </c>
      <c r="E5658" s="1" t="s">
        <v>4566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</row>
    <row r="5659" spans="1:11" x14ac:dyDescent="0.2">
      <c r="A5659" s="1" t="s">
        <v>608</v>
      </c>
      <c r="B5659" s="1" t="s">
        <v>643</v>
      </c>
      <c r="C5659" s="1" t="str">
        <f>"66298805717325"</f>
        <v>66298805717325</v>
      </c>
      <c r="D5659" s="1" t="str">
        <f>"58300-45F40JP"</f>
        <v>58300-45F40JP</v>
      </c>
      <c r="E5659" s="1" t="s">
        <v>4566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</row>
    <row r="5660" spans="1:11" x14ac:dyDescent="0.2">
      <c r="A5660" s="1" t="s">
        <v>608</v>
      </c>
      <c r="B5660" s="1" t="s">
        <v>644</v>
      </c>
      <c r="C5660" s="1" t="str">
        <f>"66298805723326"</f>
        <v>66298805723326</v>
      </c>
      <c r="D5660" s="1" t="str">
        <f>"BC005-A"</f>
        <v>BC005-A</v>
      </c>
      <c r="E5660" s="1" t="s">
        <v>4566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</row>
    <row r="5661" spans="1:11" x14ac:dyDescent="0.2">
      <c r="A5661" s="1" t="s">
        <v>608</v>
      </c>
      <c r="B5661" s="1" t="s">
        <v>645</v>
      </c>
      <c r="C5661" s="1" t="str">
        <f>"66298805792568"</f>
        <v>66298805792568</v>
      </c>
      <c r="D5661" s="1" t="str">
        <f>"58300-30H00JP"</f>
        <v>58300-30H00JP</v>
      </c>
      <c r="E5661" s="1" t="s">
        <v>4566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</row>
    <row r="5662" spans="1:11" x14ac:dyDescent="0.2">
      <c r="A5662" s="1" t="s">
        <v>608</v>
      </c>
      <c r="B5662" s="1" t="s">
        <v>646</v>
      </c>
      <c r="C5662" s="1" t="str">
        <f>"66298805784225"</f>
        <v>66298805784225</v>
      </c>
      <c r="D5662" s="1" t="str">
        <f>"58300-30H10JP"</f>
        <v>58300-30H10JP</v>
      </c>
      <c r="E5662" s="1" t="s">
        <v>4566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</row>
    <row r="5663" spans="1:11" x14ac:dyDescent="0.2">
      <c r="A5663" s="1" t="s">
        <v>608</v>
      </c>
      <c r="B5663" s="1" t="s">
        <v>647</v>
      </c>
      <c r="C5663" s="1" t="str">
        <f>"66298805846115"</f>
        <v>66298805846115</v>
      </c>
      <c r="D5663" s="1" t="str">
        <f>"1852"</f>
        <v>1852</v>
      </c>
      <c r="E5663" s="1" t="s">
        <v>4566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</row>
    <row r="5664" spans="1:11" x14ac:dyDescent="0.2">
      <c r="A5664" s="1" t="s">
        <v>608</v>
      </c>
      <c r="B5664" s="1" t="s">
        <v>648</v>
      </c>
      <c r="C5664" s="1" t="str">
        <f>"BC004"</f>
        <v>BC004</v>
      </c>
      <c r="D5664" s="1" t="str">
        <f>"BC004"</f>
        <v>BC004</v>
      </c>
      <c r="E5664" s="1" t="s">
        <v>4566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</row>
    <row r="5665" spans="1:11" x14ac:dyDescent="0.2">
      <c r="A5665" s="1" t="s">
        <v>608</v>
      </c>
      <c r="B5665" s="1" t="s">
        <v>649</v>
      </c>
      <c r="C5665" s="1" t="str">
        <f>"66298805885591"</f>
        <v>66298805885591</v>
      </c>
      <c r="D5665" s="1" t="str">
        <f>"BC011"</f>
        <v>BC011</v>
      </c>
      <c r="E5665" s="1" t="s">
        <v>4566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</row>
    <row r="5666" spans="1:11" x14ac:dyDescent="0.2">
      <c r="A5666" s="1" t="s">
        <v>608</v>
      </c>
      <c r="B5666" s="1" t="s">
        <v>650</v>
      </c>
      <c r="C5666" s="1" t="str">
        <f>"66298805925196"</f>
        <v>66298805925196</v>
      </c>
      <c r="D5666" s="1" t="str">
        <f>"58300-25H11-000H"</f>
        <v>58300-25H11-000H</v>
      </c>
      <c r="E5666" s="1" t="s">
        <v>4566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</row>
    <row r="5667" spans="1:11" x14ac:dyDescent="0.2">
      <c r="A5667" s="1" t="s">
        <v>608</v>
      </c>
      <c r="B5667" s="1" t="s">
        <v>651</v>
      </c>
      <c r="C5667" s="1" t="str">
        <f>"66298805969539"</f>
        <v>66298805969539</v>
      </c>
      <c r="D5667" s="1" t="str">
        <f>"58300-25H21-000H"</f>
        <v>58300-25H21-000H</v>
      </c>
      <c r="E5667" s="1" t="s">
        <v>4566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</row>
    <row r="5668" spans="1:11" x14ac:dyDescent="0.2">
      <c r="A5668" s="1" t="s">
        <v>608</v>
      </c>
      <c r="B5668" s="1" t="s">
        <v>652</v>
      </c>
      <c r="C5668" s="1" t="str">
        <f>"58300H2C000H000"</f>
        <v>58300H2C000H000</v>
      </c>
      <c r="D5668" s="1" t="str">
        <f>"58300H2C000H000"</f>
        <v>58300H2C000H000</v>
      </c>
      <c r="E5668" s="1" t="s">
        <v>4566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</row>
    <row r="5669" spans="1:11" x14ac:dyDescent="0.2">
      <c r="A5669" s="1" t="s">
        <v>608</v>
      </c>
      <c r="B5669" s="1" t="s">
        <v>653</v>
      </c>
      <c r="C5669" s="1" t="str">
        <f>"66298806014110"</f>
        <v>66298806014110</v>
      </c>
      <c r="D5669" s="1" t="str">
        <f>"54012-0266HB"</f>
        <v>54012-0266HB</v>
      </c>
      <c r="E5669" s="1" t="s">
        <v>4566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</row>
    <row r="5670" spans="1:11" x14ac:dyDescent="0.2">
      <c r="A5670" s="1" t="s">
        <v>608</v>
      </c>
      <c r="B5670" s="1" t="s">
        <v>654</v>
      </c>
      <c r="C5670" s="1" t="str">
        <f>"66298806051589"</f>
        <v>66298806051589</v>
      </c>
      <c r="D5670" s="1" t="str">
        <f>"400247"</f>
        <v>400247</v>
      </c>
      <c r="E5670" s="1" t="s">
        <v>4566</v>
      </c>
      <c r="F5670" s="1">
        <v>82</v>
      </c>
      <c r="G5670" s="1">
        <v>568</v>
      </c>
      <c r="H5670" s="1">
        <v>46576</v>
      </c>
      <c r="I5670" s="1">
        <v>0</v>
      </c>
      <c r="J5670" s="1">
        <v>82</v>
      </c>
      <c r="K5670" s="1">
        <v>0</v>
      </c>
    </row>
    <row r="5671" spans="1:11" x14ac:dyDescent="0.2">
      <c r="A5671" s="1" t="s">
        <v>608</v>
      </c>
      <c r="B5671" s="1" t="s">
        <v>655</v>
      </c>
      <c r="C5671" s="1" t="str">
        <f>"66298806093927"</f>
        <v>66298806093927</v>
      </c>
      <c r="D5671" s="1" t="str">
        <f>"B04-F6301-00HB"</f>
        <v>B04-F6301-00HB</v>
      </c>
      <c r="E5671" s="1" t="s">
        <v>4566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</row>
    <row r="5672" spans="1:11" x14ac:dyDescent="0.2">
      <c r="A5672" s="1" t="s">
        <v>608</v>
      </c>
      <c r="B5672" s="1" t="s">
        <v>656</v>
      </c>
      <c r="C5672" s="1" t="str">
        <f>"66298806132676"</f>
        <v>66298806132676</v>
      </c>
      <c r="D5672" s="1" t="str">
        <f>"54012-0577HB"</f>
        <v>54012-0577HB</v>
      </c>
      <c r="E5672" s="1" t="s">
        <v>4566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</row>
    <row r="5673" spans="1:11" x14ac:dyDescent="0.2">
      <c r="A5673" s="1" t="s">
        <v>608</v>
      </c>
      <c r="B5673" s="1" t="s">
        <v>657</v>
      </c>
      <c r="C5673" s="1" t="str">
        <f>"66298806169986"</f>
        <v>66298806169986</v>
      </c>
      <c r="D5673" s="1" t="str">
        <f>"17920-MCG-000BR"</f>
        <v>17920-MCG-000BR</v>
      </c>
      <c r="E5673" s="1" t="s">
        <v>4566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</row>
    <row r="5674" spans="1:11" x14ac:dyDescent="0.2">
      <c r="A5674" s="1" t="s">
        <v>608</v>
      </c>
      <c r="B5674" s="1" t="s">
        <v>658</v>
      </c>
      <c r="C5674" s="1" t="str">
        <f>"66298806212650"</f>
        <v>66298806212650</v>
      </c>
      <c r="D5674" s="1" t="str">
        <f>"17910-KSM-900HB"</f>
        <v>17910-KSM-900HB</v>
      </c>
      <c r="E5674" s="1" t="s">
        <v>4566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</row>
    <row r="5675" spans="1:11" x14ac:dyDescent="0.2">
      <c r="A5675" s="1" t="s">
        <v>608</v>
      </c>
      <c r="B5675" s="1" t="s">
        <v>659</v>
      </c>
      <c r="C5675" s="1" t="str">
        <f>"BC012"</f>
        <v>BC012</v>
      </c>
      <c r="D5675" s="1" t="str">
        <f>"BC012"</f>
        <v>BC012</v>
      </c>
      <c r="E5675" s="1" t="s">
        <v>4566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</row>
    <row r="5676" spans="1:11" x14ac:dyDescent="0.2">
      <c r="A5676" s="1" t="s">
        <v>608</v>
      </c>
      <c r="B5676" s="1" t="s">
        <v>660</v>
      </c>
      <c r="C5676" s="1" t="str">
        <f>"BC022"</f>
        <v>BC022</v>
      </c>
      <c r="D5676" s="1" t="str">
        <f>"BC022"</f>
        <v>BC022</v>
      </c>
      <c r="E5676" s="1" t="s">
        <v>4566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</row>
    <row r="5677" spans="1:11" x14ac:dyDescent="0.2">
      <c r="A5677" s="1" t="s">
        <v>608</v>
      </c>
      <c r="B5677" s="1" t="s">
        <v>661</v>
      </c>
      <c r="C5677" s="1" t="str">
        <f>"66298806258314"</f>
        <v>66298806258314</v>
      </c>
      <c r="D5677" s="1" t="str">
        <f>"JD-1612-00HB"</f>
        <v>JD-1612-00HB</v>
      </c>
      <c r="E5677" s="1" t="s">
        <v>4566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</row>
    <row r="5678" spans="1:11" x14ac:dyDescent="0.2">
      <c r="A5678" s="1" t="s">
        <v>608</v>
      </c>
      <c r="B5678" s="1" t="s">
        <v>662</v>
      </c>
      <c r="C5678" s="1" t="str">
        <f>"BC023"</f>
        <v>BC023</v>
      </c>
      <c r="D5678" s="1" t="str">
        <f>"BC023"</f>
        <v>BC023</v>
      </c>
      <c r="E5678" s="1" t="s">
        <v>4566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</row>
    <row r="5679" spans="1:11" x14ac:dyDescent="0.2">
      <c r="A5679" s="1" t="s">
        <v>608</v>
      </c>
      <c r="B5679" s="1" t="s">
        <v>663</v>
      </c>
      <c r="C5679" s="1" t="str">
        <f>"66298806598148"</f>
        <v>66298806598148</v>
      </c>
      <c r="D5679" s="1" t="str">
        <f>"400637"</f>
        <v>400637</v>
      </c>
      <c r="E5679" s="1" t="s">
        <v>4566</v>
      </c>
      <c r="F5679" s="1">
        <v>440</v>
      </c>
      <c r="G5679" s="1">
        <v>613</v>
      </c>
      <c r="H5679" s="1">
        <v>269720</v>
      </c>
      <c r="I5679" s="1">
        <v>0</v>
      </c>
      <c r="J5679" s="1">
        <v>440</v>
      </c>
      <c r="K5679" s="1">
        <v>0</v>
      </c>
    </row>
    <row r="5680" spans="1:11" x14ac:dyDescent="0.2">
      <c r="A5680" s="1" t="s">
        <v>608</v>
      </c>
      <c r="B5680" s="1" t="s">
        <v>664</v>
      </c>
      <c r="C5680" s="1" t="str">
        <f>"66298806300653"</f>
        <v>66298806300653</v>
      </c>
      <c r="D5680" s="1" t="str">
        <f>"JF-1612-02"</f>
        <v>JF-1612-02</v>
      </c>
      <c r="E5680" s="1" t="s">
        <v>4566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</row>
    <row r="5681" spans="1:11" x14ac:dyDescent="0.2">
      <c r="A5681" s="1" t="s">
        <v>608</v>
      </c>
      <c r="B5681" s="1" t="s">
        <v>665</v>
      </c>
      <c r="C5681" s="1" t="str">
        <f>"66298806651594"</f>
        <v>66298806651594</v>
      </c>
      <c r="D5681" s="1" t="str">
        <f>"DJ-1910-14HB"</f>
        <v>DJ-1910-14HB</v>
      </c>
      <c r="E5681" s="1" t="s">
        <v>4566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</row>
    <row r="5682" spans="1:11" x14ac:dyDescent="0.2">
      <c r="A5682" s="1" t="s">
        <v>608</v>
      </c>
      <c r="B5682" s="1" t="s">
        <v>665</v>
      </c>
      <c r="C5682" s="1" t="str">
        <f>"66298806659074"</f>
        <v>66298806659074</v>
      </c>
      <c r="D5682" s="1" t="str">
        <f>"DJ-1910-08HB"</f>
        <v>DJ-1910-08HB</v>
      </c>
      <c r="E5682" s="1" t="s">
        <v>4566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</row>
    <row r="5683" spans="1:11" x14ac:dyDescent="0.2">
      <c r="A5683" s="1" t="s">
        <v>608</v>
      </c>
      <c r="B5683" s="1" t="s">
        <v>666</v>
      </c>
      <c r="C5683" s="1" t="str">
        <f>"66298806750793"</f>
        <v>66298806750793</v>
      </c>
      <c r="D5683" s="1" t="str">
        <f>"400638"</f>
        <v>400638</v>
      </c>
      <c r="E5683" s="1" t="s">
        <v>4566</v>
      </c>
      <c r="F5683" s="1">
        <v>400</v>
      </c>
      <c r="G5683" s="1">
        <v>1089</v>
      </c>
      <c r="H5683" s="1">
        <v>435600</v>
      </c>
      <c r="I5683" s="1">
        <v>0</v>
      </c>
      <c r="J5683" s="1">
        <v>400</v>
      </c>
      <c r="K5683" s="1">
        <v>0</v>
      </c>
    </row>
    <row r="5684" spans="1:11" ht="30" x14ac:dyDescent="0.2">
      <c r="A5684" s="1" t="s">
        <v>608</v>
      </c>
      <c r="B5684" s="1" t="s">
        <v>667</v>
      </c>
      <c r="C5684" s="1" t="str">
        <f>"12992"</f>
        <v>12992</v>
      </c>
      <c r="D5684" s="1" t="str">
        <f>"12992"</f>
        <v>12992</v>
      </c>
      <c r="E5684" s="1" t="s">
        <v>4566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</row>
    <row r="5685" spans="1:11" x14ac:dyDescent="0.2">
      <c r="A5685" s="1" t="s">
        <v>608</v>
      </c>
      <c r="B5685" s="1" t="s">
        <v>668</v>
      </c>
      <c r="C5685" s="1" t="str">
        <f>"66298806712867"</f>
        <v>66298806712867</v>
      </c>
      <c r="D5685" s="1" t="str">
        <f>"JL-1612-01HB"</f>
        <v>JL-1612-01HB</v>
      </c>
      <c r="E5685" s="1" t="s">
        <v>4566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</row>
    <row r="5686" spans="1:11" x14ac:dyDescent="0.2">
      <c r="A5686" s="1" t="s">
        <v>608</v>
      </c>
      <c r="B5686" s="1" t="s">
        <v>669</v>
      </c>
      <c r="C5686" s="1" t="str">
        <f>"66298806791618"</f>
        <v>66298806791618</v>
      </c>
      <c r="D5686" s="1" t="str">
        <f>"DJ-1910-61"</f>
        <v>DJ-1910-61</v>
      </c>
      <c r="E5686" s="1" t="s">
        <v>4566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</row>
    <row r="5687" spans="1:11" x14ac:dyDescent="0.2">
      <c r="A5687" s="1" t="s">
        <v>608</v>
      </c>
      <c r="B5687" s="1" t="s">
        <v>670</v>
      </c>
      <c r="C5687" s="1" t="str">
        <f>"66298806874168"</f>
        <v>66298806874168</v>
      </c>
      <c r="D5687" s="1" t="str">
        <f>"400245"</f>
        <v>400245</v>
      </c>
      <c r="E5687" s="1" t="s">
        <v>4566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</row>
    <row r="5688" spans="1:11" x14ac:dyDescent="0.2">
      <c r="A5688" s="1" t="s">
        <v>608</v>
      </c>
      <c r="B5688" s="1" t="s">
        <v>671</v>
      </c>
      <c r="C5688" s="1" t="str">
        <f>"66298806836421"</f>
        <v>66298806836421</v>
      </c>
      <c r="D5688" s="1" t="str">
        <f>"BC006"</f>
        <v>BC006</v>
      </c>
      <c r="E5688" s="1" t="s">
        <v>4566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</row>
    <row r="5689" spans="1:11" x14ac:dyDescent="0.2">
      <c r="A5689" s="1" t="s">
        <v>608</v>
      </c>
      <c r="B5689" s="1" t="s">
        <v>672</v>
      </c>
      <c r="C5689" s="1" t="str">
        <f>"66298806912688"</f>
        <v>66298806912688</v>
      </c>
      <c r="D5689" s="1" t="str">
        <f>"80390"</f>
        <v>80390</v>
      </c>
      <c r="E5689" s="1" t="s">
        <v>4566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</row>
    <row r="5690" spans="1:11" x14ac:dyDescent="0.2">
      <c r="A5690" s="1" t="s">
        <v>608</v>
      </c>
      <c r="B5690" s="1" t="s">
        <v>673</v>
      </c>
      <c r="C5690" s="1" t="str">
        <f>"66298806953549"</f>
        <v>66298806953549</v>
      </c>
      <c r="D5690" s="1" t="str">
        <f>"17910-LDF7-EL0HB"</f>
        <v>17910-LDF7-EL0HB</v>
      </c>
      <c r="E5690" s="1" t="s">
        <v>4566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</row>
    <row r="5691" spans="1:11" x14ac:dyDescent="0.2">
      <c r="A5691" s="1" t="s">
        <v>608</v>
      </c>
      <c r="B5691" s="1" t="s">
        <v>673</v>
      </c>
      <c r="C5691" s="1" t="str">
        <f>"BC002"</f>
        <v>BC002</v>
      </c>
      <c r="D5691" s="1" t="str">
        <f>"BC002"</f>
        <v>BC002</v>
      </c>
      <c r="E5691" s="1" t="s">
        <v>4566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</row>
    <row r="5692" spans="1:11" x14ac:dyDescent="0.2">
      <c r="A5692" s="1" t="s">
        <v>608</v>
      </c>
      <c r="B5692" s="1" t="s">
        <v>674</v>
      </c>
      <c r="C5692" s="1" t="str">
        <f>"66298806998428"</f>
        <v>66298806998428</v>
      </c>
      <c r="D5692" s="1" t="str">
        <f>"17910-KVC-900HB"</f>
        <v>17910-KVC-900HB</v>
      </c>
      <c r="E5692" s="1" t="s">
        <v>4566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</row>
    <row r="5693" spans="1:11" x14ac:dyDescent="0.2">
      <c r="A5693" s="1" t="s">
        <v>608</v>
      </c>
      <c r="B5693" s="1" t="s">
        <v>674</v>
      </c>
      <c r="C5693" s="1" t="str">
        <f>"66298807004878"</f>
        <v>66298807004878</v>
      </c>
      <c r="D5693" s="1" t="str">
        <f>"82068"</f>
        <v>82068</v>
      </c>
      <c r="E5693" s="1" t="s">
        <v>4566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</row>
    <row r="5694" spans="1:11" x14ac:dyDescent="0.2">
      <c r="A5694" s="1" t="s">
        <v>608</v>
      </c>
      <c r="B5694" s="1" t="s">
        <v>675</v>
      </c>
      <c r="C5694" s="1" t="str">
        <f>"66298807059383"</f>
        <v>66298807059383</v>
      </c>
      <c r="D5694" s="1" t="str">
        <f>"BC017"</f>
        <v>BC017</v>
      </c>
      <c r="E5694" s="1" t="s">
        <v>4566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</row>
    <row r="5695" spans="1:11" x14ac:dyDescent="0.2">
      <c r="A5695" s="1" t="s">
        <v>608</v>
      </c>
      <c r="B5695" s="1" t="s">
        <v>676</v>
      </c>
      <c r="C5695" s="1" t="str">
        <f>"66298807098845"</f>
        <v>66298807098845</v>
      </c>
      <c r="D5695" s="1" t="str">
        <f>"BC013"</f>
        <v>BC013</v>
      </c>
      <c r="E5695" s="1" t="s">
        <v>4566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</row>
    <row r="5696" spans="1:11" x14ac:dyDescent="0.2">
      <c r="A5696" s="1" t="s">
        <v>608</v>
      </c>
      <c r="B5696" s="1" t="s">
        <v>677</v>
      </c>
      <c r="C5696" s="1" t="str">
        <f>"66298807141309"</f>
        <v>66298807141309</v>
      </c>
      <c r="D5696" s="1" t="str">
        <f>"C004-ACE-UNIV"</f>
        <v>C004-ACE-UNIV</v>
      </c>
      <c r="E5696" s="1" t="s">
        <v>4566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</row>
    <row r="5697" spans="1:11" x14ac:dyDescent="0.2">
      <c r="A5697" s="1" t="s">
        <v>608</v>
      </c>
      <c r="B5697" s="1" t="s">
        <v>678</v>
      </c>
      <c r="C5697" s="1" t="str">
        <f>"66298807180718"</f>
        <v>66298807180718</v>
      </c>
      <c r="D5697" s="1" t="str">
        <f>"58300-33GH1-000"</f>
        <v>58300-33GH1-000</v>
      </c>
      <c r="E5697" s="1" t="s">
        <v>4566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</row>
    <row r="5698" spans="1:11" ht="30" x14ac:dyDescent="0.2">
      <c r="A5698" s="1" t="s">
        <v>608</v>
      </c>
      <c r="B5698" s="1" t="s">
        <v>679</v>
      </c>
      <c r="C5698" s="1" t="str">
        <f>"17910-K43-901HB"</f>
        <v>17910-K43-901HB</v>
      </c>
      <c r="D5698" s="1" t="str">
        <f>"17910-K43-901HB"</f>
        <v>17910-K43-901HB</v>
      </c>
      <c r="E5698" s="1" t="s">
        <v>4566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</row>
    <row r="5699" spans="1:11" x14ac:dyDescent="0.2">
      <c r="A5699" s="1" t="s">
        <v>608</v>
      </c>
      <c r="B5699" s="1" t="s">
        <v>680</v>
      </c>
      <c r="C5699" s="1" t="str">
        <f>"66298807225504"</f>
        <v>66298807225504</v>
      </c>
      <c r="D5699" s="1" t="str">
        <f>"400640"</f>
        <v>400640</v>
      </c>
      <c r="E5699" s="1" t="s">
        <v>4566</v>
      </c>
      <c r="F5699" s="1">
        <v>420</v>
      </c>
      <c r="G5699" s="1">
        <v>434</v>
      </c>
      <c r="H5699" s="1">
        <v>182280</v>
      </c>
      <c r="I5699" s="1">
        <v>0</v>
      </c>
      <c r="J5699" s="1">
        <v>420</v>
      </c>
      <c r="K5699" s="1">
        <v>0</v>
      </c>
    </row>
    <row r="5700" spans="1:11" x14ac:dyDescent="0.2">
      <c r="A5700" s="1" t="s">
        <v>608</v>
      </c>
      <c r="B5700" s="1" t="s">
        <v>681</v>
      </c>
      <c r="C5700" s="1" t="str">
        <f>"66298807310700"</f>
        <v>66298807310700</v>
      </c>
      <c r="D5700" s="1" t="str">
        <f>"400641"</f>
        <v>400641</v>
      </c>
      <c r="E5700" s="1" t="s">
        <v>4566</v>
      </c>
      <c r="F5700" s="1">
        <v>350</v>
      </c>
      <c r="G5700" s="1">
        <v>404</v>
      </c>
      <c r="H5700" s="1">
        <v>141400</v>
      </c>
      <c r="I5700" s="1">
        <v>0</v>
      </c>
      <c r="J5700" s="1">
        <v>350</v>
      </c>
      <c r="K5700" s="1">
        <v>0</v>
      </c>
    </row>
    <row r="5701" spans="1:11" x14ac:dyDescent="0.2">
      <c r="A5701" s="1" t="s">
        <v>608</v>
      </c>
      <c r="B5701" s="1" t="s">
        <v>682</v>
      </c>
      <c r="C5701" s="1" t="str">
        <f>"66298807267611"</f>
        <v>66298807267611</v>
      </c>
      <c r="D5701" s="1" t="str">
        <f>"17910-KRH-A00HB"</f>
        <v>17910-KRH-A00HB</v>
      </c>
      <c r="E5701" s="1" t="s">
        <v>4566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</row>
    <row r="5702" spans="1:11" x14ac:dyDescent="0.2">
      <c r="A5702" s="1" t="s">
        <v>608</v>
      </c>
      <c r="B5702" s="1" t="s">
        <v>682</v>
      </c>
      <c r="C5702" s="1" t="str">
        <f>"BC026"</f>
        <v>BC026</v>
      </c>
      <c r="D5702" s="1" t="str">
        <f>"BC026"</f>
        <v>BC026</v>
      </c>
      <c r="E5702" s="1" t="s">
        <v>4566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</row>
    <row r="5703" spans="1:11" x14ac:dyDescent="0.2">
      <c r="A5703" s="1" t="s">
        <v>608</v>
      </c>
      <c r="B5703" s="1" t="s">
        <v>683</v>
      </c>
      <c r="C5703" s="1" t="str">
        <f>"66298807352477"</f>
        <v>66298807352477</v>
      </c>
      <c r="D5703" s="1" t="str">
        <f>"400644"</f>
        <v>400644</v>
      </c>
      <c r="E5703" s="1" t="s">
        <v>4566</v>
      </c>
      <c r="F5703" s="1">
        <v>400</v>
      </c>
      <c r="G5703" s="1">
        <v>603</v>
      </c>
      <c r="H5703" s="1">
        <v>241200</v>
      </c>
      <c r="I5703" s="1">
        <v>0</v>
      </c>
      <c r="J5703" s="1">
        <v>400</v>
      </c>
      <c r="K5703" s="1">
        <v>0</v>
      </c>
    </row>
    <row r="5704" spans="1:11" x14ac:dyDescent="0.2">
      <c r="A5704" s="1" t="s">
        <v>608</v>
      </c>
      <c r="B5704" s="1" t="s">
        <v>684</v>
      </c>
      <c r="C5704" s="1" t="str">
        <f>"66298807435652"</f>
        <v>66298807435652</v>
      </c>
      <c r="D5704" s="1" t="str">
        <f>"400642"</f>
        <v>400642</v>
      </c>
      <c r="E5704" s="1" t="s">
        <v>4566</v>
      </c>
      <c r="F5704" s="1">
        <v>440</v>
      </c>
      <c r="G5704" s="1">
        <v>555</v>
      </c>
      <c r="H5704" s="1">
        <v>244200</v>
      </c>
      <c r="I5704" s="1">
        <v>0</v>
      </c>
      <c r="J5704" s="1">
        <v>440</v>
      </c>
      <c r="K5704" s="1">
        <v>0</v>
      </c>
    </row>
    <row r="5705" spans="1:11" x14ac:dyDescent="0.2">
      <c r="A5705" s="1" t="s">
        <v>608</v>
      </c>
      <c r="B5705" s="1" t="s">
        <v>685</v>
      </c>
      <c r="C5705" s="1" t="str">
        <f>"66298807393953"</f>
        <v>66298807393953</v>
      </c>
      <c r="D5705" s="1" t="str">
        <f>"17910-KPE-900HB"</f>
        <v>17910-KPE-900HB</v>
      </c>
      <c r="E5705" s="1" t="s">
        <v>4566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</row>
    <row r="5706" spans="1:11" x14ac:dyDescent="0.2">
      <c r="A5706" s="1" t="s">
        <v>608</v>
      </c>
      <c r="B5706" s="1" t="s">
        <v>686</v>
      </c>
      <c r="C5706" s="1" t="str">
        <f>"66298807553427"</f>
        <v>66298807553427</v>
      </c>
      <c r="D5706" s="1" t="str">
        <f>"400643"</f>
        <v>400643</v>
      </c>
      <c r="E5706" s="1" t="s">
        <v>4566</v>
      </c>
      <c r="F5706" s="1">
        <v>430</v>
      </c>
      <c r="G5706" s="1">
        <v>526</v>
      </c>
      <c r="H5706" s="1">
        <v>226180</v>
      </c>
      <c r="I5706" s="1">
        <v>0</v>
      </c>
      <c r="J5706" s="1">
        <v>430</v>
      </c>
      <c r="K5706" s="1">
        <v>0</v>
      </c>
    </row>
    <row r="5707" spans="1:11" x14ac:dyDescent="0.2">
      <c r="A5707" s="1" t="s">
        <v>608</v>
      </c>
      <c r="B5707" s="1" t="s">
        <v>687</v>
      </c>
      <c r="C5707" s="1" t="str">
        <f>"66298807473034"</f>
        <v>66298807473034</v>
      </c>
      <c r="D5707" s="1" t="str">
        <f>"000153"</f>
        <v>000153</v>
      </c>
      <c r="E5707" s="1" t="s">
        <v>4566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</row>
    <row r="5708" spans="1:11" x14ac:dyDescent="0.2">
      <c r="A5708" s="1" t="s">
        <v>608</v>
      </c>
      <c r="B5708" s="1" t="s">
        <v>687</v>
      </c>
      <c r="C5708" s="1" t="str">
        <f>"66298807514345"</f>
        <v>66298807514345</v>
      </c>
      <c r="D5708" s="1" t="str">
        <f>"17920-KPE-900HB"</f>
        <v>17920-KPE-900HB</v>
      </c>
      <c r="E5708" s="1" t="s">
        <v>4566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</row>
    <row r="5709" spans="1:11" x14ac:dyDescent="0.2">
      <c r="A5709" s="1" t="s">
        <v>608</v>
      </c>
      <c r="B5709" s="1" t="s">
        <v>688</v>
      </c>
      <c r="C5709" s="1" t="str">
        <f>"66298807590262"</f>
        <v>66298807590262</v>
      </c>
      <c r="D5709" s="1" t="str">
        <f>"8958-A"</f>
        <v>8958-A</v>
      </c>
      <c r="E5709" s="1" t="s">
        <v>4566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</row>
    <row r="5710" spans="1:11" x14ac:dyDescent="0.2">
      <c r="A5710" s="1" t="s">
        <v>608</v>
      </c>
      <c r="B5710" s="1" t="s">
        <v>689</v>
      </c>
      <c r="C5710" s="1" t="str">
        <f>"66298807627062"</f>
        <v>66298807627062</v>
      </c>
      <c r="D5710" s="1" t="str">
        <f>"8958-B"</f>
        <v>8958-B</v>
      </c>
      <c r="E5710" s="1" t="s">
        <v>4566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</row>
    <row r="5711" spans="1:11" x14ac:dyDescent="0.2">
      <c r="A5711" s="1" t="s">
        <v>608</v>
      </c>
      <c r="B5711" s="1" t="s">
        <v>690</v>
      </c>
      <c r="C5711" s="1" t="str">
        <f>"17910-KWT-700HB"</f>
        <v>17910-KWT-700HB</v>
      </c>
      <c r="D5711" s="1" t="str">
        <f>"17910-KWT-700HB"</f>
        <v>17910-KWT-700HB</v>
      </c>
      <c r="E5711" s="1" t="s">
        <v>4566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</row>
    <row r="5712" spans="1:11" x14ac:dyDescent="0.2">
      <c r="A5712" s="1" t="s">
        <v>608</v>
      </c>
      <c r="B5712" s="1" t="s">
        <v>691</v>
      </c>
      <c r="C5712" s="1" t="str">
        <f>"66298807670572"</f>
        <v>66298807670572</v>
      </c>
      <c r="D5712" s="1" t="str">
        <f>"80342"</f>
        <v>80342</v>
      </c>
      <c r="E5712" s="1" t="s">
        <v>4566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</row>
    <row r="5713" spans="1:11" x14ac:dyDescent="0.2">
      <c r="A5713" s="1" t="s">
        <v>608</v>
      </c>
      <c r="B5713" s="1" t="s">
        <v>692</v>
      </c>
      <c r="C5713" s="1" t="str">
        <f>"66298807717522"</f>
        <v>66298807717522</v>
      </c>
      <c r="D5713" s="1" t="str">
        <f>"80343"</f>
        <v>80343</v>
      </c>
      <c r="E5713" s="1" t="s">
        <v>4566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</row>
    <row r="5714" spans="1:11" x14ac:dyDescent="0.2">
      <c r="A5714" s="1" t="s">
        <v>608</v>
      </c>
      <c r="B5714" s="1" t="s">
        <v>692</v>
      </c>
      <c r="C5714" s="1" t="str">
        <f>"66298807723005"</f>
        <v>66298807723005</v>
      </c>
      <c r="D5714" s="1" t="str">
        <f>"5HH-F6311-01HB"</f>
        <v>5HH-F6311-01HB</v>
      </c>
      <c r="E5714" s="1" t="s">
        <v>4566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</row>
    <row r="5715" spans="1:11" x14ac:dyDescent="0.2">
      <c r="A5715" s="1" t="s">
        <v>608</v>
      </c>
      <c r="B5715" s="1" t="s">
        <v>692</v>
      </c>
      <c r="C5715" s="1" t="str">
        <f>"66298807728745"</f>
        <v>66298807728745</v>
      </c>
      <c r="D5715" s="1" t="str">
        <f>"4P2-F6311-01HB"</f>
        <v>4P2-F6311-01HB</v>
      </c>
      <c r="E5715" s="1" t="s">
        <v>4566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</row>
    <row r="5716" spans="1:11" x14ac:dyDescent="0.2">
      <c r="A5716" s="1" t="s">
        <v>608</v>
      </c>
      <c r="B5716" s="1" t="s">
        <v>693</v>
      </c>
      <c r="C5716" s="1" t="str">
        <f>"BC009"</f>
        <v>BC009</v>
      </c>
      <c r="D5716" s="1" t="str">
        <f>"BC009"</f>
        <v>BC009</v>
      </c>
      <c r="E5716" s="1" t="s">
        <v>4566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</row>
    <row r="5717" spans="1:11" x14ac:dyDescent="0.2">
      <c r="A5717" s="1" t="s">
        <v>608</v>
      </c>
      <c r="B5717" s="1" t="s">
        <v>694</v>
      </c>
      <c r="C5717" s="1" t="str">
        <f>"66298807796275"</f>
        <v>66298807796275</v>
      </c>
      <c r="D5717" s="1" t="str">
        <f>"5KA-F6311-00"</f>
        <v>5KA-F6311-00</v>
      </c>
      <c r="E5717" s="1" t="s">
        <v>4566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</row>
    <row r="5718" spans="1:11" x14ac:dyDescent="0.2">
      <c r="A5718" s="1" t="s">
        <v>608</v>
      </c>
      <c r="B5718" s="1" t="s">
        <v>695</v>
      </c>
      <c r="C5718" s="1" t="str">
        <f>"66298807838780"</f>
        <v>66298807838780</v>
      </c>
      <c r="D5718" s="1" t="str">
        <f>"24P-F6311-00HB"</f>
        <v>24P-F6311-00HB</v>
      </c>
      <c r="E5718" s="1" t="s">
        <v>4566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</row>
    <row r="5719" spans="1:11" x14ac:dyDescent="0.2">
      <c r="A5719" s="1" t="s">
        <v>608</v>
      </c>
      <c r="B5719" s="1" t="s">
        <v>696</v>
      </c>
      <c r="C5719" s="1" t="str">
        <f>"66298807881362"</f>
        <v>66298807881362</v>
      </c>
      <c r="D5719" s="1" t="str">
        <f>"24P-F6312-01HB"</f>
        <v>24P-F6312-01HB</v>
      </c>
      <c r="E5719" s="1" t="s">
        <v>4566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</row>
    <row r="5720" spans="1:11" x14ac:dyDescent="0.2">
      <c r="A5720" s="1" t="s">
        <v>608</v>
      </c>
      <c r="B5720" s="1" t="s">
        <v>697</v>
      </c>
      <c r="C5720" s="1" t="str">
        <f>"66298807922692"</f>
        <v>66298807922692</v>
      </c>
      <c r="D5720" s="1" t="str">
        <f>"1CK-F6311-00"</f>
        <v>1CK-F6311-00</v>
      </c>
      <c r="E5720" s="1" t="s">
        <v>4566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</row>
    <row r="5721" spans="1:11" x14ac:dyDescent="0.2">
      <c r="A5721" s="1" t="s">
        <v>608</v>
      </c>
      <c r="B5721" s="1" t="s">
        <v>698</v>
      </c>
      <c r="C5721" s="1" t="str">
        <f>"66298807960846"</f>
        <v>66298807960846</v>
      </c>
      <c r="D5721" s="1" t="str">
        <f>"1CK-F6312-00"</f>
        <v>1CK-F6312-00</v>
      </c>
      <c r="E5721" s="1" t="s">
        <v>4566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</row>
    <row r="5722" spans="1:11" x14ac:dyDescent="0.2">
      <c r="A5722" s="1" t="s">
        <v>608</v>
      </c>
      <c r="B5722" s="1" t="s">
        <v>699</v>
      </c>
      <c r="C5722" s="1" t="str">
        <f>"66298808005641"</f>
        <v>66298808005641</v>
      </c>
      <c r="D5722" s="1" t="str">
        <f>"17950-KSP-900HB"</f>
        <v>17950-KSP-900HB</v>
      </c>
      <c r="E5722" s="1" t="s">
        <v>4566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</row>
    <row r="5723" spans="1:11" x14ac:dyDescent="0.2">
      <c r="A5723" s="1" t="s">
        <v>608</v>
      </c>
      <c r="B5723" s="1" t="s">
        <v>700</v>
      </c>
      <c r="C5723" s="1" t="str">
        <f>"58410-45F00"</f>
        <v>58410-45F00</v>
      </c>
      <c r="D5723" s="1" t="str">
        <f>"58410-45F00"</f>
        <v>58410-45F00</v>
      </c>
      <c r="E5723" s="1" t="s">
        <v>4566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</row>
    <row r="5724" spans="1:11" x14ac:dyDescent="0.2">
      <c r="A5724" s="1" t="s">
        <v>608</v>
      </c>
      <c r="B5724" s="1" t="s">
        <v>701</v>
      </c>
      <c r="C5724" s="1" t="str">
        <f>"21C-F6331-01HB"</f>
        <v>21C-F6331-01HB</v>
      </c>
      <c r="D5724" s="1" t="str">
        <f>"21C-F6331-01HB"</f>
        <v>21C-F6331-01HB</v>
      </c>
      <c r="E5724" s="1" t="s">
        <v>4566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</row>
    <row r="5725" spans="1:11" x14ac:dyDescent="0.2">
      <c r="A5725" s="1" t="s">
        <v>608</v>
      </c>
      <c r="B5725" s="1" t="s">
        <v>702</v>
      </c>
      <c r="C5725" s="1" t="str">
        <f>"66298808091843"</f>
        <v>66298808091843</v>
      </c>
      <c r="D5725" s="1" t="str">
        <f>"400590"</f>
        <v>400590</v>
      </c>
      <c r="E5725" s="1" t="s">
        <v>4566</v>
      </c>
      <c r="F5725" s="1">
        <v>430</v>
      </c>
      <c r="G5725" s="1">
        <v>469</v>
      </c>
      <c r="H5725" s="1">
        <v>201670</v>
      </c>
      <c r="I5725" s="1">
        <v>0</v>
      </c>
      <c r="J5725" s="1">
        <v>430</v>
      </c>
      <c r="K5725" s="1">
        <v>0</v>
      </c>
    </row>
    <row r="5726" spans="1:11" x14ac:dyDescent="0.2">
      <c r="A5726" s="1" t="s">
        <v>608</v>
      </c>
      <c r="B5726" s="1" t="s">
        <v>703</v>
      </c>
      <c r="C5726" s="1" t="str">
        <f>"66298808134864"</f>
        <v>66298808134864</v>
      </c>
      <c r="D5726" s="1" t="str">
        <f>"B10030103"</f>
        <v>B10030103</v>
      </c>
      <c r="E5726" s="1" t="s">
        <v>4566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</row>
    <row r="5727" spans="1:11" x14ac:dyDescent="0.2">
      <c r="A5727" s="1" t="s">
        <v>608</v>
      </c>
      <c r="B5727" s="1" t="s">
        <v>704</v>
      </c>
      <c r="C5727" s="1" t="str">
        <f>"5YY-F6331-00HB"</f>
        <v>5YY-F6331-00HB</v>
      </c>
      <c r="D5727" s="1" t="str">
        <f>"5YY-F6331-00HB"</f>
        <v>5YY-F6331-00HB</v>
      </c>
      <c r="E5727" s="1" t="s">
        <v>4566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</row>
    <row r="5728" spans="1:11" x14ac:dyDescent="0.2">
      <c r="A5728" s="1" t="s">
        <v>608</v>
      </c>
      <c r="B5728" s="1" t="s">
        <v>705</v>
      </c>
      <c r="C5728" s="1" t="str">
        <f>"49CC19"</f>
        <v>49CC19</v>
      </c>
      <c r="D5728" s="1" t="str">
        <f>"49CC19"</f>
        <v>49CC19</v>
      </c>
      <c r="E5728" s="1" t="s">
        <v>4566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</row>
    <row r="5729" spans="1:11" x14ac:dyDescent="0.2">
      <c r="A5729" s="1" t="s">
        <v>608</v>
      </c>
      <c r="B5729" s="1" t="s">
        <v>706</v>
      </c>
      <c r="C5729" s="1" t="str">
        <f>"BL001"</f>
        <v>BL001</v>
      </c>
      <c r="D5729" s="1" t="str">
        <f>"BL001"</f>
        <v>BL001</v>
      </c>
      <c r="E5729" s="1" t="s">
        <v>4566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</row>
    <row r="5730" spans="1:11" x14ac:dyDescent="0.2">
      <c r="A5730" s="1" t="s">
        <v>608</v>
      </c>
      <c r="B5730" s="1" t="s">
        <v>707</v>
      </c>
      <c r="C5730" s="1" t="str">
        <f>"80994"</f>
        <v>80994</v>
      </c>
      <c r="D5730" s="1" t="str">
        <f>"80994"</f>
        <v>80994</v>
      </c>
      <c r="E5730" s="1" t="s">
        <v>4566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</row>
    <row r="5731" spans="1:11" x14ac:dyDescent="0.2">
      <c r="A5731" s="1" t="s">
        <v>608</v>
      </c>
      <c r="B5731" s="1" t="s">
        <v>708</v>
      </c>
      <c r="C5731" s="1" t="str">
        <f>"136"</f>
        <v>136</v>
      </c>
      <c r="D5731" s="1" t="str">
        <f>"136"</f>
        <v>136</v>
      </c>
      <c r="E5731" s="1" t="s">
        <v>4566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</row>
    <row r="5732" spans="1:11" ht="30" x14ac:dyDescent="0.2">
      <c r="A5732" s="1" t="s">
        <v>608</v>
      </c>
      <c r="B5732" s="1" t="s">
        <v>709</v>
      </c>
      <c r="C5732" s="1" t="str">
        <f>"BD008"</f>
        <v>BD008</v>
      </c>
      <c r="D5732" s="1" t="str">
        <f>"BD008"</f>
        <v>BD008</v>
      </c>
      <c r="E5732" s="1" t="s">
        <v>4566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</row>
    <row r="5733" spans="1:11" x14ac:dyDescent="0.2">
      <c r="A5733" s="1" t="s">
        <v>608</v>
      </c>
      <c r="B5733" s="1" t="s">
        <v>710</v>
      </c>
      <c r="C5733" s="1" t="str">
        <f>"44830-KSP-900HB"</f>
        <v>44830-KSP-900HB</v>
      </c>
      <c r="D5733" s="1" t="str">
        <f>"44830-KSP-900HB"</f>
        <v>44830-KSP-900HB</v>
      </c>
      <c r="E5733" s="1" t="s">
        <v>4566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</row>
    <row r="5734" spans="1:11" x14ac:dyDescent="0.2">
      <c r="A5734" s="1" t="s">
        <v>608</v>
      </c>
      <c r="B5734" s="1" t="s">
        <v>711</v>
      </c>
      <c r="C5734" s="1" t="str">
        <f>"66298808279880"</f>
        <v>66298808279880</v>
      </c>
      <c r="D5734" s="1" t="str">
        <f>"000157"</f>
        <v>000157</v>
      </c>
      <c r="E5734" s="1" t="s">
        <v>4566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</row>
    <row r="5735" spans="1:11" x14ac:dyDescent="0.2">
      <c r="A5735" s="1" t="s">
        <v>608</v>
      </c>
      <c r="B5735" s="1" t="s">
        <v>712</v>
      </c>
      <c r="C5735" s="1" t="str">
        <f>"66298808324135"</f>
        <v>66298808324135</v>
      </c>
      <c r="D5735" s="1" t="str">
        <f>"80354"</f>
        <v>80354</v>
      </c>
      <c r="E5735" s="1" t="s">
        <v>4566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</row>
    <row r="5736" spans="1:11" x14ac:dyDescent="0.2">
      <c r="A5736" s="1" t="s">
        <v>608</v>
      </c>
      <c r="B5736" s="1" t="s">
        <v>713</v>
      </c>
      <c r="C5736" s="1" t="str">
        <f>"BD006"</f>
        <v>BD006</v>
      </c>
      <c r="D5736" s="1" t="str">
        <f>"BD006"</f>
        <v>BD006</v>
      </c>
      <c r="E5736" s="1" t="s">
        <v>4566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</row>
    <row r="5737" spans="1:11" x14ac:dyDescent="0.2">
      <c r="A5737" s="1" t="s">
        <v>608</v>
      </c>
      <c r="B5737" s="1" t="s">
        <v>714</v>
      </c>
      <c r="C5737" s="1" t="str">
        <f>"BD003"</f>
        <v>BD003</v>
      </c>
      <c r="D5737" s="1" t="str">
        <f>"BD003"</f>
        <v>BD003</v>
      </c>
      <c r="E5737" s="1" t="s">
        <v>4566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</row>
    <row r="5738" spans="1:11" x14ac:dyDescent="0.2">
      <c r="A5738" s="1" t="s">
        <v>608</v>
      </c>
      <c r="B5738" s="1" t="s">
        <v>715</v>
      </c>
      <c r="C5738" s="1" t="str">
        <f>"66298808412254"</f>
        <v>66298808412254</v>
      </c>
      <c r="D5738" s="1" t="str">
        <f>"000159"</f>
        <v>000159</v>
      </c>
      <c r="E5738" s="1" t="s">
        <v>4566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</row>
    <row r="5739" spans="1:11" x14ac:dyDescent="0.2">
      <c r="A5739" s="1" t="s">
        <v>608</v>
      </c>
      <c r="B5739" s="1" t="s">
        <v>716</v>
      </c>
      <c r="C5739" s="1" t="str">
        <f>"66298808454307"</f>
        <v>66298808454307</v>
      </c>
      <c r="D5739" s="1" t="str">
        <f>"82077"</f>
        <v>82077</v>
      </c>
      <c r="E5739" s="1" t="s">
        <v>4566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</row>
    <row r="5740" spans="1:11" x14ac:dyDescent="0.2">
      <c r="A5740" s="1" t="s">
        <v>608</v>
      </c>
      <c r="B5740" s="1" t="s">
        <v>717</v>
      </c>
      <c r="C5740" s="1" t="str">
        <f>"66298808495160"</f>
        <v>66298808495160</v>
      </c>
      <c r="D5740" s="1" t="str">
        <f>"44830-KRF-B40HB"</f>
        <v>44830-KRF-B40HB</v>
      </c>
      <c r="E5740" s="1" t="s">
        <v>4566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</row>
    <row r="5741" spans="1:11" x14ac:dyDescent="0.2">
      <c r="A5741" s="1" t="s">
        <v>608</v>
      </c>
      <c r="B5741" s="1" t="s">
        <v>718</v>
      </c>
      <c r="C5741" s="1" t="str">
        <f>"66298808538798"</f>
        <v>66298808538798</v>
      </c>
      <c r="D5741" s="1" t="str">
        <f>"82075"</f>
        <v>82075</v>
      </c>
      <c r="E5741" s="1" t="s">
        <v>4566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</row>
    <row r="5742" spans="1:11" x14ac:dyDescent="0.2">
      <c r="A5742" s="1" t="s">
        <v>608</v>
      </c>
      <c r="B5742" s="1" t="s">
        <v>719</v>
      </c>
      <c r="C5742" s="1" t="str">
        <f>"66298808580288"</f>
        <v>66298808580288</v>
      </c>
      <c r="D5742" s="1" t="str">
        <f>"34910-44A20HB"</f>
        <v>34910-44A20HB</v>
      </c>
      <c r="E5742" s="1" t="s">
        <v>4566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</row>
    <row r="5743" spans="1:11" x14ac:dyDescent="0.2">
      <c r="A5743" s="1" t="s">
        <v>608</v>
      </c>
      <c r="B5743" s="1" t="s">
        <v>720</v>
      </c>
      <c r="C5743" s="1" t="str">
        <f>"BD009"</f>
        <v>BD009</v>
      </c>
      <c r="D5743" s="1" t="str">
        <f>"BD009"</f>
        <v>BD009</v>
      </c>
      <c r="E5743" s="1" t="s">
        <v>4566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</row>
    <row r="5744" spans="1:11" x14ac:dyDescent="0.2">
      <c r="A5744" s="1" t="s">
        <v>608</v>
      </c>
      <c r="B5744" s="1" t="s">
        <v>721</v>
      </c>
      <c r="C5744" s="1" t="str">
        <f>"66298808620968"</f>
        <v>66298808620968</v>
      </c>
      <c r="D5744" s="1" t="str">
        <f>"82081"</f>
        <v>82081</v>
      </c>
      <c r="E5744" s="1" t="s">
        <v>4566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</row>
    <row r="5745" spans="1:11" x14ac:dyDescent="0.2">
      <c r="A5745" s="1" t="s">
        <v>608</v>
      </c>
      <c r="B5745" s="1" t="s">
        <v>722</v>
      </c>
      <c r="C5745" s="1" t="str">
        <f>"66298808665086"</f>
        <v>66298808665086</v>
      </c>
      <c r="D5745" s="1" t="str">
        <f>"400623"</f>
        <v>400623</v>
      </c>
      <c r="E5745" s="1" t="s">
        <v>4566</v>
      </c>
      <c r="F5745" s="1">
        <v>380</v>
      </c>
      <c r="G5745" s="1">
        <v>515</v>
      </c>
      <c r="H5745" s="1">
        <v>195700</v>
      </c>
      <c r="I5745" s="1">
        <v>0</v>
      </c>
      <c r="J5745" s="1">
        <v>380</v>
      </c>
      <c r="K5745" s="1">
        <v>0</v>
      </c>
    </row>
    <row r="5746" spans="1:11" ht="30" x14ac:dyDescent="0.2">
      <c r="A5746" s="1" t="s">
        <v>608</v>
      </c>
      <c r="B5746" s="1" t="s">
        <v>723</v>
      </c>
      <c r="C5746" s="1" t="str">
        <f>"BD001"</f>
        <v>BD001</v>
      </c>
      <c r="D5746" s="1" t="str">
        <f>"BD001"</f>
        <v>BD001</v>
      </c>
      <c r="E5746" s="1" t="s">
        <v>4566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</row>
    <row r="5747" spans="1:11" x14ac:dyDescent="0.2">
      <c r="A5747" s="1" t="s">
        <v>608</v>
      </c>
      <c r="B5747" s="1" t="s">
        <v>724</v>
      </c>
      <c r="C5747" s="1" t="str">
        <f>"66298808752727"</f>
        <v>66298808752727</v>
      </c>
      <c r="D5747" s="1" t="str">
        <f>"54001-1118"</f>
        <v>54001-1118</v>
      </c>
      <c r="E5747" s="1" t="s">
        <v>4566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</row>
    <row r="5748" spans="1:11" x14ac:dyDescent="0.2">
      <c r="A5748" s="1" t="s">
        <v>608</v>
      </c>
      <c r="B5748" s="1" t="s">
        <v>725</v>
      </c>
      <c r="C5748" s="1" t="str">
        <f>"66298808793545"</f>
        <v>66298808793545</v>
      </c>
      <c r="D5748" s="1" t="str">
        <f>"34910-45F01"</f>
        <v>34910-45F01</v>
      </c>
      <c r="E5748" s="1" t="s">
        <v>4566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</row>
    <row r="5749" spans="1:11" x14ac:dyDescent="0.2">
      <c r="A5749" s="1" t="s">
        <v>608</v>
      </c>
      <c r="B5749" s="1" t="s">
        <v>726</v>
      </c>
      <c r="C5749" s="1" t="str">
        <f>"34910-C26441W-00"</f>
        <v>34910-C26441W-00</v>
      </c>
      <c r="D5749" s="1" t="str">
        <f>"34910-C26441W-00"</f>
        <v>34910-C26441W-00</v>
      </c>
      <c r="E5749" s="1" t="s">
        <v>4566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</row>
    <row r="5750" spans="1:11" x14ac:dyDescent="0.2">
      <c r="A5750" s="1" t="s">
        <v>608</v>
      </c>
      <c r="B5750" s="1" t="s">
        <v>727</v>
      </c>
      <c r="C5750" s="1" t="str">
        <f>"BD004"</f>
        <v>BD004</v>
      </c>
      <c r="D5750" s="1" t="str">
        <f>"BD004"</f>
        <v>BD004</v>
      </c>
      <c r="E5750" s="1" t="s">
        <v>4566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</row>
    <row r="5751" spans="1:11" x14ac:dyDescent="0.2">
      <c r="A5751" s="1" t="s">
        <v>608</v>
      </c>
      <c r="B5751" s="1" t="s">
        <v>728</v>
      </c>
      <c r="C5751" s="1" t="str">
        <f>"34910-25H00-000H"</f>
        <v>34910-25H00-000H</v>
      </c>
      <c r="D5751" s="1" t="str">
        <f>"34910-25H00-000H"</f>
        <v>34910-25H00-000H</v>
      </c>
      <c r="E5751" s="1" t="s">
        <v>4566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</row>
    <row r="5752" spans="1:11" x14ac:dyDescent="0.2">
      <c r="A5752" s="1" t="s">
        <v>608</v>
      </c>
      <c r="B5752" s="1" t="s">
        <v>729</v>
      </c>
      <c r="C5752" s="1" t="str">
        <f>"66298808842711"</f>
        <v>66298808842711</v>
      </c>
      <c r="D5752" s="1" t="str">
        <f>"7701023704090"</f>
        <v>7701023704090</v>
      </c>
      <c r="E5752" s="1" t="s">
        <v>4566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</row>
    <row r="5753" spans="1:11" x14ac:dyDescent="0.2">
      <c r="A5753" s="1" t="s">
        <v>608</v>
      </c>
      <c r="B5753" s="1" t="s">
        <v>730</v>
      </c>
      <c r="C5753" s="1" t="str">
        <f>"66298808888295"</f>
        <v>66298808888295</v>
      </c>
      <c r="D5753" s="1" t="str">
        <f>"400624"</f>
        <v>400624</v>
      </c>
      <c r="E5753" s="1" t="s">
        <v>4566</v>
      </c>
      <c r="F5753" s="1">
        <v>440</v>
      </c>
      <c r="G5753" s="1">
        <v>527</v>
      </c>
      <c r="H5753" s="1">
        <v>231880</v>
      </c>
      <c r="I5753" s="1">
        <v>0</v>
      </c>
      <c r="J5753" s="1">
        <v>440</v>
      </c>
      <c r="K5753" s="1">
        <v>0</v>
      </c>
    </row>
    <row r="5754" spans="1:11" x14ac:dyDescent="0.2">
      <c r="A5754" s="1" t="s">
        <v>608</v>
      </c>
      <c r="B5754" s="1" t="s">
        <v>731</v>
      </c>
      <c r="C5754" s="1" t="str">
        <f>"66298808926394"</f>
        <v>66298808926394</v>
      </c>
      <c r="D5754" s="1" t="str">
        <f>"80350"</f>
        <v>80350</v>
      </c>
      <c r="E5754" s="1" t="s">
        <v>4566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</row>
    <row r="5755" spans="1:11" x14ac:dyDescent="0.2">
      <c r="A5755" s="1" t="s">
        <v>608</v>
      </c>
      <c r="B5755" s="1" t="s">
        <v>732</v>
      </c>
      <c r="C5755" s="1" t="str">
        <f>"44830-KSM-900HB"</f>
        <v>44830-KSM-900HB</v>
      </c>
      <c r="D5755" s="1" t="str">
        <f>"44830-KSM-900HB"</f>
        <v>44830-KSM-900HB</v>
      </c>
      <c r="E5755" s="1" t="s">
        <v>4566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</row>
    <row r="5756" spans="1:11" ht="30" x14ac:dyDescent="0.2">
      <c r="A5756" s="1" t="s">
        <v>608</v>
      </c>
      <c r="B5756" s="1" t="s">
        <v>733</v>
      </c>
      <c r="C5756" s="1" t="str">
        <f>"66298809007972"</f>
        <v>66298809007972</v>
      </c>
      <c r="D5756" s="1" t="str">
        <f>"82317"</f>
        <v>82317</v>
      </c>
      <c r="E5756" s="1" t="s">
        <v>4566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</row>
    <row r="5757" spans="1:11" x14ac:dyDescent="0.2">
      <c r="A5757" s="1" t="s">
        <v>608</v>
      </c>
      <c r="B5757" s="1" t="s">
        <v>734</v>
      </c>
      <c r="C5757" s="1" t="str">
        <f>"66298809051411"</f>
        <v>66298809051411</v>
      </c>
      <c r="D5757" s="1" t="str">
        <f>"44830-KVC-900HB"</f>
        <v>44830-KVC-900HB</v>
      </c>
      <c r="E5757" s="1" t="s">
        <v>4566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</row>
    <row r="5758" spans="1:11" x14ac:dyDescent="0.2">
      <c r="A5758" s="1" t="s">
        <v>608</v>
      </c>
      <c r="B5758" s="1" t="s">
        <v>735</v>
      </c>
      <c r="C5758" s="1" t="str">
        <f>"2273"</f>
        <v>2273</v>
      </c>
      <c r="D5758" s="1" t="str">
        <f>"2273"</f>
        <v>2273</v>
      </c>
      <c r="E5758" s="1" t="s">
        <v>4566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</row>
    <row r="5759" spans="1:11" x14ac:dyDescent="0.2">
      <c r="A5759" s="1" t="s">
        <v>608</v>
      </c>
      <c r="B5759" s="1" t="s">
        <v>736</v>
      </c>
      <c r="C5759" s="1" t="str">
        <f>"66298809094816"</f>
        <v>66298809094816</v>
      </c>
      <c r="D5759" s="1" t="str">
        <f>"400625"</f>
        <v>400625</v>
      </c>
      <c r="E5759" s="1" t="s">
        <v>4566</v>
      </c>
      <c r="F5759" s="1">
        <v>430</v>
      </c>
      <c r="G5759" s="1">
        <v>526</v>
      </c>
      <c r="H5759" s="1">
        <v>226180</v>
      </c>
      <c r="I5759" s="1">
        <v>0</v>
      </c>
      <c r="J5759" s="1">
        <v>430</v>
      </c>
      <c r="K5759" s="1">
        <v>0</v>
      </c>
    </row>
    <row r="5760" spans="1:11" x14ac:dyDescent="0.2">
      <c r="A5760" s="1" t="s">
        <v>608</v>
      </c>
      <c r="B5760" s="1" t="s">
        <v>737</v>
      </c>
      <c r="C5760" s="1" t="str">
        <f>"66298809132255"</f>
        <v>66298809132255</v>
      </c>
      <c r="D5760" s="1" t="str">
        <f>"5RM-H3550-00HB"</f>
        <v>5RM-H3550-00HB</v>
      </c>
      <c r="E5760" s="1" t="s">
        <v>4566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</row>
    <row r="5761" spans="1:11" x14ac:dyDescent="0.2">
      <c r="A5761" s="1" t="s">
        <v>608</v>
      </c>
      <c r="B5761" s="1" t="s">
        <v>737</v>
      </c>
      <c r="C5761" s="1" t="str">
        <f>"5RM-M3550-00HB"</f>
        <v>5RM-M3550-00HB</v>
      </c>
      <c r="D5761" s="1" t="str">
        <f>"5RM-M3550-00HB"</f>
        <v>5RM-M3550-00HB</v>
      </c>
      <c r="E5761" s="1" t="s">
        <v>4566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</row>
    <row r="5762" spans="1:11" x14ac:dyDescent="0.2">
      <c r="A5762" s="1" t="s">
        <v>608</v>
      </c>
      <c r="B5762" s="1" t="s">
        <v>737</v>
      </c>
      <c r="C5762" s="1" t="str">
        <f>"BD010"</f>
        <v>BD010</v>
      </c>
      <c r="D5762" s="1" t="str">
        <f>"BD010"</f>
        <v>BD010</v>
      </c>
      <c r="E5762" s="1" t="s">
        <v>4566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</row>
    <row r="5763" spans="1:11" x14ac:dyDescent="0.2">
      <c r="A5763" s="1" t="s">
        <v>608</v>
      </c>
      <c r="B5763" s="1" t="s">
        <v>738</v>
      </c>
      <c r="C5763" s="1" t="str">
        <f>"66298809213045"</f>
        <v>66298809213045</v>
      </c>
      <c r="D5763" s="1" t="str">
        <f>"5YY-H3550-00HB"</f>
        <v>5YY-H3550-00HB</v>
      </c>
      <c r="E5763" s="1" t="s">
        <v>4566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</row>
    <row r="5764" spans="1:11" x14ac:dyDescent="0.2">
      <c r="A5764" s="1" t="s">
        <v>608</v>
      </c>
      <c r="B5764" s="1" t="s">
        <v>738</v>
      </c>
      <c r="C5764" s="1" t="str">
        <f>"66298809219510"</f>
        <v>66298809219510</v>
      </c>
      <c r="D5764" s="1" t="str">
        <f>"5VL-H3550-12HB"</f>
        <v>5VL-H3550-12HB</v>
      </c>
      <c r="E5764" s="1" t="s">
        <v>4566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</row>
    <row r="5765" spans="1:11" x14ac:dyDescent="0.2">
      <c r="A5765" s="1" t="s">
        <v>608</v>
      </c>
      <c r="B5765" s="1" t="s">
        <v>739</v>
      </c>
      <c r="C5765" s="1" t="str">
        <f>"66298809171408"</f>
        <v>66298809171408</v>
      </c>
      <c r="D5765" s="1" t="str">
        <f>"80355"</f>
        <v>80355</v>
      </c>
      <c r="E5765" s="1" t="s">
        <v>4566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</row>
    <row r="5766" spans="1:11" x14ac:dyDescent="0.2">
      <c r="A5766" s="1" t="s">
        <v>608</v>
      </c>
      <c r="B5766" s="1" t="s">
        <v>740</v>
      </c>
      <c r="C5766" s="1" t="str">
        <f>"66298809280711"</f>
        <v>66298809280711</v>
      </c>
      <c r="D5766" s="1" t="str">
        <f>"400626"</f>
        <v>400626</v>
      </c>
      <c r="E5766" s="1" t="s">
        <v>4566</v>
      </c>
      <c r="F5766" s="1">
        <v>360</v>
      </c>
      <c r="G5766" s="1">
        <v>536</v>
      </c>
      <c r="H5766" s="1">
        <v>192960</v>
      </c>
      <c r="I5766" s="1">
        <v>0</v>
      </c>
      <c r="J5766" s="1">
        <v>360</v>
      </c>
      <c r="K5766" s="1">
        <v>0</v>
      </c>
    </row>
    <row r="5767" spans="1:11" x14ac:dyDescent="0.2">
      <c r="A5767" s="1" t="s">
        <v>608</v>
      </c>
      <c r="B5767" s="1" t="s">
        <v>741</v>
      </c>
      <c r="C5767" s="1" t="str">
        <f>"66298809327437"</f>
        <v>66298809327437</v>
      </c>
      <c r="D5767" s="1" t="str">
        <f>"28291-KR6-000JP"</f>
        <v>28291-KR6-000JP</v>
      </c>
      <c r="E5767" s="1" t="s">
        <v>4566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</row>
    <row r="5768" spans="1:11" x14ac:dyDescent="0.2">
      <c r="A5768" s="1" t="s">
        <v>608</v>
      </c>
      <c r="B5768" s="1" t="s">
        <v>742</v>
      </c>
      <c r="C5768" s="1" t="str">
        <f>"EMB-UNIV"</f>
        <v>EMB-UNIV</v>
      </c>
      <c r="D5768" s="1" t="str">
        <f>"EMB-UNIV"</f>
        <v>EMB-UNIV</v>
      </c>
      <c r="E5768" s="1" t="s">
        <v>4566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</row>
    <row r="5769" spans="1:11" x14ac:dyDescent="0.2">
      <c r="A5769" s="1" t="s">
        <v>608</v>
      </c>
      <c r="B5769" s="1" t="s">
        <v>743</v>
      </c>
      <c r="C5769" s="1" t="str">
        <f>"66298809372747"</f>
        <v>66298809372747</v>
      </c>
      <c r="D5769" s="1" t="str">
        <f>"400595"</f>
        <v>400595</v>
      </c>
      <c r="E5769" s="1" t="s">
        <v>4566</v>
      </c>
      <c r="F5769" s="1">
        <v>59</v>
      </c>
      <c r="G5769" s="1">
        <v>454</v>
      </c>
      <c r="H5769" s="1">
        <v>26786</v>
      </c>
      <c r="I5769" s="1">
        <v>0</v>
      </c>
      <c r="J5769" s="1">
        <v>59</v>
      </c>
      <c r="K5769" s="1">
        <v>0</v>
      </c>
    </row>
    <row r="5770" spans="1:11" x14ac:dyDescent="0.2">
      <c r="A5770" s="1" t="s">
        <v>608</v>
      </c>
      <c r="B5770" s="1" t="s">
        <v>744</v>
      </c>
      <c r="C5770" s="1" t="str">
        <f>"66298809416233"</f>
        <v>66298809416233</v>
      </c>
      <c r="D5770" s="1" t="str">
        <f>"400596"</f>
        <v>400596</v>
      </c>
      <c r="E5770" s="1" t="s">
        <v>4566</v>
      </c>
      <c r="F5770" s="1">
        <v>50</v>
      </c>
      <c r="G5770" s="1">
        <v>572</v>
      </c>
      <c r="H5770" s="1">
        <v>28600</v>
      </c>
      <c r="I5770" s="1">
        <v>0</v>
      </c>
      <c r="J5770" s="1">
        <v>50</v>
      </c>
      <c r="K5770" s="1">
        <v>0</v>
      </c>
    </row>
    <row r="5771" spans="1:11" x14ac:dyDescent="0.2">
      <c r="A5771" s="1" t="s">
        <v>608</v>
      </c>
      <c r="B5771" s="1" t="s">
        <v>745</v>
      </c>
      <c r="C5771" s="1" t="str">
        <f>"66298809457079"</f>
        <v>66298809457079</v>
      </c>
      <c r="D5771" s="1" t="str">
        <f>"400597"</f>
        <v>400597</v>
      </c>
      <c r="E5771" s="1" t="s">
        <v>4566</v>
      </c>
      <c r="F5771" s="1">
        <v>347</v>
      </c>
      <c r="G5771" s="1">
        <v>572</v>
      </c>
      <c r="H5771" s="1">
        <v>198484</v>
      </c>
      <c r="I5771" s="1">
        <v>0</v>
      </c>
      <c r="J5771" s="1">
        <v>347</v>
      </c>
      <c r="K5771" s="1">
        <v>0</v>
      </c>
    </row>
    <row r="5772" spans="1:11" x14ac:dyDescent="0.2">
      <c r="A5772" s="1" t="s">
        <v>608</v>
      </c>
      <c r="B5772" s="1" t="s">
        <v>746</v>
      </c>
      <c r="C5772" s="1" t="str">
        <f>"3081"</f>
        <v>3081</v>
      </c>
      <c r="D5772" s="1" t="str">
        <f>"3081"</f>
        <v>3081</v>
      </c>
      <c r="E5772" s="1" t="s">
        <v>4566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</row>
    <row r="5773" spans="1:11" x14ac:dyDescent="0.2">
      <c r="A5773" s="1" t="s">
        <v>608</v>
      </c>
      <c r="B5773" s="1" t="s">
        <v>746</v>
      </c>
      <c r="C5773" s="1" t="str">
        <f>"BB009"</f>
        <v>BB009</v>
      </c>
      <c r="D5773" s="1" t="str">
        <f>"BB009"</f>
        <v>BB009</v>
      </c>
      <c r="E5773" s="1" t="s">
        <v>4566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</row>
    <row r="5774" spans="1:11" x14ac:dyDescent="0.2">
      <c r="A5774" s="1" t="s">
        <v>608</v>
      </c>
      <c r="B5774" s="1" t="s">
        <v>747</v>
      </c>
      <c r="C5774" s="1" t="str">
        <f>"22870-KSP-B00HB"</f>
        <v>22870-KSP-B00HB</v>
      </c>
      <c r="D5774" s="1" t="str">
        <f>"22870-KSP-B00HB"</f>
        <v>22870-KSP-B00HB</v>
      </c>
      <c r="E5774" s="1" t="s">
        <v>4566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</row>
    <row r="5775" spans="1:11" x14ac:dyDescent="0.2">
      <c r="A5775" s="1" t="s">
        <v>608</v>
      </c>
      <c r="B5775" s="1" t="s">
        <v>747</v>
      </c>
      <c r="C5775" s="1" t="str">
        <f>"22870-KSP-900HB"</f>
        <v>22870-KSP-900HB</v>
      </c>
      <c r="D5775" s="1" t="str">
        <f>"22870-KSP-900HB"</f>
        <v>22870-KSP-900HB</v>
      </c>
      <c r="E5775" s="1" t="s">
        <v>4566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</row>
    <row r="5776" spans="1:11" ht="30" x14ac:dyDescent="0.2">
      <c r="A5776" s="1" t="s">
        <v>608</v>
      </c>
      <c r="B5776" s="1" t="s">
        <v>748</v>
      </c>
      <c r="C5776" s="1" t="str">
        <f>"66298809507929"</f>
        <v>66298809507929</v>
      </c>
      <c r="D5776" s="1" t="str">
        <f>"400235"</f>
        <v>400235</v>
      </c>
      <c r="E5776" s="1" t="s">
        <v>4566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</row>
    <row r="5777" spans="1:11" x14ac:dyDescent="0.2">
      <c r="A5777" s="1" t="s">
        <v>608</v>
      </c>
      <c r="B5777" s="1" t="s">
        <v>749</v>
      </c>
      <c r="C5777" s="1" t="str">
        <f>"66298809547686"</f>
        <v>66298809547686</v>
      </c>
      <c r="D5777" s="1" t="str">
        <f>"22870-KVE-900HB"</f>
        <v>22870-KVE-900HB</v>
      </c>
      <c r="E5777" s="1" t="s">
        <v>4566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</row>
    <row r="5778" spans="1:11" x14ac:dyDescent="0.2">
      <c r="A5778" s="1" t="s">
        <v>608</v>
      </c>
      <c r="B5778" s="1" t="s">
        <v>750</v>
      </c>
      <c r="C5778" s="1" t="str">
        <f>"66298809587110"</f>
        <v>66298809587110</v>
      </c>
      <c r="D5778" s="1" t="str">
        <f>"80345"</f>
        <v>80345</v>
      </c>
      <c r="E5778" s="1" t="s">
        <v>4566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</row>
    <row r="5779" spans="1:11" x14ac:dyDescent="0.2">
      <c r="A5779" s="1" t="s">
        <v>751</v>
      </c>
      <c r="B5779" s="1" t="s">
        <v>752</v>
      </c>
      <c r="C5779" s="1" t="str">
        <f>"58200H2J060H000"</f>
        <v>58200H2J060H000</v>
      </c>
      <c r="D5779" s="1" t="str">
        <f>"58200H2J060H000"</f>
        <v>58200H2J060H000</v>
      </c>
      <c r="E5779" s="1" t="s">
        <v>4566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</row>
    <row r="5780" spans="1:11" x14ac:dyDescent="0.2">
      <c r="A5780" s="1" t="s">
        <v>608</v>
      </c>
      <c r="B5780" s="1" t="s">
        <v>753</v>
      </c>
      <c r="C5780" s="1" t="str">
        <f>"BB012"</f>
        <v>BB012</v>
      </c>
      <c r="D5780" s="1" t="str">
        <f>"BB012"</f>
        <v>BB012</v>
      </c>
      <c r="E5780" s="1" t="s">
        <v>4566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</row>
    <row r="5781" spans="1:11" x14ac:dyDescent="0.2">
      <c r="A5781" s="1" t="s">
        <v>608</v>
      </c>
      <c r="B5781" s="1" t="s">
        <v>754</v>
      </c>
      <c r="C5781" s="1" t="str">
        <f>"66298809627798"</f>
        <v>66298809627798</v>
      </c>
      <c r="D5781" s="1" t="str">
        <f>"400600"</f>
        <v>400600</v>
      </c>
      <c r="E5781" s="1" t="s">
        <v>4566</v>
      </c>
      <c r="F5781" s="1">
        <v>456</v>
      </c>
      <c r="G5781" s="1">
        <v>655</v>
      </c>
      <c r="H5781" s="1">
        <v>298680</v>
      </c>
      <c r="I5781" s="1">
        <v>0</v>
      </c>
      <c r="J5781" s="1">
        <v>456</v>
      </c>
      <c r="K5781" s="1">
        <v>0</v>
      </c>
    </row>
    <row r="5782" spans="1:11" x14ac:dyDescent="0.2">
      <c r="A5782" s="1" t="s">
        <v>608</v>
      </c>
      <c r="B5782" s="1" t="s">
        <v>755</v>
      </c>
      <c r="C5782" s="1" t="str">
        <f>"66298809734447"</f>
        <v>66298809734447</v>
      </c>
      <c r="D5782" s="1" t="str">
        <f>"400594"</f>
        <v>400594</v>
      </c>
      <c r="E5782" s="1" t="s">
        <v>4566</v>
      </c>
      <c r="F5782" s="1">
        <v>280</v>
      </c>
      <c r="G5782" s="1">
        <v>836</v>
      </c>
      <c r="H5782" s="1">
        <v>234080</v>
      </c>
      <c r="I5782" s="1">
        <v>0</v>
      </c>
      <c r="J5782" s="1">
        <v>280</v>
      </c>
      <c r="K5782" s="1">
        <v>0</v>
      </c>
    </row>
    <row r="5783" spans="1:11" x14ac:dyDescent="0.2">
      <c r="A5783" s="1" t="s">
        <v>608</v>
      </c>
      <c r="B5783" s="1" t="s">
        <v>756</v>
      </c>
      <c r="C5783" s="1" t="str">
        <f>"66298809675367"</f>
        <v>66298809675367</v>
      </c>
      <c r="D5783" s="1" t="str">
        <f>"21C-F6335-00HB"</f>
        <v>21C-F6335-00HB</v>
      </c>
      <c r="E5783" s="1" t="s">
        <v>4566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</row>
    <row r="5784" spans="1:11" x14ac:dyDescent="0.2">
      <c r="A5784" s="1" t="s">
        <v>608</v>
      </c>
      <c r="B5784" s="1" t="s">
        <v>756</v>
      </c>
      <c r="C5784" s="1" t="str">
        <f>"66298809680747"</f>
        <v>66298809680747</v>
      </c>
      <c r="D5784" s="1" t="str">
        <f>"82344"</f>
        <v>82344</v>
      </c>
      <c r="E5784" s="1" t="s">
        <v>4566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</row>
    <row r="5785" spans="1:11" x14ac:dyDescent="0.2">
      <c r="A5785" s="1" t="s">
        <v>608</v>
      </c>
      <c r="B5785" s="1" t="s">
        <v>756</v>
      </c>
      <c r="C5785" s="1" t="str">
        <f>"BB002"</f>
        <v>BB002</v>
      </c>
      <c r="D5785" s="1" t="str">
        <f>"BB002"</f>
        <v>BB002</v>
      </c>
      <c r="E5785" s="1" t="s">
        <v>4566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</row>
    <row r="5786" spans="1:11" x14ac:dyDescent="0.2">
      <c r="A5786" s="1" t="s">
        <v>608</v>
      </c>
      <c r="B5786" s="1" t="s">
        <v>757</v>
      </c>
      <c r="C5786" s="1" t="str">
        <f>"66298809777736"</f>
        <v>66298809777736</v>
      </c>
      <c r="D5786" s="1" t="str">
        <f>"400602"</f>
        <v>400602</v>
      </c>
      <c r="E5786" s="1" t="s">
        <v>4566</v>
      </c>
      <c r="F5786" s="1">
        <v>350</v>
      </c>
      <c r="G5786" s="1">
        <v>1181</v>
      </c>
      <c r="H5786" s="1">
        <v>413350</v>
      </c>
      <c r="I5786" s="1">
        <v>0</v>
      </c>
      <c r="J5786" s="1">
        <v>350</v>
      </c>
      <c r="K5786" s="1">
        <v>0</v>
      </c>
    </row>
    <row r="5787" spans="1:11" x14ac:dyDescent="0.2">
      <c r="A5787" s="1" t="s">
        <v>608</v>
      </c>
      <c r="B5787" s="1" t="s">
        <v>758</v>
      </c>
      <c r="C5787" s="1" t="str">
        <f>"BB013"</f>
        <v>BB013</v>
      </c>
      <c r="D5787" s="1" t="str">
        <f>"BB013"</f>
        <v>BB013</v>
      </c>
      <c r="E5787" s="1" t="s">
        <v>4566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</row>
    <row r="5788" spans="1:11" x14ac:dyDescent="0.2">
      <c r="A5788" s="1" t="s">
        <v>608</v>
      </c>
      <c r="B5788" s="1" t="s">
        <v>759</v>
      </c>
      <c r="C5788" s="1" t="str">
        <f>"66298809884183"</f>
        <v>66298809884183</v>
      </c>
      <c r="D5788" s="1" t="str">
        <f>"400603"</f>
        <v>400603</v>
      </c>
      <c r="E5788" s="1" t="s">
        <v>4566</v>
      </c>
      <c r="F5788" s="1">
        <v>350</v>
      </c>
      <c r="G5788" s="1">
        <v>596</v>
      </c>
      <c r="H5788" s="1">
        <v>208600</v>
      </c>
      <c r="I5788" s="1">
        <v>0</v>
      </c>
      <c r="J5788" s="1">
        <v>350</v>
      </c>
      <c r="K5788" s="1">
        <v>0</v>
      </c>
    </row>
    <row r="5789" spans="1:11" x14ac:dyDescent="0.2">
      <c r="A5789" s="1" t="s">
        <v>608</v>
      </c>
      <c r="B5789" s="1" t="s">
        <v>760</v>
      </c>
      <c r="C5789" s="1" t="str">
        <f>"82069"</f>
        <v>82069</v>
      </c>
      <c r="D5789" s="1" t="str">
        <f>"82069"</f>
        <v>82069</v>
      </c>
      <c r="E5789" s="1" t="s">
        <v>4566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</row>
    <row r="5790" spans="1:11" x14ac:dyDescent="0.2">
      <c r="A5790" s="1" t="s">
        <v>608</v>
      </c>
      <c r="B5790" s="1" t="s">
        <v>760</v>
      </c>
      <c r="C5790" s="1" t="str">
        <f>"BB004"</f>
        <v>BB004</v>
      </c>
      <c r="D5790" s="1" t="str">
        <f>"BB004"</f>
        <v>BB004</v>
      </c>
      <c r="E5790" s="1" t="s">
        <v>4566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</row>
    <row r="5791" spans="1:11" x14ac:dyDescent="0.2">
      <c r="A5791" s="1" t="s">
        <v>608</v>
      </c>
      <c r="B5791" s="1" t="s">
        <v>761</v>
      </c>
      <c r="C5791" s="1" t="str">
        <f>"58200-05392"</f>
        <v>58200-05392</v>
      </c>
      <c r="D5791" s="1" t="str">
        <f>"58200-05392"</f>
        <v>58200-05392</v>
      </c>
      <c r="E5791" s="1" t="s">
        <v>4566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</row>
    <row r="5792" spans="1:11" x14ac:dyDescent="0.2">
      <c r="A5792" s="1" t="s">
        <v>608</v>
      </c>
      <c r="B5792" s="1" t="s">
        <v>762</v>
      </c>
      <c r="C5792" s="1" t="str">
        <f>"66298809968674"</f>
        <v>66298809968674</v>
      </c>
      <c r="D5792" s="1" t="str">
        <f>"58200-45F40"</f>
        <v>58200-45F40</v>
      </c>
      <c r="E5792" s="1" t="s">
        <v>4566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</row>
    <row r="5793" spans="1:11" x14ac:dyDescent="0.2">
      <c r="A5793" s="1" t="s">
        <v>608</v>
      </c>
      <c r="B5793" s="1" t="s">
        <v>762</v>
      </c>
      <c r="C5793" s="1" t="str">
        <f>"66298809974690"</f>
        <v>66298809974690</v>
      </c>
      <c r="D5793" s="1" t="str">
        <f>"BC005"</f>
        <v>BC005</v>
      </c>
      <c r="E5793" s="1" t="s">
        <v>4566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</row>
    <row r="5794" spans="1:11" x14ac:dyDescent="0.2">
      <c r="A5794" s="1" t="s">
        <v>608</v>
      </c>
      <c r="B5794" s="1" t="s">
        <v>763</v>
      </c>
      <c r="C5794" s="1" t="str">
        <f>"58200-30H10-000HB"</f>
        <v>58200-30H10-000HB</v>
      </c>
      <c r="D5794" s="1" t="str">
        <f>"58200-30H10-000HB"</f>
        <v>58200-30H10-000HB</v>
      </c>
      <c r="E5794" s="1" t="s">
        <v>4566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</row>
    <row r="5795" spans="1:11" x14ac:dyDescent="0.2">
      <c r="A5795" s="1" t="s">
        <v>608</v>
      </c>
      <c r="B5795" s="1" t="s">
        <v>764</v>
      </c>
      <c r="C5795" s="1" t="str">
        <f>"66298810031353"</f>
        <v>66298810031353</v>
      </c>
      <c r="D5795" s="1" t="str">
        <f>"58200-30H10JP"</f>
        <v>58200-30H10JP</v>
      </c>
      <c r="E5795" s="1" t="s">
        <v>4566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</row>
    <row r="5796" spans="1:11" x14ac:dyDescent="0.2">
      <c r="A5796" s="1" t="s">
        <v>608</v>
      </c>
      <c r="B5796" s="1" t="s">
        <v>765</v>
      </c>
      <c r="C5796" s="1" t="str">
        <f>"BB003"</f>
        <v>BB003</v>
      </c>
      <c r="D5796" s="1" t="str">
        <f>"BB003"</f>
        <v>BB003</v>
      </c>
      <c r="E5796" s="1" t="s">
        <v>4566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</row>
    <row r="5797" spans="1:11" x14ac:dyDescent="0.2">
      <c r="A5797" s="1" t="s">
        <v>608</v>
      </c>
      <c r="B5797" s="1" t="s">
        <v>766</v>
      </c>
      <c r="C5797" s="1" t="str">
        <f>"66298810070750"</f>
        <v>66298810070750</v>
      </c>
      <c r="D5797" s="1" t="str">
        <f>"C089"</f>
        <v>C089</v>
      </c>
      <c r="E5797" s="1" t="s">
        <v>4566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</row>
    <row r="5798" spans="1:11" x14ac:dyDescent="0.2">
      <c r="A5798" s="1" t="s">
        <v>608</v>
      </c>
      <c r="B5798" s="1" t="s">
        <v>767</v>
      </c>
      <c r="C5798" s="1" t="str">
        <f>"66298810113633"</f>
        <v>66298810113633</v>
      </c>
      <c r="D5798" s="1" t="str">
        <f>"400606"</f>
        <v>400606</v>
      </c>
      <c r="E5798" s="1" t="s">
        <v>4566</v>
      </c>
      <c r="F5798" s="1">
        <v>400</v>
      </c>
      <c r="G5798" s="1">
        <v>526</v>
      </c>
      <c r="H5798" s="1">
        <v>210400</v>
      </c>
      <c r="I5798" s="1">
        <v>0</v>
      </c>
      <c r="J5798" s="1">
        <v>400</v>
      </c>
      <c r="K5798" s="1">
        <v>0</v>
      </c>
    </row>
    <row r="5799" spans="1:11" x14ac:dyDescent="0.2">
      <c r="A5799" s="1" t="s">
        <v>608</v>
      </c>
      <c r="B5799" s="1" t="s">
        <v>768</v>
      </c>
      <c r="C5799" s="1" t="str">
        <f>"66298810152167"</f>
        <v>66298810152167</v>
      </c>
      <c r="D5799" s="1" t="str">
        <f>"320240397-0001JP"</f>
        <v>320240397-0001JP</v>
      </c>
      <c r="E5799" s="1" t="s">
        <v>4566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</row>
    <row r="5800" spans="1:11" x14ac:dyDescent="0.2">
      <c r="A5800" s="1" t="s">
        <v>608</v>
      </c>
      <c r="B5800" s="1" t="s">
        <v>769</v>
      </c>
      <c r="C5800" s="1" t="str">
        <f>"66298810191196"</f>
        <v>66298810191196</v>
      </c>
      <c r="D5800" s="1" t="str">
        <f>"7701023704571"</f>
        <v>7701023704571</v>
      </c>
      <c r="E5800" s="1" t="s">
        <v>4566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</row>
    <row r="5801" spans="1:11" x14ac:dyDescent="0.2">
      <c r="A5801" s="1" t="s">
        <v>608</v>
      </c>
      <c r="B5801" s="1" t="s">
        <v>770</v>
      </c>
      <c r="C5801" s="1" t="str">
        <f>"58200H2C000H000"</f>
        <v>58200H2C000H000</v>
      </c>
      <c r="D5801" s="1" t="str">
        <f>"58200H2C000H000"</f>
        <v>58200H2C000H000</v>
      </c>
      <c r="E5801" s="1" t="s">
        <v>4566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</row>
    <row r="5802" spans="1:11" x14ac:dyDescent="0.2">
      <c r="A5802" s="1" t="s">
        <v>608</v>
      </c>
      <c r="B5802" s="1" t="s">
        <v>771</v>
      </c>
      <c r="C5802" s="1" t="str">
        <f>"EMHJ52259"</f>
        <v>EMHJ52259</v>
      </c>
      <c r="D5802" s="1" t="str">
        <f>"EMHJ52259"</f>
        <v>EMHJ52259</v>
      </c>
      <c r="E5802" s="1" t="s">
        <v>4566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</row>
    <row r="5803" spans="1:11" x14ac:dyDescent="0.2">
      <c r="A5803" s="1" t="s">
        <v>608</v>
      </c>
      <c r="B5803" s="1" t="s">
        <v>772</v>
      </c>
      <c r="C5803" s="1" t="str">
        <f>"66298810231939"</f>
        <v>66298810231939</v>
      </c>
      <c r="D5803" s="1" t="str">
        <f>"B04-F6335-00HB"</f>
        <v>B04-F6335-00HB</v>
      </c>
      <c r="E5803" s="1" t="s">
        <v>4566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</row>
    <row r="5804" spans="1:11" x14ac:dyDescent="0.2">
      <c r="A5804" s="1" t="s">
        <v>608</v>
      </c>
      <c r="B5804" s="1" t="s">
        <v>773</v>
      </c>
      <c r="C5804" s="1" t="str">
        <f>"66298810270640"</f>
        <v>66298810270640</v>
      </c>
      <c r="D5804" s="1" t="str">
        <f>"58200H40101H000"</f>
        <v>58200H40101H000</v>
      </c>
      <c r="E5804" s="1" t="s">
        <v>4566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</row>
    <row r="5805" spans="1:11" x14ac:dyDescent="0.2">
      <c r="A5805" s="1" t="s">
        <v>608</v>
      </c>
      <c r="B5805" s="1" t="s">
        <v>774</v>
      </c>
      <c r="C5805" s="1" t="str">
        <f>"22870-KSM-900HB"</f>
        <v>22870-KSM-900HB</v>
      </c>
      <c r="D5805" s="1" t="str">
        <f>"22870-KSM-900HB"</f>
        <v>22870-KSM-900HB</v>
      </c>
      <c r="E5805" s="1" t="s">
        <v>4566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</row>
    <row r="5806" spans="1:11" x14ac:dyDescent="0.2">
      <c r="A5806" s="1" t="s">
        <v>608</v>
      </c>
      <c r="B5806" s="1" t="s">
        <v>775</v>
      </c>
      <c r="C5806" s="1" t="str">
        <f>"66298810352451"</f>
        <v>66298810352451</v>
      </c>
      <c r="D5806" s="1" t="str">
        <f>"DJ-1910-01HB"</f>
        <v>DJ-1910-01HB</v>
      </c>
      <c r="E5806" s="1" t="s">
        <v>4566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</row>
    <row r="5807" spans="1:11" x14ac:dyDescent="0.2">
      <c r="A5807" s="1" t="s">
        <v>608</v>
      </c>
      <c r="B5807" s="1" t="s">
        <v>776</v>
      </c>
      <c r="C5807" s="1" t="str">
        <f>"66298810393230"</f>
        <v>66298810393230</v>
      </c>
      <c r="D5807" s="1" t="str">
        <f>"JF-1612-01HB"</f>
        <v>JF-1612-01HB</v>
      </c>
      <c r="E5807" s="1" t="s">
        <v>4566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</row>
    <row r="5808" spans="1:11" x14ac:dyDescent="0.2">
      <c r="A5808" s="1" t="s">
        <v>608</v>
      </c>
      <c r="B5808" s="1" t="s">
        <v>777</v>
      </c>
      <c r="C5808" s="1" t="str">
        <f>"66298810435386"</f>
        <v>66298810435386</v>
      </c>
      <c r="D5808" s="1" t="str">
        <f>"400608"</f>
        <v>400608</v>
      </c>
      <c r="E5808" s="1" t="s">
        <v>4566</v>
      </c>
      <c r="F5808" s="1">
        <v>425</v>
      </c>
      <c r="G5808" s="1">
        <v>680</v>
      </c>
      <c r="H5808" s="1">
        <v>289000</v>
      </c>
      <c r="I5808" s="1">
        <v>0</v>
      </c>
      <c r="J5808" s="1">
        <v>425</v>
      </c>
      <c r="K5808" s="1">
        <v>0</v>
      </c>
    </row>
    <row r="5809" spans="1:11" x14ac:dyDescent="0.2">
      <c r="A5809" s="1" t="s">
        <v>608</v>
      </c>
      <c r="B5809" s="1" t="s">
        <v>778</v>
      </c>
      <c r="C5809" s="1" t="str">
        <f>"66298810533838"</f>
        <v>66298810533838</v>
      </c>
      <c r="D5809" s="1" t="str">
        <f>"400610"</f>
        <v>400610</v>
      </c>
      <c r="E5809" s="1" t="s">
        <v>4566</v>
      </c>
      <c r="F5809" s="1">
        <v>330</v>
      </c>
      <c r="G5809" s="1">
        <v>695</v>
      </c>
      <c r="H5809" s="1">
        <v>229350</v>
      </c>
      <c r="I5809" s="1">
        <v>0</v>
      </c>
      <c r="J5809" s="1">
        <v>330</v>
      </c>
      <c r="K5809" s="1">
        <v>0</v>
      </c>
    </row>
    <row r="5810" spans="1:11" x14ac:dyDescent="0.2">
      <c r="A5810" s="1" t="s">
        <v>608</v>
      </c>
      <c r="B5810" s="1" t="s">
        <v>779</v>
      </c>
      <c r="C5810" s="1" t="str">
        <f>"66298810477288"</f>
        <v>66298810477288</v>
      </c>
      <c r="D5810" s="1" t="str">
        <f>"83172"</f>
        <v>83172</v>
      </c>
      <c r="E5810" s="1" t="s">
        <v>4566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</row>
    <row r="5811" spans="1:11" x14ac:dyDescent="0.2">
      <c r="A5811" s="1" t="s">
        <v>608</v>
      </c>
      <c r="B5811" s="1" t="s">
        <v>779</v>
      </c>
      <c r="C5811" s="1" t="str">
        <f>"66298810484427"</f>
        <v>66298810484427</v>
      </c>
      <c r="D5811" s="1" t="str">
        <f>"JL-1612-00HB"</f>
        <v>JL-1612-00HB</v>
      </c>
      <c r="E5811" s="1" t="s">
        <v>4566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</row>
    <row r="5812" spans="1:11" x14ac:dyDescent="0.2">
      <c r="A5812" s="1" t="s">
        <v>608</v>
      </c>
      <c r="B5812" s="1" t="s">
        <v>780</v>
      </c>
      <c r="C5812" s="1" t="str">
        <f>"66298810576552"</f>
        <v>66298810576552</v>
      </c>
      <c r="D5812" s="1" t="str">
        <f>"DK-1910-11HB"</f>
        <v>DK-1910-11HB</v>
      </c>
      <c r="E5812" s="1" t="s">
        <v>4566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</row>
    <row r="5813" spans="1:11" x14ac:dyDescent="0.2">
      <c r="A5813" s="1" t="s">
        <v>608</v>
      </c>
      <c r="B5813" s="1" t="s">
        <v>781</v>
      </c>
      <c r="C5813" s="1" t="str">
        <f>"66298810615598"</f>
        <v>66298810615598</v>
      </c>
      <c r="D5813" s="1" t="str">
        <f>"400611"</f>
        <v>400611</v>
      </c>
      <c r="E5813" s="1" t="s">
        <v>4566</v>
      </c>
      <c r="F5813" s="1">
        <v>58</v>
      </c>
      <c r="G5813" s="1">
        <v>643</v>
      </c>
      <c r="H5813" s="1">
        <v>37294</v>
      </c>
      <c r="I5813" s="1">
        <v>0</v>
      </c>
      <c r="J5813" s="1">
        <v>58</v>
      </c>
      <c r="K5813" s="1">
        <v>0</v>
      </c>
    </row>
    <row r="5814" spans="1:11" x14ac:dyDescent="0.2">
      <c r="A5814" s="1" t="s">
        <v>751</v>
      </c>
      <c r="B5814" s="1" t="s">
        <v>782</v>
      </c>
      <c r="C5814" s="1" t="str">
        <f>"EMKD00227"</f>
        <v>EMKD00227</v>
      </c>
      <c r="D5814" s="1" t="str">
        <f>"EMKD00227"</f>
        <v>EMKD00227</v>
      </c>
      <c r="E5814" s="1" t="s">
        <v>4566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</row>
    <row r="5815" spans="1:11" x14ac:dyDescent="0.2">
      <c r="A5815" s="1" t="s">
        <v>608</v>
      </c>
      <c r="B5815" s="1" t="s">
        <v>783</v>
      </c>
      <c r="C5815" s="1" t="str">
        <f>"66298810655662"</f>
        <v>66298810655662</v>
      </c>
      <c r="D5815" s="1" t="str">
        <f>"400239"</f>
        <v>400239</v>
      </c>
      <c r="E5815" s="1" t="s">
        <v>4566</v>
      </c>
      <c r="F5815" s="1">
        <v>45</v>
      </c>
      <c r="G5815" s="1">
        <v>737</v>
      </c>
      <c r="H5815" s="1">
        <v>33165</v>
      </c>
      <c r="I5815" s="1">
        <v>0</v>
      </c>
      <c r="J5815" s="1">
        <v>45</v>
      </c>
      <c r="K5815" s="1">
        <v>0</v>
      </c>
    </row>
    <row r="5816" spans="1:11" x14ac:dyDescent="0.2">
      <c r="A5816" s="1" t="s">
        <v>608</v>
      </c>
      <c r="B5816" s="1" t="s">
        <v>784</v>
      </c>
      <c r="C5816" s="1" t="str">
        <f>"66298810697656"</f>
        <v>66298810697656</v>
      </c>
      <c r="D5816" s="1" t="str">
        <f>"400615"</f>
        <v>400615</v>
      </c>
      <c r="E5816" s="1" t="s">
        <v>4566</v>
      </c>
      <c r="F5816" s="1">
        <v>400</v>
      </c>
      <c r="G5816" s="1">
        <v>499</v>
      </c>
      <c r="H5816" s="1">
        <v>199600</v>
      </c>
      <c r="I5816" s="1">
        <v>0</v>
      </c>
      <c r="J5816" s="1">
        <v>400</v>
      </c>
      <c r="K5816" s="1">
        <v>0</v>
      </c>
    </row>
    <row r="5817" spans="1:11" x14ac:dyDescent="0.2">
      <c r="A5817" s="1" t="s">
        <v>608</v>
      </c>
      <c r="B5817" s="1" t="s">
        <v>785</v>
      </c>
      <c r="C5817" s="1" t="str">
        <f>"66298810754998"</f>
        <v>66298810754998</v>
      </c>
      <c r="D5817" s="1" t="str">
        <f>"58200H37210H000"</f>
        <v>58200H37210H000</v>
      </c>
      <c r="E5817" s="1" t="s">
        <v>4566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</row>
    <row r="5818" spans="1:11" x14ac:dyDescent="0.2">
      <c r="A5818" s="1" t="s">
        <v>608</v>
      </c>
      <c r="B5818" s="1" t="s">
        <v>786</v>
      </c>
      <c r="C5818" s="1" t="str">
        <f>"BB007"</f>
        <v>BB007</v>
      </c>
      <c r="D5818" s="1" t="str">
        <f>"BB007"</f>
        <v>BB007</v>
      </c>
      <c r="E5818" s="1" t="s">
        <v>4566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</row>
    <row r="5819" spans="1:11" x14ac:dyDescent="0.2">
      <c r="A5819" s="1" t="s">
        <v>608</v>
      </c>
      <c r="B5819" s="1" t="s">
        <v>787</v>
      </c>
      <c r="C5819" s="1" t="str">
        <f>"66298810802359"</f>
        <v>66298810802359</v>
      </c>
      <c r="D5819" s="1" t="str">
        <f>"400617"</f>
        <v>400617</v>
      </c>
      <c r="E5819" s="1" t="s">
        <v>4566</v>
      </c>
      <c r="F5819" s="1">
        <v>420</v>
      </c>
      <c r="G5819" s="1">
        <v>516</v>
      </c>
      <c r="H5819" s="1">
        <v>216720</v>
      </c>
      <c r="I5819" s="1">
        <v>0</v>
      </c>
      <c r="J5819" s="1">
        <v>420</v>
      </c>
      <c r="K5819" s="1">
        <v>0</v>
      </c>
    </row>
    <row r="5820" spans="1:11" x14ac:dyDescent="0.2">
      <c r="A5820" s="1" t="s">
        <v>608</v>
      </c>
      <c r="B5820" s="1" t="s">
        <v>788</v>
      </c>
      <c r="C5820" s="1" t="str">
        <f>"66298810894726"</f>
        <v>66298810894726</v>
      </c>
      <c r="D5820" s="1" t="str">
        <f>"400618"</f>
        <v>400618</v>
      </c>
      <c r="E5820" s="1" t="s">
        <v>4566</v>
      </c>
      <c r="F5820" s="1">
        <v>340</v>
      </c>
      <c r="G5820" s="1">
        <v>529</v>
      </c>
      <c r="H5820" s="1">
        <v>179860</v>
      </c>
      <c r="I5820" s="1">
        <v>0</v>
      </c>
      <c r="J5820" s="1">
        <v>340</v>
      </c>
      <c r="K5820" s="1">
        <v>0</v>
      </c>
    </row>
    <row r="5821" spans="1:11" x14ac:dyDescent="0.2">
      <c r="A5821" s="1" t="s">
        <v>608</v>
      </c>
      <c r="B5821" s="1" t="s">
        <v>789</v>
      </c>
      <c r="C5821" s="1" t="str">
        <f>"66298810844920"</f>
        <v>66298810844920</v>
      </c>
      <c r="D5821" s="1" t="str">
        <f>"22870-KRH-780"</f>
        <v>22870-KRH-780</v>
      </c>
      <c r="E5821" s="1" t="s">
        <v>4566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</row>
    <row r="5822" spans="1:11" x14ac:dyDescent="0.2">
      <c r="A5822" s="1" t="s">
        <v>608</v>
      </c>
      <c r="B5822" s="1" t="s">
        <v>789</v>
      </c>
      <c r="C5822" s="1" t="str">
        <f>"BB017"</f>
        <v>BB017</v>
      </c>
      <c r="D5822" s="1" t="str">
        <f>"BB017"</f>
        <v>BB017</v>
      </c>
      <c r="E5822" s="1" t="s">
        <v>4566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</row>
    <row r="5823" spans="1:11" x14ac:dyDescent="0.2">
      <c r="A5823" s="1" t="s">
        <v>608</v>
      </c>
      <c r="B5823" s="1" t="s">
        <v>790</v>
      </c>
      <c r="C5823" s="1" t="str">
        <f>"66298810933620"</f>
        <v>66298810933620</v>
      </c>
      <c r="D5823" s="1" t="str">
        <f>"400619"</f>
        <v>400619</v>
      </c>
      <c r="E5823" s="1" t="s">
        <v>4566</v>
      </c>
      <c r="F5823" s="1">
        <v>350</v>
      </c>
      <c r="G5823" s="1">
        <v>562</v>
      </c>
      <c r="H5823" s="1">
        <v>196700</v>
      </c>
      <c r="I5823" s="1">
        <v>0</v>
      </c>
      <c r="J5823" s="1">
        <v>350</v>
      </c>
      <c r="K5823" s="1">
        <v>0</v>
      </c>
    </row>
    <row r="5824" spans="1:11" x14ac:dyDescent="0.2">
      <c r="A5824" s="1" t="s">
        <v>608</v>
      </c>
      <c r="B5824" s="1" t="s">
        <v>791</v>
      </c>
      <c r="C5824" s="1" t="str">
        <f>"BB018"</f>
        <v>BB018</v>
      </c>
      <c r="D5824" s="1" t="str">
        <f>"BB018"</f>
        <v>BB018</v>
      </c>
      <c r="E5824" s="1" t="s">
        <v>4566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</row>
    <row r="5825" spans="1:11" x14ac:dyDescent="0.2">
      <c r="A5825" s="1" t="s">
        <v>608</v>
      </c>
      <c r="B5825" s="1" t="s">
        <v>792</v>
      </c>
      <c r="C5825" s="1" t="str">
        <f>"66298810972151"</f>
        <v>66298810972151</v>
      </c>
      <c r="D5825" s="1" t="str">
        <f>"22870-KBB-900BR"</f>
        <v>22870-KBB-900BR</v>
      </c>
      <c r="E5825" s="1" t="s">
        <v>4566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</row>
    <row r="5826" spans="1:11" x14ac:dyDescent="0.2">
      <c r="A5826" s="1" t="s">
        <v>608</v>
      </c>
      <c r="B5826" s="1" t="s">
        <v>793</v>
      </c>
      <c r="C5826" s="1" t="str">
        <f>"66298811059491"</f>
        <v>66298811059491</v>
      </c>
      <c r="D5826" s="1" t="str">
        <f>"400620"</f>
        <v>400620</v>
      </c>
      <c r="E5826" s="1" t="s">
        <v>4566</v>
      </c>
      <c r="F5826" s="1">
        <v>390</v>
      </c>
      <c r="G5826" s="1">
        <v>562</v>
      </c>
      <c r="H5826" s="1">
        <v>219180</v>
      </c>
      <c r="I5826" s="1">
        <v>0</v>
      </c>
      <c r="J5826" s="1">
        <v>390</v>
      </c>
      <c r="K5826" s="1">
        <v>0</v>
      </c>
    </row>
    <row r="5827" spans="1:11" x14ac:dyDescent="0.2">
      <c r="A5827" s="1" t="s">
        <v>608</v>
      </c>
      <c r="B5827" s="1" t="s">
        <v>794</v>
      </c>
      <c r="C5827" s="1" t="str">
        <f>"66298811015606"</f>
        <v>66298811015606</v>
      </c>
      <c r="D5827" s="1" t="str">
        <f>"22870-KPF-900BR"</f>
        <v>22870-KPF-900BR</v>
      </c>
      <c r="E5827" s="1" t="s">
        <v>4566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</row>
    <row r="5828" spans="1:11" x14ac:dyDescent="0.2">
      <c r="A5828" s="1" t="s">
        <v>608</v>
      </c>
      <c r="B5828" s="1" t="s">
        <v>795</v>
      </c>
      <c r="C5828" s="1" t="str">
        <f>"66298811104425"</f>
        <v>66298811104425</v>
      </c>
      <c r="D5828" s="1" t="str">
        <f>"22870-KPE-870JP"</f>
        <v>22870-KPE-870JP</v>
      </c>
      <c r="E5828" s="1" t="s">
        <v>4566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</row>
    <row r="5829" spans="1:11" x14ac:dyDescent="0.2">
      <c r="A5829" s="1" t="s">
        <v>608</v>
      </c>
      <c r="B5829" s="1" t="s">
        <v>796</v>
      </c>
      <c r="C5829" s="1" t="str">
        <f>"66298811147623"</f>
        <v>66298811147623</v>
      </c>
      <c r="D5829" s="1" t="str">
        <f>"22870-KWT-700HB"</f>
        <v>22870-KWT-700HB</v>
      </c>
      <c r="E5829" s="1" t="s">
        <v>4566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</row>
    <row r="5830" spans="1:11" x14ac:dyDescent="0.2">
      <c r="A5830" s="1" t="s">
        <v>608</v>
      </c>
      <c r="B5830" s="1" t="s">
        <v>796</v>
      </c>
      <c r="C5830" s="1" t="str">
        <f>"66298811186726"</f>
        <v>66298811186726</v>
      </c>
      <c r="D5830" s="1" t="str">
        <f>"22870-KWT-900BR"</f>
        <v>22870-KWT-900BR</v>
      </c>
      <c r="E5830" s="1" t="s">
        <v>4566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</row>
    <row r="5831" spans="1:11" x14ac:dyDescent="0.2">
      <c r="A5831" s="1" t="s">
        <v>608</v>
      </c>
      <c r="B5831" s="1" t="s">
        <v>797</v>
      </c>
      <c r="C5831" s="1" t="str">
        <f>"4B4-26335-00HB"</f>
        <v>4B4-26335-00HB</v>
      </c>
      <c r="D5831" s="1" t="str">
        <f>"4B4-26335-00HB"</f>
        <v>4B4-26335-00HB</v>
      </c>
      <c r="E5831" s="1" t="s">
        <v>4566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</row>
    <row r="5832" spans="1:11" x14ac:dyDescent="0.2">
      <c r="A5832" s="1" t="s">
        <v>608</v>
      </c>
      <c r="B5832" s="1" t="s">
        <v>798</v>
      </c>
      <c r="C5832" s="1" t="str">
        <f>"BB006"</f>
        <v>BB006</v>
      </c>
      <c r="D5832" s="1" t="str">
        <f>"BB006"</f>
        <v>BB006</v>
      </c>
      <c r="E5832" s="1" t="s">
        <v>4566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</row>
    <row r="5833" spans="1:11" x14ac:dyDescent="0.2">
      <c r="A5833" s="1" t="s">
        <v>608</v>
      </c>
      <c r="B5833" s="1" t="s">
        <v>799</v>
      </c>
      <c r="C5833" s="1" t="str">
        <f>"2180"</f>
        <v>2180</v>
      </c>
      <c r="D5833" s="1" t="str">
        <f>"2180"</f>
        <v>2180</v>
      </c>
      <c r="E5833" s="1" t="s">
        <v>4566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</row>
    <row r="5834" spans="1:11" x14ac:dyDescent="0.2">
      <c r="A5834" s="1" t="s">
        <v>608</v>
      </c>
      <c r="B5834" s="1" t="s">
        <v>800</v>
      </c>
      <c r="C5834" s="1" t="str">
        <f>"251"</f>
        <v>251</v>
      </c>
      <c r="D5834" s="1" t="str">
        <f>"251"</f>
        <v>251</v>
      </c>
      <c r="E5834" s="1" t="s">
        <v>4566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</row>
    <row r="5835" spans="1:11" x14ac:dyDescent="0.2">
      <c r="A5835" s="1" t="s">
        <v>608</v>
      </c>
      <c r="B5835" s="1" t="s">
        <v>801</v>
      </c>
      <c r="C5835" s="1" t="str">
        <f>"9638"</f>
        <v>9638</v>
      </c>
      <c r="D5835" s="1" t="str">
        <f>"9638"</f>
        <v>9638</v>
      </c>
      <c r="E5835" s="1" t="s">
        <v>4566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</row>
    <row r="5836" spans="1:11" x14ac:dyDescent="0.2">
      <c r="A5836" s="1" t="s">
        <v>608</v>
      </c>
      <c r="B5836" s="1" t="s">
        <v>802</v>
      </c>
      <c r="C5836" s="1" t="str">
        <f>"66298811266467"</f>
        <v>66298811266467</v>
      </c>
      <c r="D5836" s="1" t="str">
        <f>"82071"</f>
        <v>82071</v>
      </c>
      <c r="E5836" s="1" t="s">
        <v>4566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</row>
    <row r="5837" spans="1:11" x14ac:dyDescent="0.2">
      <c r="A5837" s="1" t="s">
        <v>608</v>
      </c>
      <c r="B5837" s="1" t="s">
        <v>803</v>
      </c>
      <c r="C5837" s="1" t="str">
        <f>"66298811306083"</f>
        <v>66298811306083</v>
      </c>
      <c r="D5837" s="1" t="str">
        <f>"82074"</f>
        <v>82074</v>
      </c>
      <c r="E5837" s="1" t="s">
        <v>4566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</row>
    <row r="5838" spans="1:11" x14ac:dyDescent="0.2">
      <c r="A5838" s="1" t="s">
        <v>608</v>
      </c>
      <c r="B5838" s="1" t="s">
        <v>804</v>
      </c>
      <c r="C5838" s="1" t="str">
        <f>"BE004"</f>
        <v>BE004</v>
      </c>
      <c r="D5838" s="1" t="str">
        <f>"BE004"</f>
        <v>BE004</v>
      </c>
      <c r="E5838" s="1" t="s">
        <v>4566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</row>
    <row r="5839" spans="1:11" x14ac:dyDescent="0.2">
      <c r="A5839" s="1" t="s">
        <v>608</v>
      </c>
      <c r="B5839" s="1" t="s">
        <v>805</v>
      </c>
      <c r="C5839" s="1" t="str">
        <f>"BE002"</f>
        <v>BE002</v>
      </c>
      <c r="D5839" s="1" t="str">
        <f>"BE002"</f>
        <v>BE002</v>
      </c>
      <c r="E5839" s="1" t="s">
        <v>4566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</row>
    <row r="5840" spans="1:11" x14ac:dyDescent="0.2">
      <c r="A5840" s="1" t="s">
        <v>608</v>
      </c>
      <c r="B5840" s="1" t="s">
        <v>806</v>
      </c>
      <c r="C5840" s="1" t="str">
        <f>"66298811349272"</f>
        <v>66298811349272</v>
      </c>
      <c r="D5840" s="1" t="str">
        <f>"400592"</f>
        <v>400592</v>
      </c>
      <c r="E5840" s="1" t="s">
        <v>4566</v>
      </c>
      <c r="F5840" s="1">
        <v>380</v>
      </c>
      <c r="G5840" s="1">
        <v>803</v>
      </c>
      <c r="H5840" s="1">
        <v>305140</v>
      </c>
      <c r="I5840" s="1">
        <v>0</v>
      </c>
      <c r="J5840" s="1">
        <v>380</v>
      </c>
      <c r="K5840" s="1">
        <v>0</v>
      </c>
    </row>
    <row r="5841" spans="1:11" x14ac:dyDescent="0.2">
      <c r="A5841" s="1" t="s">
        <v>608</v>
      </c>
      <c r="B5841" s="1" t="s">
        <v>807</v>
      </c>
      <c r="C5841" s="1" t="str">
        <f>"66298811388842"</f>
        <v>66298811388842</v>
      </c>
      <c r="D5841" s="1" t="str">
        <f>"58510-33GE1-000"</f>
        <v>58510-33GE1-000</v>
      </c>
      <c r="E5841" s="1" t="s">
        <v>4566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</row>
    <row r="5842" spans="1:11" x14ac:dyDescent="0.2">
      <c r="A5842" s="1" t="s">
        <v>18</v>
      </c>
      <c r="B5842" s="1" t="s">
        <v>808</v>
      </c>
      <c r="C5842" s="1" t="str">
        <f>"LX1254-CASW"</f>
        <v>LX1254-CASW</v>
      </c>
      <c r="D5842" s="1" t="str">
        <f>"LX1254-CASW"</f>
        <v>LX1254-CASW</v>
      </c>
      <c r="E5842" s="1" t="s">
        <v>4566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</row>
    <row r="5843" spans="1:11" x14ac:dyDescent="0.2">
      <c r="A5843" s="1" t="s">
        <v>608</v>
      </c>
      <c r="B5843" s="1" t="s">
        <v>809</v>
      </c>
      <c r="C5843" s="1" t="str">
        <f>"BD005"</f>
        <v>BD005</v>
      </c>
      <c r="D5843" s="1" t="str">
        <f>"BD005"</f>
        <v>BD005</v>
      </c>
      <c r="E5843" s="1" t="s">
        <v>4566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</row>
    <row r="5844" spans="1:11" x14ac:dyDescent="0.2">
      <c r="A5844" s="1" t="s">
        <v>608</v>
      </c>
      <c r="B5844" s="1" t="s">
        <v>810</v>
      </c>
      <c r="C5844" s="1" t="str">
        <f>"66298811469496"</f>
        <v>66298811469496</v>
      </c>
      <c r="D5844" s="1" t="str">
        <f>"400647"</f>
        <v>400647</v>
      </c>
      <c r="E5844" s="1" t="s">
        <v>4566</v>
      </c>
      <c r="F5844" s="1">
        <v>450</v>
      </c>
      <c r="G5844" s="1">
        <v>404</v>
      </c>
      <c r="H5844" s="1">
        <v>181800</v>
      </c>
      <c r="I5844" s="1">
        <v>0</v>
      </c>
      <c r="J5844" s="1">
        <v>450</v>
      </c>
      <c r="K5844" s="1">
        <v>0</v>
      </c>
    </row>
    <row r="5845" spans="1:11" x14ac:dyDescent="0.2">
      <c r="A5845" s="1" t="s">
        <v>608</v>
      </c>
      <c r="B5845" s="1" t="s">
        <v>811</v>
      </c>
      <c r="C5845" s="1" t="str">
        <f>"34940-05380"</f>
        <v>34940-05380</v>
      </c>
      <c r="D5845" s="1" t="str">
        <f>"34940-05380"</f>
        <v>34940-05380</v>
      </c>
      <c r="E5845" s="1" t="s">
        <v>4566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</row>
    <row r="5846" spans="1:11" x14ac:dyDescent="0.2">
      <c r="A5846" s="1" t="s">
        <v>608</v>
      </c>
      <c r="B5846" s="1" t="s">
        <v>812</v>
      </c>
      <c r="C5846" s="1" t="str">
        <f>"1175"</f>
        <v>1175</v>
      </c>
      <c r="D5846" s="1" t="str">
        <f>"1175"</f>
        <v>1175</v>
      </c>
      <c r="E5846" s="1" t="s">
        <v>4566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</row>
    <row r="5847" spans="1:11" x14ac:dyDescent="0.2">
      <c r="A5847" s="1" t="s">
        <v>608</v>
      </c>
      <c r="B5847" s="1" t="s">
        <v>813</v>
      </c>
      <c r="C5847" s="1" t="str">
        <f>"1052"</f>
        <v>1052</v>
      </c>
      <c r="D5847" s="1" t="str">
        <f>"1052"</f>
        <v>1052</v>
      </c>
      <c r="E5847" s="1" t="s">
        <v>4566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</row>
    <row r="5848" spans="1:11" x14ac:dyDescent="0.2">
      <c r="A5848" s="1" t="s">
        <v>608</v>
      </c>
      <c r="B5848" s="1" t="s">
        <v>814</v>
      </c>
      <c r="C5848" s="1" t="str">
        <f>"66298811554150"</f>
        <v>66298811554150</v>
      </c>
      <c r="D5848" s="1" t="str">
        <f>"84904"</f>
        <v>84904</v>
      </c>
      <c r="E5848" s="1" t="s">
        <v>4566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</row>
    <row r="5849" spans="1:11" x14ac:dyDescent="0.2">
      <c r="A5849" s="1" t="s">
        <v>608</v>
      </c>
      <c r="B5849" s="1" t="s">
        <v>815</v>
      </c>
      <c r="C5849" s="1" t="str">
        <f>"66298811592029"</f>
        <v>66298811592029</v>
      </c>
      <c r="D5849" s="1" t="str">
        <f>"82838"</f>
        <v>82838</v>
      </c>
      <c r="E5849" s="1" t="s">
        <v>4566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</row>
    <row r="5850" spans="1:11" x14ac:dyDescent="0.2">
      <c r="A5850" s="1" t="s">
        <v>816</v>
      </c>
      <c r="B5850" s="1" t="s">
        <v>817</v>
      </c>
      <c r="C5850" s="1" t="str">
        <f>"66298811632096"</f>
        <v>66298811632096</v>
      </c>
      <c r="D5850" s="1" t="str">
        <f>"VD05FP"</f>
        <v>VD05FP</v>
      </c>
      <c r="E5850" s="1" t="s">
        <v>4566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</row>
    <row r="5851" spans="1:11" x14ac:dyDescent="0.2">
      <c r="A5851" s="1" t="s">
        <v>816</v>
      </c>
      <c r="B5851" s="1" t="s">
        <v>818</v>
      </c>
      <c r="C5851" s="1" t="str">
        <f>"66298811674841"</f>
        <v>66298811674841</v>
      </c>
      <c r="D5851" s="1" t="str">
        <f>"49CC11"</f>
        <v>49CC11</v>
      </c>
      <c r="E5851" s="1" t="s">
        <v>4566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</row>
    <row r="5852" spans="1:11" x14ac:dyDescent="0.2">
      <c r="A5852" s="1" t="s">
        <v>816</v>
      </c>
      <c r="B5852" s="1" t="s">
        <v>819</v>
      </c>
      <c r="C5852" s="1" t="str">
        <f>"80990"</f>
        <v>80990</v>
      </c>
      <c r="D5852" s="1" t="str">
        <f>"80990"</f>
        <v>80990</v>
      </c>
      <c r="E5852" s="1" t="s">
        <v>4566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</row>
    <row r="5853" spans="1:11" x14ac:dyDescent="0.2">
      <c r="A5853" s="1" t="s">
        <v>816</v>
      </c>
      <c r="B5853" s="1" t="s">
        <v>819</v>
      </c>
      <c r="C5853" s="1" t="str">
        <f>"LA001"</f>
        <v>LA001</v>
      </c>
      <c r="D5853" s="1" t="str">
        <f>"LA001"</f>
        <v>LA001</v>
      </c>
      <c r="E5853" s="1" t="s">
        <v>4566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</row>
    <row r="5854" spans="1:11" x14ac:dyDescent="0.2">
      <c r="A5854" s="1" t="s">
        <v>816</v>
      </c>
      <c r="B5854" s="1" t="s">
        <v>820</v>
      </c>
      <c r="C5854" s="1" t="str">
        <f>"66298811773631"</f>
        <v>66298811773631</v>
      </c>
      <c r="D5854" s="1" t="str">
        <f>"80991"</f>
        <v>80991</v>
      </c>
      <c r="E5854" s="1" t="s">
        <v>4566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</row>
    <row r="5855" spans="1:11" x14ac:dyDescent="0.2">
      <c r="A5855" s="1" t="s">
        <v>816</v>
      </c>
      <c r="B5855" s="1" t="s">
        <v>821</v>
      </c>
      <c r="C5855" s="1" t="str">
        <f>"JG351201"</f>
        <v>JG351201</v>
      </c>
      <c r="D5855" s="1" t="str">
        <f>"JG351201"</f>
        <v>JG351201</v>
      </c>
      <c r="E5855" s="1" t="s">
        <v>4566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</row>
    <row r="5856" spans="1:11" x14ac:dyDescent="0.2">
      <c r="A5856" s="1" t="s">
        <v>816</v>
      </c>
      <c r="B5856" s="1" t="s">
        <v>822</v>
      </c>
      <c r="C5856" s="1" t="str">
        <f>"66298811814785"</f>
        <v>66298811814785</v>
      </c>
      <c r="D5856" s="1" t="str">
        <f>"LA004"</f>
        <v>LA004</v>
      </c>
      <c r="E5856" s="1" t="s">
        <v>4566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</row>
    <row r="5857" spans="1:11" x14ac:dyDescent="0.2">
      <c r="A5857" s="1" t="s">
        <v>816</v>
      </c>
      <c r="B5857" s="1" t="s">
        <v>823</v>
      </c>
      <c r="C5857" s="1" t="str">
        <f>"LA003"</f>
        <v>LA003</v>
      </c>
      <c r="D5857" s="1" t="str">
        <f>"LA003"</f>
        <v>LA003</v>
      </c>
      <c r="E5857" s="1" t="s">
        <v>4566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</row>
    <row r="5858" spans="1:11" x14ac:dyDescent="0.2">
      <c r="A5858" s="1" t="s">
        <v>816</v>
      </c>
      <c r="B5858" s="1" t="s">
        <v>824</v>
      </c>
      <c r="C5858" s="1" t="str">
        <f>"66298811894055"</f>
        <v>66298811894055</v>
      </c>
      <c r="D5858" s="1" t="str">
        <f>"80988"</f>
        <v>80988</v>
      </c>
      <c r="E5858" s="1" t="s">
        <v>4566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</row>
    <row r="5859" spans="1:11" x14ac:dyDescent="0.2">
      <c r="A5859" s="1" t="s">
        <v>816</v>
      </c>
      <c r="B5859" s="1" t="s">
        <v>825</v>
      </c>
      <c r="C5859" s="1" t="str">
        <f>"LA005"</f>
        <v>LA005</v>
      </c>
      <c r="D5859" s="1" t="str">
        <f>"LA005"</f>
        <v>LA005</v>
      </c>
      <c r="E5859" s="1" t="s">
        <v>4566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</row>
    <row r="5860" spans="1:11" x14ac:dyDescent="0.2">
      <c r="A5860" s="1" t="s">
        <v>816</v>
      </c>
      <c r="B5860" s="1" t="s">
        <v>826</v>
      </c>
      <c r="C5860" s="1" t="str">
        <f>"66298811968765"</f>
        <v>66298811968765</v>
      </c>
      <c r="D5860" s="1" t="str">
        <f>"CACHIMBA-NARANJA"</f>
        <v>CACHIMBA-NARANJA</v>
      </c>
      <c r="E5860" s="1" t="s">
        <v>4566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</row>
    <row r="5861" spans="1:11" x14ac:dyDescent="0.2">
      <c r="A5861" s="1" t="s">
        <v>816</v>
      </c>
      <c r="B5861" s="1" t="s">
        <v>826</v>
      </c>
      <c r="C5861" s="1" t="str">
        <f>"66298811974170"</f>
        <v>66298811974170</v>
      </c>
      <c r="D5861" s="1" t="str">
        <f>"CACHIMBA-VERDE"</f>
        <v>CACHIMBA-VERDE</v>
      </c>
      <c r="E5861" s="1" t="s">
        <v>4566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</row>
    <row r="5862" spans="1:11" x14ac:dyDescent="0.2">
      <c r="A5862" s="1" t="s">
        <v>816</v>
      </c>
      <c r="B5862" s="1" t="s">
        <v>826</v>
      </c>
      <c r="C5862" s="1" t="str">
        <f>"66298811981610"</f>
        <v>66298811981610</v>
      </c>
      <c r="D5862" s="1" t="str">
        <f>"CACHIMBA-AZUL"</f>
        <v>CACHIMBA-AZUL</v>
      </c>
      <c r="E5862" s="1" t="s">
        <v>4566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</row>
    <row r="5863" spans="1:11" x14ac:dyDescent="0.2">
      <c r="A5863" s="1" t="s">
        <v>816</v>
      </c>
      <c r="B5863" s="1" t="s">
        <v>827</v>
      </c>
      <c r="C5863" s="1" t="str">
        <f>"66298812047511"</f>
        <v>66298812047511</v>
      </c>
      <c r="D5863" s="1" t="str">
        <f>"80992"</f>
        <v>80992</v>
      </c>
      <c r="E5863" s="1" t="s">
        <v>4566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</row>
    <row r="5864" spans="1:11" x14ac:dyDescent="0.2">
      <c r="A5864" s="1" t="s">
        <v>816</v>
      </c>
      <c r="B5864" s="1" t="s">
        <v>828</v>
      </c>
      <c r="C5864" s="1" t="str">
        <f>"66298812087861"</f>
        <v>66298812087861</v>
      </c>
      <c r="D5864" s="1" t="str">
        <f>"20P-H2370-01"</f>
        <v>20P-H2370-01</v>
      </c>
      <c r="E5864" s="1" t="s">
        <v>4566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</row>
    <row r="5865" spans="1:11" x14ac:dyDescent="0.2">
      <c r="A5865" s="1" t="s">
        <v>816</v>
      </c>
      <c r="B5865" s="1" t="s">
        <v>828</v>
      </c>
      <c r="C5865" s="1" t="str">
        <f>"66298812131413"</f>
        <v>66298812131413</v>
      </c>
      <c r="D5865" s="1" t="str">
        <f>"LA002"</f>
        <v>LA002</v>
      </c>
      <c r="E5865" s="1" t="s">
        <v>4566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</row>
    <row r="5866" spans="1:11" x14ac:dyDescent="0.2">
      <c r="A5866" s="1" t="s">
        <v>829</v>
      </c>
      <c r="B5866" s="1" t="s">
        <v>830</v>
      </c>
      <c r="C5866" s="1" t="str">
        <f>"420-110JPNPC"</f>
        <v>420-110JPNPC</v>
      </c>
      <c r="D5866" s="1" t="str">
        <f>"420-110JPNPC"</f>
        <v>420-110JPNPC</v>
      </c>
      <c r="E5866" s="1" t="s">
        <v>4566</v>
      </c>
      <c r="F5866" s="1">
        <v>10</v>
      </c>
      <c r="G5866" s="1">
        <v>4312</v>
      </c>
      <c r="H5866" s="1">
        <v>43120</v>
      </c>
      <c r="I5866" s="1">
        <v>0</v>
      </c>
      <c r="J5866" s="1">
        <v>10</v>
      </c>
      <c r="K5866" s="1">
        <v>0</v>
      </c>
    </row>
    <row r="5867" spans="1:11" x14ac:dyDescent="0.2">
      <c r="A5867" s="1" t="s">
        <v>829</v>
      </c>
      <c r="B5867" s="1" t="s">
        <v>831</v>
      </c>
      <c r="C5867" s="1" t="str">
        <f>"66298812174145"</f>
        <v>66298812174145</v>
      </c>
      <c r="D5867" s="1" t="str">
        <f>"420-126CHOHO"</f>
        <v>420-126CHOHO</v>
      </c>
      <c r="E5867" s="1" t="s">
        <v>4566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</row>
    <row r="5868" spans="1:11" x14ac:dyDescent="0.2">
      <c r="A5868" s="1" t="s">
        <v>829</v>
      </c>
      <c r="B5868" s="1" t="s">
        <v>832</v>
      </c>
      <c r="C5868" s="1" t="str">
        <f>"428H-110JPNPC"</f>
        <v>428H-110JPNPC</v>
      </c>
      <c r="D5868" s="1" t="str">
        <f>"428H-110JPNPC"</f>
        <v>428H-110JPNPC</v>
      </c>
      <c r="E5868" s="1" t="s">
        <v>4566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</row>
    <row r="5869" spans="1:11" x14ac:dyDescent="0.2">
      <c r="A5869" s="1" t="s">
        <v>829</v>
      </c>
      <c r="B5869" s="1" t="s">
        <v>833</v>
      </c>
      <c r="C5869" s="1" t="str">
        <f>"428H-120JPNPC"</f>
        <v>428H-120JPNPC</v>
      </c>
      <c r="D5869" s="1" t="str">
        <f>"428H-120JPNPC"</f>
        <v>428H-120JPNPC</v>
      </c>
      <c r="E5869" s="1" t="s">
        <v>4566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</row>
    <row r="5870" spans="1:11" x14ac:dyDescent="0.2">
      <c r="A5870" s="1" t="s">
        <v>829</v>
      </c>
      <c r="B5870" s="1" t="s">
        <v>834</v>
      </c>
      <c r="C5870" s="1" t="str">
        <f>"428H-124JPNPC"</f>
        <v>428H-124JPNPC</v>
      </c>
      <c r="D5870" s="1" t="str">
        <f>"428H-124JPNPC"</f>
        <v>428H-124JPNPC</v>
      </c>
      <c r="E5870" s="1" t="s">
        <v>4566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</row>
    <row r="5871" spans="1:11" x14ac:dyDescent="0.2">
      <c r="A5871" s="1" t="s">
        <v>829</v>
      </c>
      <c r="B5871" s="1" t="s">
        <v>835</v>
      </c>
      <c r="C5871" s="1" t="str">
        <f>"428H-132JPNPC"</f>
        <v>428H-132JPNPC</v>
      </c>
      <c r="D5871" s="1" t="str">
        <f>"428H-132JPNPC"</f>
        <v>428H-132JPNPC</v>
      </c>
      <c r="E5871" s="1" t="s">
        <v>4566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</row>
    <row r="5872" spans="1:11" x14ac:dyDescent="0.2">
      <c r="A5872" s="1" t="s">
        <v>829</v>
      </c>
      <c r="B5872" s="1" t="s">
        <v>836</v>
      </c>
      <c r="C5872" s="1" t="str">
        <f>"428H-134JP-DID"</f>
        <v>428H-134JP-DID</v>
      </c>
      <c r="D5872" s="1" t="str">
        <f>"428H-134JP-DID"</f>
        <v>428H-134JP-DID</v>
      </c>
      <c r="E5872" s="1" t="s">
        <v>4566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</row>
    <row r="5873" spans="1:11" x14ac:dyDescent="0.2">
      <c r="A5873" s="1" t="s">
        <v>829</v>
      </c>
      <c r="B5873" s="1" t="s">
        <v>837</v>
      </c>
      <c r="C5873" s="1" t="str">
        <f>"428H-140L-RF-DR"</f>
        <v>428H-140L-RF-DR</v>
      </c>
      <c r="D5873" s="1" t="str">
        <f>"428H-140L-RF-DR"</f>
        <v>428H-140L-RF-DR</v>
      </c>
      <c r="E5873" s="1" t="s">
        <v>4566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</row>
    <row r="5874" spans="1:11" x14ac:dyDescent="0.2">
      <c r="A5874" s="1" t="s">
        <v>829</v>
      </c>
      <c r="B5874" s="1" t="s">
        <v>838</v>
      </c>
      <c r="C5874" s="1" t="str">
        <f>"428H-140L-RF"</f>
        <v>428H-140L-RF</v>
      </c>
      <c r="D5874" s="1" t="str">
        <f>"428H-140L-RF"</f>
        <v>428H-140L-RF</v>
      </c>
      <c r="E5874" s="1" t="s">
        <v>4566</v>
      </c>
      <c r="F5874" s="1">
        <v>80</v>
      </c>
      <c r="G5874" s="1">
        <v>6554.62</v>
      </c>
      <c r="H5874" s="1">
        <v>524370</v>
      </c>
      <c r="I5874" s="1">
        <v>0</v>
      </c>
      <c r="J5874" s="1">
        <v>80</v>
      </c>
      <c r="K5874" s="1">
        <v>0</v>
      </c>
    </row>
    <row r="5875" spans="1:11" x14ac:dyDescent="0.2">
      <c r="A5875" s="1" t="s">
        <v>829</v>
      </c>
      <c r="B5875" s="1" t="s">
        <v>839</v>
      </c>
      <c r="C5875" s="1" t="str">
        <f>"428H-140L-TAYA"</f>
        <v>428H-140L-TAYA</v>
      </c>
      <c r="D5875" s="1" t="str">
        <f>"428H-140L-TAYA"</f>
        <v>428H-140L-TAYA</v>
      </c>
      <c r="E5875" s="1" t="s">
        <v>4566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</row>
    <row r="5876" spans="1:11" x14ac:dyDescent="0.2">
      <c r="A5876" s="1" t="s">
        <v>829</v>
      </c>
      <c r="B5876" s="1" t="s">
        <v>840</v>
      </c>
      <c r="C5876" s="1" t="str">
        <f>"66298812213927"</f>
        <v>66298812213927</v>
      </c>
      <c r="D5876" s="1" t="str">
        <f>"428H-140VN"</f>
        <v>428H-140VN</v>
      </c>
      <c r="E5876" s="1" t="s">
        <v>4566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</row>
    <row r="5877" spans="1:11" x14ac:dyDescent="0.2">
      <c r="A5877" s="1" t="s">
        <v>829</v>
      </c>
      <c r="B5877" s="1" t="s">
        <v>841</v>
      </c>
      <c r="C5877" s="1" t="str">
        <f>"428H-142L-RF"</f>
        <v>428H-142L-RF</v>
      </c>
      <c r="D5877" s="1" t="str">
        <f>"428H-142L-RF"</f>
        <v>428H-142L-RF</v>
      </c>
      <c r="E5877" s="1" t="s">
        <v>4566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</row>
    <row r="5878" spans="1:11" x14ac:dyDescent="0.2">
      <c r="A5878" s="1" t="s">
        <v>829</v>
      </c>
      <c r="B5878" s="1" t="s">
        <v>842</v>
      </c>
      <c r="C5878" s="1" t="str">
        <f>"428H-150JPNPC"</f>
        <v>428H-150JPNPC</v>
      </c>
      <c r="D5878" s="1" t="str">
        <f>"428H-150JPNPC"</f>
        <v>428H-150JPNPC</v>
      </c>
      <c r="E5878" s="1" t="s">
        <v>4566</v>
      </c>
      <c r="F5878" s="1">
        <v>40</v>
      </c>
      <c r="G5878" s="1">
        <v>8223</v>
      </c>
      <c r="H5878" s="1">
        <v>328920</v>
      </c>
      <c r="I5878" s="1">
        <v>0</v>
      </c>
      <c r="J5878" s="1">
        <v>40</v>
      </c>
      <c r="K5878" s="1">
        <v>0</v>
      </c>
    </row>
    <row r="5879" spans="1:11" x14ac:dyDescent="0.2">
      <c r="A5879" s="1" t="s">
        <v>829</v>
      </c>
      <c r="B5879" s="1" t="s">
        <v>843</v>
      </c>
      <c r="C5879" s="1" t="str">
        <f>"428OH-140RIFFEL"</f>
        <v>428OH-140RIFFEL</v>
      </c>
      <c r="D5879" s="1" t="str">
        <f>"428OH-140RIFFEL"</f>
        <v>428OH-140RIFFEL</v>
      </c>
      <c r="E5879" s="1" t="s">
        <v>4566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</row>
    <row r="5880" spans="1:11" x14ac:dyDescent="0.2">
      <c r="A5880" s="1" t="s">
        <v>829</v>
      </c>
      <c r="B5880" s="1" t="s">
        <v>844</v>
      </c>
      <c r="C5880" s="1" t="str">
        <f>"428VX124JP"</f>
        <v>428VX124JP</v>
      </c>
      <c r="D5880" s="1" t="str">
        <f>"428VX124JP"</f>
        <v>428VX124JP</v>
      </c>
      <c r="E5880" s="1" t="s">
        <v>4566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</row>
    <row r="5881" spans="1:11" x14ac:dyDescent="0.2">
      <c r="A5881" s="1" t="s">
        <v>829</v>
      </c>
      <c r="B5881" s="1" t="s">
        <v>845</v>
      </c>
      <c r="C5881" s="1" t="str">
        <f>"66298812254734"</f>
        <v>66298812254734</v>
      </c>
      <c r="D5881" s="1" t="str">
        <f>"428VX132JP"</f>
        <v>428VX132JP</v>
      </c>
      <c r="E5881" s="1" t="s">
        <v>4566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</row>
    <row r="5882" spans="1:11" x14ac:dyDescent="0.2">
      <c r="A5882" s="1" t="s">
        <v>829</v>
      </c>
      <c r="B5882" s="1" t="s">
        <v>846</v>
      </c>
      <c r="C5882" s="1" t="str">
        <f>"520-104JPNPC"</f>
        <v>520-104JPNPC</v>
      </c>
      <c r="D5882" s="1" t="str">
        <f>"520-104JPNPC"</f>
        <v>520-104JPNPC</v>
      </c>
      <c r="E5882" s="1" t="s">
        <v>4566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</row>
    <row r="5883" spans="1:11" x14ac:dyDescent="0.2">
      <c r="A5883" s="1" t="s">
        <v>829</v>
      </c>
      <c r="B5883" s="1" t="s">
        <v>847</v>
      </c>
      <c r="C5883" s="1" t="str">
        <f>"66298812294677"</f>
        <v>66298812294677</v>
      </c>
      <c r="D5883" s="1" t="str">
        <f>"520H-110JPNPC"</f>
        <v>520H-110JPNPC</v>
      </c>
      <c r="E5883" s="1" t="s">
        <v>4566</v>
      </c>
      <c r="F5883" s="1">
        <v>20</v>
      </c>
      <c r="G5883" s="1">
        <v>9053</v>
      </c>
      <c r="H5883" s="1">
        <v>181060</v>
      </c>
      <c r="I5883" s="1">
        <v>0</v>
      </c>
      <c r="J5883" s="1">
        <v>20</v>
      </c>
      <c r="K5883" s="1">
        <v>0</v>
      </c>
    </row>
    <row r="5884" spans="1:11" x14ac:dyDescent="0.2">
      <c r="A5884" s="1" t="s">
        <v>829</v>
      </c>
      <c r="B5884" s="1" t="s">
        <v>848</v>
      </c>
      <c r="C5884" s="1" t="str">
        <f>"520H-120JPNPC"</f>
        <v>520H-120JPNPC</v>
      </c>
      <c r="D5884" s="1" t="str">
        <f>"520H-120JPNPC"</f>
        <v>520H-120JPNPC</v>
      </c>
      <c r="E5884" s="1" t="s">
        <v>4566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</row>
    <row r="5885" spans="1:11" x14ac:dyDescent="0.2">
      <c r="A5885" s="1" t="s">
        <v>829</v>
      </c>
      <c r="B5885" s="1" t="s">
        <v>849</v>
      </c>
      <c r="C5885" s="1" t="str">
        <f>"520OH-120RF"</f>
        <v>520OH-120RF</v>
      </c>
      <c r="D5885" s="1" t="str">
        <f>"520OH-120RF"</f>
        <v>520OH-120RF</v>
      </c>
      <c r="E5885" s="1" t="s">
        <v>4566</v>
      </c>
      <c r="F5885" s="1">
        <v>15</v>
      </c>
      <c r="G5885" s="1">
        <v>25839.22</v>
      </c>
      <c r="H5885" s="1">
        <v>387588</v>
      </c>
      <c r="I5885" s="1">
        <v>0</v>
      </c>
      <c r="J5885" s="1">
        <v>15</v>
      </c>
      <c r="K5885" s="1">
        <v>0</v>
      </c>
    </row>
    <row r="5886" spans="1:11" x14ac:dyDescent="0.2">
      <c r="A5886" s="1" t="s">
        <v>829</v>
      </c>
      <c r="B5886" s="1" t="s">
        <v>850</v>
      </c>
      <c r="C5886" s="1" t="str">
        <f>"520H-120RF"</f>
        <v>520H-120RF</v>
      </c>
      <c r="D5886" s="1" t="str">
        <f>"520H-120RF"</f>
        <v>520H-120RF</v>
      </c>
      <c r="E5886" s="1" t="s">
        <v>4566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</row>
    <row r="5887" spans="1:11" x14ac:dyDescent="0.2">
      <c r="A5887" s="1" t="s">
        <v>829</v>
      </c>
      <c r="B5887" s="1" t="s">
        <v>851</v>
      </c>
      <c r="C5887" s="1" t="str">
        <f>"520H-120RIFFEL"</f>
        <v>520H-120RIFFEL</v>
      </c>
      <c r="D5887" s="1" t="str">
        <f>"520H-120RIFFEL"</f>
        <v>520H-120RIFFEL</v>
      </c>
      <c r="E5887" s="1" t="s">
        <v>4566</v>
      </c>
      <c r="F5887" s="1">
        <v>54</v>
      </c>
      <c r="G5887" s="1">
        <v>9621.85</v>
      </c>
      <c r="H5887" s="1">
        <v>519580</v>
      </c>
      <c r="I5887" s="1">
        <v>0</v>
      </c>
      <c r="J5887" s="1">
        <v>54</v>
      </c>
      <c r="K5887" s="1">
        <v>0</v>
      </c>
    </row>
    <row r="5888" spans="1:11" x14ac:dyDescent="0.2">
      <c r="A5888" s="1" t="s">
        <v>829</v>
      </c>
      <c r="B5888" s="1" t="s">
        <v>852</v>
      </c>
      <c r="C5888" s="1" t="str">
        <f>"66298812333331"</f>
        <v>66298812333331</v>
      </c>
      <c r="D5888" s="1" t="str">
        <f>"520H-120VN"</f>
        <v>520H-120VN</v>
      </c>
      <c r="E5888" s="1" t="s">
        <v>4566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</row>
    <row r="5889" spans="1:11" x14ac:dyDescent="0.2">
      <c r="A5889" s="1" t="s">
        <v>829</v>
      </c>
      <c r="B5889" s="1" t="s">
        <v>853</v>
      </c>
      <c r="C5889" s="1" t="str">
        <f>"66298812373574"</f>
        <v>66298812373574</v>
      </c>
      <c r="D5889" s="1" t="str">
        <f>"520V-120JPNPC"</f>
        <v>520V-120JPNPC</v>
      </c>
      <c r="E5889" s="1" t="s">
        <v>4566</v>
      </c>
      <c r="F5889" s="1">
        <v>7</v>
      </c>
      <c r="G5889" s="1">
        <v>22857</v>
      </c>
      <c r="H5889" s="1">
        <v>159999</v>
      </c>
      <c r="I5889" s="1">
        <v>0</v>
      </c>
      <c r="J5889" s="1">
        <v>7</v>
      </c>
      <c r="K5889" s="1">
        <v>0</v>
      </c>
    </row>
    <row r="5890" spans="1:11" x14ac:dyDescent="0.2">
      <c r="A5890" s="1" t="s">
        <v>829</v>
      </c>
      <c r="B5890" s="1" t="s">
        <v>854</v>
      </c>
      <c r="C5890" s="1" t="str">
        <f>"66298812411287"</f>
        <v>66298812411287</v>
      </c>
      <c r="D5890" s="1" t="str">
        <f>"520V-124CN"</f>
        <v>520V-124CN</v>
      </c>
      <c r="E5890" s="1" t="s">
        <v>4566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</row>
    <row r="5891" spans="1:11" x14ac:dyDescent="0.2">
      <c r="A5891" s="1" t="s">
        <v>829</v>
      </c>
      <c r="B5891" s="1" t="s">
        <v>855</v>
      </c>
      <c r="C5891" s="1" t="str">
        <f>"525V-120JPNPC"</f>
        <v>525V-120JPNPC</v>
      </c>
      <c r="D5891" s="1" t="str">
        <f>"525V-120JPNPC"</f>
        <v>525V-120JPNPC</v>
      </c>
      <c r="E5891" s="1" t="s">
        <v>4566</v>
      </c>
      <c r="F5891" s="1">
        <v>15</v>
      </c>
      <c r="G5891" s="1">
        <v>38388</v>
      </c>
      <c r="H5891" s="1">
        <v>575820</v>
      </c>
      <c r="I5891" s="1">
        <v>0</v>
      </c>
      <c r="J5891" s="1">
        <v>15</v>
      </c>
      <c r="K5891" s="1">
        <v>0</v>
      </c>
    </row>
    <row r="5892" spans="1:11" x14ac:dyDescent="0.2">
      <c r="A5892" s="1" t="s">
        <v>829</v>
      </c>
      <c r="B5892" s="1" t="s">
        <v>856</v>
      </c>
      <c r="C5892" s="1" t="str">
        <f>"66298812450321"</f>
        <v>66298812450321</v>
      </c>
      <c r="D5892" s="1" t="str">
        <f>"525H-124CHOHO"</f>
        <v>525H-124CHOHO</v>
      </c>
      <c r="E5892" s="1" t="s">
        <v>4566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</row>
    <row r="5893" spans="1:11" x14ac:dyDescent="0.2">
      <c r="A5893" s="1" t="s">
        <v>829</v>
      </c>
      <c r="B5893" s="1" t="s">
        <v>857</v>
      </c>
      <c r="C5893" s="1" t="str">
        <f>"525VX3-120JP"</f>
        <v>525VX3-120JP</v>
      </c>
      <c r="D5893" s="1" t="str">
        <f>"525VX3-120JP"</f>
        <v>525VX3-120JP</v>
      </c>
      <c r="E5893" s="1" t="s">
        <v>4566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</row>
    <row r="5894" spans="1:11" x14ac:dyDescent="0.2">
      <c r="A5894" s="1" t="s">
        <v>829</v>
      </c>
      <c r="B5894" s="1" t="s">
        <v>858</v>
      </c>
      <c r="C5894" s="1" t="str">
        <f>"525VX3-124JP"</f>
        <v>525VX3-124JP</v>
      </c>
      <c r="D5894" s="1" t="str">
        <f>"525VX3-124JP"</f>
        <v>525VX3-124JP</v>
      </c>
      <c r="E5894" s="1" t="s">
        <v>4566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</row>
    <row r="5895" spans="1:11" x14ac:dyDescent="0.2">
      <c r="A5895" s="1" t="s">
        <v>829</v>
      </c>
      <c r="B5895" s="1" t="s">
        <v>859</v>
      </c>
      <c r="C5895" s="1" t="str">
        <f>"525VX3-130JP"</f>
        <v>525VX3-130JP</v>
      </c>
      <c r="D5895" s="1" t="str">
        <f>"525VX3-130JP"</f>
        <v>525VX3-130JP</v>
      </c>
      <c r="E5895" s="1" t="s">
        <v>4566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</row>
    <row r="5896" spans="1:11" x14ac:dyDescent="0.2">
      <c r="A5896" s="1" t="s">
        <v>829</v>
      </c>
      <c r="B5896" s="1" t="s">
        <v>860</v>
      </c>
      <c r="C5896" s="1" t="str">
        <f>"530-120JP"</f>
        <v>530-120JP</v>
      </c>
      <c r="D5896" s="1" t="str">
        <f>"530-120JP"</f>
        <v>530-120JP</v>
      </c>
      <c r="E5896" s="1" t="s">
        <v>4566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</row>
    <row r="5897" spans="1:11" x14ac:dyDescent="0.2">
      <c r="A5897" s="1" t="s">
        <v>829</v>
      </c>
      <c r="B5897" s="1" t="s">
        <v>861</v>
      </c>
      <c r="C5897" s="1" t="str">
        <f>"66298812529172"</f>
        <v>66298812529172</v>
      </c>
      <c r="D5897" s="1" t="str">
        <f>"404-DHA-098JP"</f>
        <v>404-DHA-098JP</v>
      </c>
      <c r="E5897" s="1" t="s">
        <v>4566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</row>
    <row r="5898" spans="1:11" x14ac:dyDescent="0.2">
      <c r="A5898" s="1" t="s">
        <v>829</v>
      </c>
      <c r="B5898" s="1" t="s">
        <v>862</v>
      </c>
      <c r="C5898" s="1" t="str">
        <f>"66298812488935"</f>
        <v>66298812488935</v>
      </c>
      <c r="D5898" s="1" t="str">
        <f>"14401-K43-901JP"</f>
        <v>14401-K43-901JP</v>
      </c>
      <c r="E5898" s="1" t="s">
        <v>4566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</row>
    <row r="5899" spans="1:11" ht="30" x14ac:dyDescent="0.2">
      <c r="A5899" s="1" t="s">
        <v>829</v>
      </c>
      <c r="B5899" s="1" t="s">
        <v>863</v>
      </c>
      <c r="C5899" s="1" t="str">
        <f>"66298812568999"</f>
        <v>66298812568999</v>
      </c>
      <c r="D5899" s="1" t="str">
        <f>"14401-KTE-910JP"</f>
        <v>14401-KTE-910JP</v>
      </c>
      <c r="E5899" s="1" t="s">
        <v>4566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</row>
    <row r="5900" spans="1:11" x14ac:dyDescent="0.2">
      <c r="A5900" s="1" t="s">
        <v>829</v>
      </c>
      <c r="B5900" s="1" t="s">
        <v>864</v>
      </c>
      <c r="C5900" s="1" t="str">
        <f>"66298812608643"</f>
        <v>66298812608643</v>
      </c>
      <c r="D5900" s="1" t="str">
        <f>"14401-KSP-860JP"</f>
        <v>14401-KSP-860JP</v>
      </c>
      <c r="E5900" s="1" t="s">
        <v>4566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</row>
    <row r="5901" spans="1:11" ht="30" x14ac:dyDescent="0.2">
      <c r="A5901" s="1" t="s">
        <v>829</v>
      </c>
      <c r="B5901" s="1" t="s">
        <v>865</v>
      </c>
      <c r="C5901" s="1" t="str">
        <f>"66298812685767"</f>
        <v>66298812685767</v>
      </c>
      <c r="D5901" s="1" t="str">
        <f>"14401-KPF-903JP"</f>
        <v>14401-KPF-903JP</v>
      </c>
      <c r="E5901" s="1" t="s">
        <v>4566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</row>
    <row r="5902" spans="1:11" ht="30" x14ac:dyDescent="0.2">
      <c r="A5902" s="1" t="s">
        <v>829</v>
      </c>
      <c r="B5902" s="1" t="s">
        <v>866</v>
      </c>
      <c r="C5902" s="1" t="str">
        <f>"66298812647872"</f>
        <v>66298812647872</v>
      </c>
      <c r="D5902" s="1" t="str">
        <f>"400130"</f>
        <v>400130</v>
      </c>
      <c r="E5902" s="1" t="s">
        <v>4566</v>
      </c>
      <c r="F5902" s="1">
        <v>88</v>
      </c>
      <c r="G5902" s="1">
        <v>2243</v>
      </c>
      <c r="H5902" s="1">
        <v>197384</v>
      </c>
      <c r="I5902" s="1">
        <v>0</v>
      </c>
      <c r="J5902" s="1">
        <v>88</v>
      </c>
      <c r="K5902" s="1">
        <v>0</v>
      </c>
    </row>
    <row r="5903" spans="1:11" x14ac:dyDescent="0.2">
      <c r="A5903" s="1" t="s">
        <v>829</v>
      </c>
      <c r="B5903" s="1" t="s">
        <v>867</v>
      </c>
      <c r="C5903" s="1" t="str">
        <f>"66298812728237"</f>
        <v>66298812728237</v>
      </c>
      <c r="D5903" s="1" t="str">
        <f>"409H-100JPNPC"</f>
        <v>409H-100JPNPC</v>
      </c>
      <c r="E5903" s="1" t="s">
        <v>4566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</row>
    <row r="5904" spans="1:11" x14ac:dyDescent="0.2">
      <c r="A5904" s="1" t="s">
        <v>829</v>
      </c>
      <c r="B5904" s="1" t="s">
        <v>868</v>
      </c>
      <c r="C5904" s="1" t="str">
        <f>"66298812767664"</f>
        <v>66298812767664</v>
      </c>
      <c r="D5904" s="1" t="str">
        <f>"400125"</f>
        <v>400125</v>
      </c>
      <c r="E5904" s="1" t="s">
        <v>4566</v>
      </c>
      <c r="F5904" s="1">
        <v>472</v>
      </c>
      <c r="G5904" s="1">
        <v>807</v>
      </c>
      <c r="H5904" s="1">
        <v>380904</v>
      </c>
      <c r="I5904" s="1">
        <v>0</v>
      </c>
      <c r="J5904" s="1">
        <v>472</v>
      </c>
      <c r="K5904" s="1">
        <v>0</v>
      </c>
    </row>
    <row r="5905" spans="1:11" x14ac:dyDescent="0.2">
      <c r="A5905" s="1" t="s">
        <v>829</v>
      </c>
      <c r="B5905" s="1" t="s">
        <v>869</v>
      </c>
      <c r="C5905" s="1" t="str">
        <f>"66298812811577"</f>
        <v>66298812811577</v>
      </c>
      <c r="D5905" s="1" t="str">
        <f>"409H-136JPNPC"</f>
        <v>409H-136JPNPC</v>
      </c>
      <c r="E5905" s="1" t="s">
        <v>4566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</row>
    <row r="5906" spans="1:11" x14ac:dyDescent="0.2">
      <c r="A5906" s="1" t="s">
        <v>829</v>
      </c>
      <c r="B5906" s="1" t="s">
        <v>870</v>
      </c>
      <c r="C5906" s="1" t="str">
        <f>"66298812855795"</f>
        <v>66298812855795</v>
      </c>
      <c r="D5906" s="1" t="str">
        <f>"409H-158JPNPC"</f>
        <v>409H-158JPNPC</v>
      </c>
      <c r="E5906" s="1" t="s">
        <v>4566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</row>
    <row r="5907" spans="1:11" x14ac:dyDescent="0.2">
      <c r="A5907" s="1" t="s">
        <v>829</v>
      </c>
      <c r="B5907" s="1" t="s">
        <v>871</v>
      </c>
      <c r="C5907" s="1" t="str">
        <f>"66298812898624"</f>
        <v>66298812898624</v>
      </c>
      <c r="D5907" s="1" t="str">
        <f>"409-DHA-100JP"</f>
        <v>409-DHA-100JP</v>
      </c>
      <c r="E5907" s="1" t="s">
        <v>4566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</row>
    <row r="5908" spans="1:11" x14ac:dyDescent="0.2">
      <c r="A5908" s="1" t="s">
        <v>829</v>
      </c>
      <c r="B5908" s="1" t="s">
        <v>872</v>
      </c>
      <c r="C5908" s="1" t="str">
        <f>"66298812939684"</f>
        <v>66298812939684</v>
      </c>
      <c r="D5908" s="1" t="str">
        <f>"H1068"</f>
        <v>H1068</v>
      </c>
      <c r="E5908" s="1" t="s">
        <v>4566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</row>
    <row r="5909" spans="1:11" ht="30" x14ac:dyDescent="0.2">
      <c r="A5909" s="1" t="s">
        <v>829</v>
      </c>
      <c r="B5909" s="1" t="s">
        <v>873</v>
      </c>
      <c r="C5909" s="1" t="str">
        <f>"66298812981705"</f>
        <v>66298812981705</v>
      </c>
      <c r="D5909" s="1" t="str">
        <f>"13028-27G00JP"</f>
        <v>13028-27G00JP</v>
      </c>
      <c r="E5909" s="1" t="s">
        <v>4566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</row>
    <row r="5910" spans="1:11" ht="30" x14ac:dyDescent="0.2">
      <c r="A5910" s="1" t="s">
        <v>829</v>
      </c>
      <c r="B5910" s="1" t="s">
        <v>874</v>
      </c>
      <c r="C5910" s="1" t="str">
        <f>"66298813029303"</f>
        <v>66298813029303</v>
      </c>
      <c r="D5910" s="1" t="str">
        <f>"12760-32E00JP"</f>
        <v>12760-32E00JP</v>
      </c>
      <c r="E5910" s="1" t="s">
        <v>4566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</row>
    <row r="5911" spans="1:11" x14ac:dyDescent="0.2">
      <c r="A5911" s="1" t="s">
        <v>829</v>
      </c>
      <c r="B5911" s="1" t="s">
        <v>875</v>
      </c>
      <c r="C5911" s="1" t="str">
        <f>"66298813072152"</f>
        <v>66298813072152</v>
      </c>
      <c r="D5911" s="1" t="str">
        <f>"14401-KBB-901JP"</f>
        <v>14401-KBB-901JP</v>
      </c>
      <c r="E5911" s="1" t="s">
        <v>4566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</row>
    <row r="5912" spans="1:11" x14ac:dyDescent="0.2">
      <c r="A5912" s="1" t="s">
        <v>829</v>
      </c>
      <c r="B5912" s="1" t="s">
        <v>876</v>
      </c>
      <c r="C5912" s="1" t="str">
        <f>"66298813113726"</f>
        <v>66298813113726</v>
      </c>
      <c r="D5912" s="1" t="str">
        <f>"400128"</f>
        <v>400128</v>
      </c>
      <c r="E5912" s="1" t="s">
        <v>4566</v>
      </c>
      <c r="F5912" s="1">
        <v>139</v>
      </c>
      <c r="G5912" s="1">
        <v>1378</v>
      </c>
      <c r="H5912" s="1">
        <v>191542</v>
      </c>
      <c r="I5912" s="1">
        <v>0</v>
      </c>
      <c r="J5912" s="1">
        <v>139</v>
      </c>
      <c r="K5912" s="1">
        <v>0</v>
      </c>
    </row>
    <row r="5913" spans="1:11" x14ac:dyDescent="0.2">
      <c r="A5913" s="1" t="s">
        <v>829</v>
      </c>
      <c r="B5913" s="1" t="s">
        <v>877</v>
      </c>
      <c r="C5913" s="1" t="str">
        <f>"66298813156141"</f>
        <v>66298813156141</v>
      </c>
      <c r="D5913" s="1" t="str">
        <f>"409H-102JPNPC"</f>
        <v>409H-102JPNPC</v>
      </c>
      <c r="E5913" s="1" t="s">
        <v>4566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</row>
    <row r="5914" spans="1:11" x14ac:dyDescent="0.2">
      <c r="A5914" s="1" t="s">
        <v>829</v>
      </c>
      <c r="B5914" s="1" t="s">
        <v>878</v>
      </c>
      <c r="C5914" s="1" t="str">
        <f>"66298813202100"</f>
        <v>66298813202100</v>
      </c>
      <c r="D5914" s="1" t="str">
        <f>"409H-118JPNPC"</f>
        <v>409H-118JPNPC</v>
      </c>
      <c r="E5914" s="1" t="s">
        <v>4566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</row>
    <row r="5915" spans="1:11" x14ac:dyDescent="0.2">
      <c r="A5915" s="1" t="s">
        <v>829</v>
      </c>
      <c r="B5915" s="1" t="s">
        <v>879</v>
      </c>
      <c r="C5915" s="1" t="str">
        <f>"66298813247841"</f>
        <v>66298813247841</v>
      </c>
      <c r="D5915" s="1" t="str">
        <f>"25H-104JP"</f>
        <v>25H-104JP</v>
      </c>
      <c r="E5915" s="1" t="s">
        <v>4566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</row>
    <row r="5916" spans="1:11" x14ac:dyDescent="0.2">
      <c r="A5916" s="1" t="s">
        <v>829</v>
      </c>
      <c r="B5916" s="1" t="s">
        <v>880</v>
      </c>
      <c r="C5916" s="1" t="str">
        <f>"66298813286360"</f>
        <v>66298813286360</v>
      </c>
      <c r="D5916" s="1" t="str">
        <f>"94582-19104JP"</f>
        <v>94582-19104JP</v>
      </c>
      <c r="E5916" s="1" t="s">
        <v>4566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</row>
    <row r="5917" spans="1:11" x14ac:dyDescent="0.2">
      <c r="A5917" s="1" t="s">
        <v>829</v>
      </c>
      <c r="B5917" s="1" t="s">
        <v>881</v>
      </c>
      <c r="C5917" s="1" t="str">
        <f>"66298813331456"</f>
        <v>66298813331456</v>
      </c>
      <c r="D5917" s="1" t="str">
        <f>"412H-DHA-118JP"</f>
        <v>412H-DHA-118JP</v>
      </c>
      <c r="E5917" s="1" t="s">
        <v>4566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</row>
    <row r="5918" spans="1:11" x14ac:dyDescent="0.2">
      <c r="A5918" s="1" t="s">
        <v>829</v>
      </c>
      <c r="B5918" s="1" t="s">
        <v>882</v>
      </c>
      <c r="C5918" s="1" t="str">
        <f>"66298813372415"</f>
        <v>66298813372415</v>
      </c>
      <c r="D5918" s="1" t="str">
        <f>"94568-A6090NPC"</f>
        <v>94568-A6090NPC</v>
      </c>
      <c r="E5918" s="1" t="s">
        <v>4566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</row>
    <row r="5919" spans="1:11" x14ac:dyDescent="0.2">
      <c r="A5919" s="1" t="s">
        <v>18</v>
      </c>
      <c r="B5919" s="1" t="s">
        <v>883</v>
      </c>
      <c r="C5919" s="1" t="str">
        <f>"66298813411663"</f>
        <v>66298813411663</v>
      </c>
      <c r="D5919" s="1" t="str">
        <f>"AD009"</f>
        <v>AD009</v>
      </c>
      <c r="E5919" s="1" t="s">
        <v>4566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</row>
    <row r="5920" spans="1:11" x14ac:dyDescent="0.2">
      <c r="A5920" s="1" t="s">
        <v>18</v>
      </c>
      <c r="B5920" s="1" t="s">
        <v>884</v>
      </c>
      <c r="C5920" s="1" t="str">
        <f>"66298813448560"</f>
        <v>66298813448560</v>
      </c>
      <c r="D5920" s="1" t="str">
        <f>"AD009-A"</f>
        <v>AD009-A</v>
      </c>
      <c r="E5920" s="1" t="s">
        <v>4566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</row>
    <row r="5921" spans="1:11" x14ac:dyDescent="0.2">
      <c r="A5921" s="1" t="s">
        <v>18</v>
      </c>
      <c r="B5921" s="1" t="s">
        <v>885</v>
      </c>
      <c r="C5921" s="1" t="str">
        <f>"66298813489457"</f>
        <v>66298813489457</v>
      </c>
      <c r="D5921" s="1" t="str">
        <f>"18302"</f>
        <v>18302</v>
      </c>
      <c r="E5921" s="1" t="s">
        <v>4566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</row>
    <row r="5922" spans="1:11" x14ac:dyDescent="0.2">
      <c r="A5922" s="1" t="s">
        <v>18</v>
      </c>
      <c r="B5922" s="1" t="s">
        <v>886</v>
      </c>
      <c r="C5922" s="1" t="str">
        <f>"66298813529904"</f>
        <v>66298813529904</v>
      </c>
      <c r="D5922" s="1" t="str">
        <f>"18293"</f>
        <v>18293</v>
      </c>
      <c r="E5922" s="1" t="s">
        <v>4566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</row>
    <row r="5923" spans="1:11" x14ac:dyDescent="0.2">
      <c r="A5923" s="1" t="s">
        <v>18</v>
      </c>
      <c r="B5923" s="1" t="s">
        <v>887</v>
      </c>
      <c r="C5923" s="1" t="str">
        <f>"66298813574357"</f>
        <v>66298813574357</v>
      </c>
      <c r="D5923" s="1" t="str">
        <f>"HK-4602"</f>
        <v>HK-4602</v>
      </c>
      <c r="E5923" s="1" t="s">
        <v>4566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</row>
    <row r="5924" spans="1:11" x14ac:dyDescent="0.2">
      <c r="A5924" s="1" t="s">
        <v>18</v>
      </c>
      <c r="B5924" s="1" t="s">
        <v>888</v>
      </c>
      <c r="C5924" s="1" t="str">
        <f>"66298813613657"</f>
        <v>66298813613657</v>
      </c>
      <c r="D5924" s="1" t="str">
        <f>"799"</f>
        <v>799</v>
      </c>
      <c r="E5924" s="1" t="s">
        <v>4566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</row>
    <row r="5925" spans="1:11" x14ac:dyDescent="0.2">
      <c r="A5925" s="1" t="s">
        <v>18</v>
      </c>
      <c r="B5925" s="1" t="s">
        <v>889</v>
      </c>
      <c r="C5925" s="1" t="str">
        <f>"66298813653994"</f>
        <v>66298813653994</v>
      </c>
      <c r="D5925" s="1" t="str">
        <f>"18308"</f>
        <v>18308</v>
      </c>
      <c r="E5925" s="1" t="s">
        <v>4566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</row>
    <row r="5926" spans="1:11" x14ac:dyDescent="0.2">
      <c r="A5926" s="1" t="s">
        <v>18</v>
      </c>
      <c r="B5926" s="1" t="s">
        <v>890</v>
      </c>
      <c r="C5926" s="1" t="str">
        <f>"66298813760715"</f>
        <v>66298813760715</v>
      </c>
      <c r="D5926" s="1" t="str">
        <f>"3723"</f>
        <v>3723</v>
      </c>
      <c r="E5926" s="1" t="s">
        <v>4566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</row>
    <row r="5927" spans="1:11" x14ac:dyDescent="0.2">
      <c r="A5927" s="1" t="s">
        <v>18</v>
      </c>
      <c r="B5927" s="1" t="s">
        <v>891</v>
      </c>
      <c r="C5927" s="1" t="str">
        <f>"66298813802345"</f>
        <v>66298813802345</v>
      </c>
      <c r="D5927" s="1" t="str">
        <f>"4009"</f>
        <v>4009</v>
      </c>
      <c r="E5927" s="1" t="s">
        <v>4566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</row>
    <row r="5928" spans="1:11" x14ac:dyDescent="0.2">
      <c r="A5928" s="1" t="s">
        <v>18</v>
      </c>
      <c r="B5928" s="1" t="s">
        <v>892</v>
      </c>
      <c r="C5928" s="1" t="str">
        <f>"66298813844726"</f>
        <v>66298813844726</v>
      </c>
      <c r="D5928" s="1" t="str">
        <f>"1057"</f>
        <v>1057</v>
      </c>
      <c r="E5928" s="1" t="s">
        <v>4566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</row>
    <row r="5929" spans="1:11" x14ac:dyDescent="0.2">
      <c r="A5929" s="1" t="s">
        <v>18</v>
      </c>
      <c r="B5929" s="1" t="s">
        <v>893</v>
      </c>
      <c r="C5929" s="1" t="str">
        <f>"66298813699217"</f>
        <v>66298813699217</v>
      </c>
      <c r="D5929" s="1" t="str">
        <f>"800-ROJO"</f>
        <v>800-ROJO</v>
      </c>
      <c r="E5929" s="1" t="s">
        <v>4566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</row>
    <row r="5930" spans="1:11" x14ac:dyDescent="0.2">
      <c r="A5930" s="1" t="s">
        <v>18</v>
      </c>
      <c r="B5930" s="1" t="s">
        <v>893</v>
      </c>
      <c r="C5930" s="1" t="str">
        <f>"66298813708609"</f>
        <v>66298813708609</v>
      </c>
      <c r="D5930" s="1" t="str">
        <f>"AD005"</f>
        <v>AD005</v>
      </c>
      <c r="E5930" s="1" t="s">
        <v>4566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</row>
    <row r="5931" spans="1:11" x14ac:dyDescent="0.2">
      <c r="A5931" s="1" t="s">
        <v>18</v>
      </c>
      <c r="B5931" s="1" t="s">
        <v>893</v>
      </c>
      <c r="C5931" s="1" t="str">
        <f>"BIC255"</f>
        <v>BIC255</v>
      </c>
      <c r="D5931" s="1" t="str">
        <f>"BIC255"</f>
        <v>BIC255</v>
      </c>
      <c r="E5931" s="1" t="s">
        <v>4566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</row>
    <row r="5932" spans="1:11" x14ac:dyDescent="0.2">
      <c r="A5932" s="1" t="s">
        <v>18</v>
      </c>
      <c r="B5932" s="1" t="s">
        <v>893</v>
      </c>
      <c r="C5932" s="1" t="str">
        <f>"BIC257"</f>
        <v>BIC257</v>
      </c>
      <c r="D5932" s="1" t="str">
        <f>"BIC257"</f>
        <v>BIC257</v>
      </c>
      <c r="E5932" s="1" t="s">
        <v>4566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</row>
    <row r="5933" spans="1:11" x14ac:dyDescent="0.2">
      <c r="A5933" s="1" t="s">
        <v>18</v>
      </c>
      <c r="B5933" s="1" t="s">
        <v>893</v>
      </c>
      <c r="C5933" s="1" t="str">
        <f>"BIC258"</f>
        <v>BIC258</v>
      </c>
      <c r="D5933" s="1" t="str">
        <f>"BIC258"</f>
        <v>BIC258</v>
      </c>
      <c r="E5933" s="1" t="s">
        <v>4566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</row>
    <row r="5934" spans="1:11" x14ac:dyDescent="0.2">
      <c r="A5934" s="1" t="s">
        <v>18</v>
      </c>
      <c r="B5934" s="1" t="s">
        <v>893</v>
      </c>
      <c r="C5934" s="1" t="str">
        <f>"BIC261"</f>
        <v>BIC261</v>
      </c>
      <c r="D5934" s="1" t="str">
        <f>"BIC261"</f>
        <v>BIC261</v>
      </c>
      <c r="E5934" s="1" t="s">
        <v>4566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</row>
    <row r="5935" spans="1:11" x14ac:dyDescent="0.2">
      <c r="A5935" s="1" t="s">
        <v>18</v>
      </c>
      <c r="B5935" s="1" t="s">
        <v>893</v>
      </c>
      <c r="C5935" s="1" t="str">
        <f>"BIC265"</f>
        <v>BIC265</v>
      </c>
      <c r="D5935" s="1" t="str">
        <f>"BIC265"</f>
        <v>BIC265</v>
      </c>
      <c r="E5935" s="1" t="s">
        <v>4566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</row>
    <row r="5936" spans="1:11" x14ac:dyDescent="0.2">
      <c r="A5936" s="1" t="s">
        <v>98</v>
      </c>
      <c r="B5936" s="1" t="s">
        <v>894</v>
      </c>
      <c r="C5936" s="1" t="str">
        <f>"66298813887793"</f>
        <v>66298813887793</v>
      </c>
      <c r="D5936" s="1" t="str">
        <f>"HH010"</f>
        <v>HH010</v>
      </c>
      <c r="E5936" s="1" t="s">
        <v>4566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</row>
    <row r="5937" spans="1:11" x14ac:dyDescent="0.2">
      <c r="A5937" s="1" t="s">
        <v>98</v>
      </c>
      <c r="B5937" s="1" t="s">
        <v>894</v>
      </c>
      <c r="C5937" s="1" t="str">
        <f>"66298813893978"</f>
        <v>66298813893978</v>
      </c>
      <c r="D5937" s="1" t="str">
        <f>"HH012"</f>
        <v>HH012</v>
      </c>
      <c r="E5937" s="1" t="s">
        <v>4566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</row>
    <row r="5938" spans="1:11" x14ac:dyDescent="0.2">
      <c r="A5938" s="1" t="s">
        <v>895</v>
      </c>
      <c r="B5938" s="1" t="s">
        <v>896</v>
      </c>
      <c r="C5938" s="1" t="str">
        <f>"66298813953599"</f>
        <v>66298813953599</v>
      </c>
      <c r="D5938" s="1" t="str">
        <f>"CAJA-CAM-CB190"</f>
        <v>CAJA-CAM-CB190</v>
      </c>
      <c r="E5938" s="1" t="s">
        <v>4566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</row>
    <row r="5939" spans="1:11" x14ac:dyDescent="0.2">
      <c r="A5939" s="1" t="s">
        <v>895</v>
      </c>
      <c r="B5939" s="1" t="s">
        <v>897</v>
      </c>
      <c r="C5939" s="1" t="str">
        <f>"66298813993902"</f>
        <v>66298813993902</v>
      </c>
      <c r="D5939" s="1" t="str">
        <f>"CK006-A"</f>
        <v>CK006-A</v>
      </c>
      <c r="E5939" s="1" t="s">
        <v>4566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</row>
    <row r="5940" spans="1:11" x14ac:dyDescent="0.2">
      <c r="A5940" s="1" t="s">
        <v>895</v>
      </c>
      <c r="B5940" s="1" t="s">
        <v>897</v>
      </c>
      <c r="C5940" s="1" t="str">
        <f>"66298814039001"</f>
        <v>66298814039001</v>
      </c>
      <c r="D5940" s="1" t="str">
        <f>"CK006"</f>
        <v>CK006</v>
      </c>
      <c r="E5940" s="1" t="s">
        <v>4566</v>
      </c>
      <c r="F5940" s="1">
        <v>12</v>
      </c>
      <c r="G5940" s="1">
        <v>13158</v>
      </c>
      <c r="H5940" s="1">
        <v>157896</v>
      </c>
      <c r="I5940" s="1">
        <v>0</v>
      </c>
      <c r="J5940" s="1">
        <v>12</v>
      </c>
      <c r="K5940" s="1">
        <v>0</v>
      </c>
    </row>
    <row r="5941" spans="1:11" x14ac:dyDescent="0.2">
      <c r="A5941" s="1" t="s">
        <v>895</v>
      </c>
      <c r="B5941" s="1" t="s">
        <v>898</v>
      </c>
      <c r="C5941" s="1" t="str">
        <f>"66298814121473"</f>
        <v>66298814121473</v>
      </c>
      <c r="D5941" s="1" t="str">
        <f>"CK002"</f>
        <v>CK002</v>
      </c>
      <c r="E5941" s="1" t="s">
        <v>4566</v>
      </c>
      <c r="F5941" s="1">
        <v>3</v>
      </c>
      <c r="G5941" s="1">
        <v>42102</v>
      </c>
      <c r="H5941" s="1">
        <v>126306</v>
      </c>
      <c r="I5941" s="1">
        <v>0</v>
      </c>
      <c r="J5941" s="1">
        <v>3</v>
      </c>
      <c r="K5941" s="1">
        <v>0</v>
      </c>
    </row>
    <row r="5942" spans="1:11" x14ac:dyDescent="0.2">
      <c r="A5942" s="1" t="s">
        <v>895</v>
      </c>
      <c r="B5942" s="1" t="s">
        <v>899</v>
      </c>
      <c r="C5942" s="1" t="str">
        <f>"66298814078865"</f>
        <v>66298814078865</v>
      </c>
      <c r="D5942" s="1" t="str">
        <f>"400990"</f>
        <v>400990</v>
      </c>
      <c r="E5942" s="1" t="s">
        <v>4566</v>
      </c>
      <c r="F5942" s="1">
        <v>18</v>
      </c>
      <c r="G5942" s="1">
        <v>18013</v>
      </c>
      <c r="H5942" s="1">
        <v>324234</v>
      </c>
      <c r="I5942" s="1">
        <v>0</v>
      </c>
      <c r="J5942" s="1">
        <v>18</v>
      </c>
      <c r="K5942" s="1">
        <v>0</v>
      </c>
    </row>
    <row r="5943" spans="1:11" x14ac:dyDescent="0.2">
      <c r="A5943" s="1" t="s">
        <v>895</v>
      </c>
      <c r="B5943" s="1" t="s">
        <v>900</v>
      </c>
      <c r="C5943" s="1" t="str">
        <f>"66298814169494"</f>
        <v>66298814169494</v>
      </c>
      <c r="D5943" s="1" t="str">
        <f>"CK003"</f>
        <v>CK003</v>
      </c>
      <c r="E5943" s="1" t="s">
        <v>4566</v>
      </c>
      <c r="F5943" s="1">
        <v>1</v>
      </c>
      <c r="G5943" s="1">
        <v>21825</v>
      </c>
      <c r="H5943" s="1">
        <v>21825</v>
      </c>
      <c r="I5943" s="1">
        <v>0</v>
      </c>
      <c r="J5943" s="1">
        <v>1</v>
      </c>
      <c r="K5943" s="1">
        <v>0</v>
      </c>
    </row>
    <row r="5944" spans="1:11" x14ac:dyDescent="0.2">
      <c r="A5944" s="1" t="s">
        <v>895</v>
      </c>
      <c r="B5944" s="1" t="s">
        <v>901</v>
      </c>
      <c r="C5944" s="1" t="str">
        <f>"66298814229312"</f>
        <v>66298814229312</v>
      </c>
      <c r="D5944" s="1" t="str">
        <f>"CK013"</f>
        <v>CK013</v>
      </c>
      <c r="E5944" s="1" t="s">
        <v>4566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</row>
    <row r="5945" spans="1:11" x14ac:dyDescent="0.2">
      <c r="A5945" s="1" t="s">
        <v>895</v>
      </c>
      <c r="B5945" s="1" t="s">
        <v>902</v>
      </c>
      <c r="C5945" s="1" t="str">
        <f>"66298814272016"</f>
        <v>66298814272016</v>
      </c>
      <c r="D5945" s="1" t="str">
        <f>"CK009"</f>
        <v>CK009</v>
      </c>
      <c r="E5945" s="1" t="s">
        <v>4566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</row>
    <row r="5946" spans="1:11" x14ac:dyDescent="0.2">
      <c r="A5946" s="1" t="s">
        <v>895</v>
      </c>
      <c r="B5946" s="1" t="s">
        <v>903</v>
      </c>
      <c r="C5946" s="1" t="str">
        <f>"66298814335001"</f>
        <v>66298814335001</v>
      </c>
      <c r="D5946" s="1" t="str">
        <f>"CK005"</f>
        <v>CK005</v>
      </c>
      <c r="E5946" s="1" t="s">
        <v>4566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</row>
    <row r="5947" spans="1:11" x14ac:dyDescent="0.2">
      <c r="A5947" s="1" t="s">
        <v>895</v>
      </c>
      <c r="B5947" s="1" t="s">
        <v>904</v>
      </c>
      <c r="C5947" s="1" t="str">
        <f>"66298814376491"</f>
        <v>66298814376491</v>
      </c>
      <c r="D5947" s="1" t="str">
        <f>"400994"</f>
        <v>400994</v>
      </c>
      <c r="E5947" s="1" t="s">
        <v>4566</v>
      </c>
      <c r="F5947" s="1">
        <v>44</v>
      </c>
      <c r="G5947" s="1">
        <v>16158</v>
      </c>
      <c r="H5947" s="1">
        <v>710952</v>
      </c>
      <c r="I5947" s="1">
        <v>0</v>
      </c>
      <c r="J5947" s="1">
        <v>44</v>
      </c>
      <c r="K5947" s="1">
        <v>0</v>
      </c>
    </row>
    <row r="5948" spans="1:11" x14ac:dyDescent="0.2">
      <c r="A5948" s="1" t="s">
        <v>895</v>
      </c>
      <c r="B5948" s="1" t="s">
        <v>905</v>
      </c>
      <c r="C5948" s="1" t="str">
        <f>"66298814423624"</f>
        <v>66298814423624</v>
      </c>
      <c r="D5948" s="1" t="str">
        <f>"I66"</f>
        <v>I66</v>
      </c>
      <c r="E5948" s="1" t="s">
        <v>4566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</row>
    <row r="5949" spans="1:11" x14ac:dyDescent="0.2">
      <c r="A5949" s="1" t="s">
        <v>895</v>
      </c>
      <c r="B5949" s="1" t="s">
        <v>906</v>
      </c>
      <c r="C5949" s="1" t="str">
        <f>"66298814467777"</f>
        <v>66298814467777</v>
      </c>
      <c r="D5949" s="1" t="str">
        <f>"CK011"</f>
        <v>CK011</v>
      </c>
      <c r="E5949" s="1" t="s">
        <v>4566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</row>
    <row r="5950" spans="1:11" x14ac:dyDescent="0.2">
      <c r="A5950" s="1" t="s">
        <v>895</v>
      </c>
      <c r="B5950" s="1" t="s">
        <v>907</v>
      </c>
      <c r="C5950" s="1" t="str">
        <f>"66298814509512"</f>
        <v>66298814509512</v>
      </c>
      <c r="D5950" s="1" t="str">
        <f>"CK010"</f>
        <v>CK010</v>
      </c>
      <c r="E5950" s="1" t="s">
        <v>4566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</row>
    <row r="5951" spans="1:11" x14ac:dyDescent="0.2">
      <c r="A5951" s="1" t="s">
        <v>895</v>
      </c>
      <c r="B5951" s="1" t="s">
        <v>908</v>
      </c>
      <c r="C5951" s="1" t="str">
        <f>"66298814549887"</f>
        <v>66298814549887</v>
      </c>
      <c r="D5951" s="1" t="str">
        <f>"CK015"</f>
        <v>CK015</v>
      </c>
      <c r="E5951" s="1" t="s">
        <v>4566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</row>
    <row r="5952" spans="1:11" x14ac:dyDescent="0.2">
      <c r="A5952" s="1" t="s">
        <v>895</v>
      </c>
      <c r="B5952" s="1" t="s">
        <v>909</v>
      </c>
      <c r="C5952" s="1" t="str">
        <f>"66298814586490"</f>
        <v>66298814586490</v>
      </c>
      <c r="D5952" s="1" t="str">
        <f>"400991"</f>
        <v>400991</v>
      </c>
      <c r="E5952" s="1" t="s">
        <v>4566</v>
      </c>
      <c r="F5952" s="1">
        <v>26</v>
      </c>
      <c r="G5952" s="1">
        <v>16498</v>
      </c>
      <c r="H5952" s="1">
        <v>428948</v>
      </c>
      <c r="I5952" s="1">
        <v>0</v>
      </c>
      <c r="J5952" s="1">
        <v>26</v>
      </c>
      <c r="K5952" s="1">
        <v>0</v>
      </c>
    </row>
    <row r="5953" spans="1:11" x14ac:dyDescent="0.2">
      <c r="A5953" s="1" t="s">
        <v>98</v>
      </c>
      <c r="B5953" s="1" t="s">
        <v>910</v>
      </c>
      <c r="C5953" s="1" t="str">
        <f>"66298814625337"</f>
        <v>66298814625337</v>
      </c>
      <c r="D5953" s="1" t="str">
        <f>"HH009"</f>
        <v>HH009</v>
      </c>
      <c r="E5953" s="1" t="s">
        <v>4566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</row>
    <row r="5954" spans="1:11" x14ac:dyDescent="0.2">
      <c r="A5954" s="1" t="s">
        <v>98</v>
      </c>
      <c r="B5954" s="1" t="s">
        <v>911</v>
      </c>
      <c r="C5954" s="1" t="str">
        <f>"66298814671019"</f>
        <v>66298814671019</v>
      </c>
      <c r="D5954" s="1" t="str">
        <f>"HH007"</f>
        <v>HH007</v>
      </c>
      <c r="E5954" s="1" t="s">
        <v>4566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</row>
    <row r="5955" spans="1:11" x14ac:dyDescent="0.2">
      <c r="A5955" s="1" t="s">
        <v>98</v>
      </c>
      <c r="B5955" s="1" t="s">
        <v>912</v>
      </c>
      <c r="C5955" s="1" t="str">
        <f>"66298814710170"</f>
        <v>66298814710170</v>
      </c>
      <c r="D5955" s="1" t="str">
        <f>"HH008"</f>
        <v>HH008</v>
      </c>
      <c r="E5955" s="1" t="s">
        <v>4566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</row>
    <row r="5956" spans="1:11" x14ac:dyDescent="0.2">
      <c r="A5956" s="1" t="s">
        <v>98</v>
      </c>
      <c r="B5956" s="1" t="s">
        <v>913</v>
      </c>
      <c r="C5956" s="1" t="str">
        <f>"66298814750823"</f>
        <v>66298814750823</v>
      </c>
      <c r="D5956" s="1" t="str">
        <f>"HH005"</f>
        <v>HH005</v>
      </c>
      <c r="E5956" s="1" t="s">
        <v>4566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</row>
    <row r="5957" spans="1:11" x14ac:dyDescent="0.2">
      <c r="A5957" s="1" t="s">
        <v>98</v>
      </c>
      <c r="B5957" s="1" t="s">
        <v>914</v>
      </c>
      <c r="C5957" s="1" t="str">
        <f>"66298814792895"</f>
        <v>66298814792895</v>
      </c>
      <c r="D5957" s="1" t="str">
        <f>"HH001"</f>
        <v>HH001</v>
      </c>
      <c r="E5957" s="1" t="s">
        <v>4566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</row>
    <row r="5958" spans="1:11" x14ac:dyDescent="0.2">
      <c r="A5958" s="1" t="s">
        <v>98</v>
      </c>
      <c r="B5958" s="1" t="s">
        <v>915</v>
      </c>
      <c r="C5958" s="1" t="str">
        <f>"66298814831492"</f>
        <v>66298814831492</v>
      </c>
      <c r="D5958" s="1" t="str">
        <f>"HH023"</f>
        <v>HH023</v>
      </c>
      <c r="E5958" s="1" t="s">
        <v>4566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</row>
    <row r="5959" spans="1:11" x14ac:dyDescent="0.2">
      <c r="A5959" s="1" t="s">
        <v>98</v>
      </c>
      <c r="B5959" s="1" t="s">
        <v>916</v>
      </c>
      <c r="C5959" s="1" t="str">
        <f>"66298814875819"</f>
        <v>66298814875819</v>
      </c>
      <c r="D5959" s="1" t="str">
        <f>"HH018"</f>
        <v>HH018</v>
      </c>
      <c r="E5959" s="1" t="s">
        <v>4566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</row>
    <row r="5960" spans="1:11" x14ac:dyDescent="0.2">
      <c r="A5960" s="1" t="s">
        <v>98</v>
      </c>
      <c r="B5960" s="1" t="s">
        <v>917</v>
      </c>
      <c r="C5960" s="1" t="str">
        <f>"66298814919967"</f>
        <v>66298814919967</v>
      </c>
      <c r="D5960" s="1" t="str">
        <f>"HH017"</f>
        <v>HH017</v>
      </c>
      <c r="E5960" s="1" t="s">
        <v>4566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</row>
    <row r="5961" spans="1:11" x14ac:dyDescent="0.2">
      <c r="A5961" s="1" t="s">
        <v>98</v>
      </c>
      <c r="B5961" s="1" t="s">
        <v>917</v>
      </c>
      <c r="C5961" s="1" t="str">
        <f>"66298814926495"</f>
        <v>66298814926495</v>
      </c>
      <c r="D5961" s="1" t="str">
        <f>"HH016"</f>
        <v>HH016</v>
      </c>
      <c r="E5961" s="1" t="s">
        <v>4566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</row>
    <row r="5962" spans="1:11" x14ac:dyDescent="0.2">
      <c r="A5962" s="1" t="s">
        <v>98</v>
      </c>
      <c r="B5962" s="1" t="s">
        <v>918</v>
      </c>
      <c r="C5962" s="1" t="str">
        <f>"66298814980013"</f>
        <v>66298814980013</v>
      </c>
      <c r="D5962" s="1" t="str">
        <f>"HH036"</f>
        <v>HH036</v>
      </c>
      <c r="E5962" s="1" t="s">
        <v>4566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</row>
    <row r="5963" spans="1:11" x14ac:dyDescent="0.2">
      <c r="A5963" s="1" t="s">
        <v>98</v>
      </c>
      <c r="B5963" s="1" t="s">
        <v>919</v>
      </c>
      <c r="C5963" s="1" t="str">
        <f>"66298815023618"</f>
        <v>66298815023618</v>
      </c>
      <c r="D5963" s="1" t="str">
        <f>"Z023"</f>
        <v>Z023</v>
      </c>
      <c r="E5963" s="1" t="s">
        <v>4566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</row>
    <row r="5964" spans="1:11" x14ac:dyDescent="0.2">
      <c r="A5964" s="1" t="s">
        <v>920</v>
      </c>
      <c r="B5964" s="1" t="s">
        <v>921</v>
      </c>
      <c r="C5964" s="1" t="str">
        <f>"66298815066582"</f>
        <v>66298815066582</v>
      </c>
      <c r="D5964" s="1" t="str">
        <f>"BA011"</f>
        <v>BA011</v>
      </c>
      <c r="E5964" s="1" t="s">
        <v>4566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</row>
    <row r="5965" spans="1:11" x14ac:dyDescent="0.2">
      <c r="A5965" s="1" t="s">
        <v>920</v>
      </c>
      <c r="B5965" s="1" t="s">
        <v>922</v>
      </c>
      <c r="C5965" s="1" t="str">
        <f>"66298815144659"</f>
        <v>66298815144659</v>
      </c>
      <c r="D5965" s="1" t="str">
        <f>"400568"</f>
        <v>400568</v>
      </c>
      <c r="E5965" s="1" t="s">
        <v>4566</v>
      </c>
      <c r="F5965" s="1">
        <v>6</v>
      </c>
      <c r="G5965" s="1">
        <v>5673</v>
      </c>
      <c r="H5965" s="1">
        <v>34038</v>
      </c>
      <c r="I5965" s="1">
        <v>0</v>
      </c>
      <c r="J5965" s="1">
        <v>6</v>
      </c>
      <c r="K5965" s="1">
        <v>0</v>
      </c>
    </row>
    <row r="5966" spans="1:11" x14ac:dyDescent="0.2">
      <c r="A5966" s="1" t="s">
        <v>920</v>
      </c>
      <c r="B5966" s="1" t="s">
        <v>923</v>
      </c>
      <c r="C5966" s="1" t="str">
        <f>"66298815105393"</f>
        <v>66298815105393</v>
      </c>
      <c r="D5966" s="1" t="str">
        <f>"BA020"</f>
        <v>BA020</v>
      </c>
      <c r="E5966" s="1" t="s">
        <v>4566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</row>
    <row r="5967" spans="1:11" x14ac:dyDescent="0.2">
      <c r="A5967" s="1" t="s">
        <v>920</v>
      </c>
      <c r="B5967" s="1" t="s">
        <v>924</v>
      </c>
      <c r="C5967" s="1" t="str">
        <f>"66298815184819"</f>
        <v>66298815184819</v>
      </c>
      <c r="D5967" s="1" t="str">
        <f>"400569"</f>
        <v>400569</v>
      </c>
      <c r="E5967" s="1" t="s">
        <v>4566</v>
      </c>
      <c r="F5967" s="1">
        <v>13</v>
      </c>
      <c r="G5967" s="1">
        <v>5673</v>
      </c>
      <c r="H5967" s="1">
        <v>73749</v>
      </c>
      <c r="I5967" s="1">
        <v>0</v>
      </c>
      <c r="J5967" s="1">
        <v>13</v>
      </c>
      <c r="K5967" s="1">
        <v>0</v>
      </c>
    </row>
    <row r="5968" spans="1:11" x14ac:dyDescent="0.2">
      <c r="A5968" s="1" t="s">
        <v>920</v>
      </c>
      <c r="B5968" s="1" t="s">
        <v>925</v>
      </c>
      <c r="C5968" s="1" t="str">
        <f>"66298815225822"</f>
        <v>66298815225822</v>
      </c>
      <c r="D5968" s="1" t="str">
        <f>"QA022"</f>
        <v>QA022</v>
      </c>
      <c r="E5968" s="1" t="s">
        <v>4566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</row>
    <row r="5969" spans="1:11" x14ac:dyDescent="0.2">
      <c r="A5969" s="1" t="s">
        <v>920</v>
      </c>
      <c r="B5969" s="1" t="s">
        <v>926</v>
      </c>
      <c r="C5969" s="1" t="str">
        <f>"66298815264017"</f>
        <v>66298815264017</v>
      </c>
      <c r="D5969" s="1" t="str">
        <f>"QA020"</f>
        <v>QA020</v>
      </c>
      <c r="E5969" s="1" t="s">
        <v>4566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</row>
    <row r="5970" spans="1:11" x14ac:dyDescent="0.2">
      <c r="A5970" s="1" t="s">
        <v>920</v>
      </c>
      <c r="B5970" s="1" t="s">
        <v>927</v>
      </c>
      <c r="C5970" s="1" t="str">
        <f>"66298815303768"</f>
        <v>66298815303768</v>
      </c>
      <c r="D5970" s="1" t="str">
        <f>"QA010"</f>
        <v>QA010</v>
      </c>
      <c r="E5970" s="1" t="s">
        <v>4566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</row>
    <row r="5971" spans="1:11" x14ac:dyDescent="0.2">
      <c r="A5971" s="1" t="s">
        <v>920</v>
      </c>
      <c r="B5971" s="1" t="s">
        <v>928</v>
      </c>
      <c r="C5971" s="1" t="str">
        <f>"66298815343939"</f>
        <v>66298815343939</v>
      </c>
      <c r="D5971" s="1" t="str">
        <f>"QA030"</f>
        <v>QA030</v>
      </c>
      <c r="E5971" s="1" t="s">
        <v>4566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</row>
    <row r="5972" spans="1:11" x14ac:dyDescent="0.2">
      <c r="A5972" s="1" t="s">
        <v>920</v>
      </c>
      <c r="B5972" s="1" t="s">
        <v>929</v>
      </c>
      <c r="C5972" s="1" t="str">
        <f>"66298815425893"</f>
        <v>66298815425893</v>
      </c>
      <c r="D5972" s="1" t="str">
        <f>"400567"</f>
        <v>400567</v>
      </c>
      <c r="E5972" s="1" t="s">
        <v>4566</v>
      </c>
      <c r="F5972" s="1">
        <v>3</v>
      </c>
      <c r="G5972" s="1">
        <v>5673</v>
      </c>
      <c r="H5972" s="1">
        <v>17019</v>
      </c>
      <c r="I5972" s="1">
        <v>0</v>
      </c>
      <c r="J5972" s="1">
        <v>3</v>
      </c>
      <c r="K5972" s="1">
        <v>0</v>
      </c>
    </row>
    <row r="5973" spans="1:11" x14ac:dyDescent="0.2">
      <c r="A5973" s="1" t="s">
        <v>920</v>
      </c>
      <c r="B5973" s="1" t="s">
        <v>930</v>
      </c>
      <c r="C5973" s="1" t="str">
        <f>"66298815387881"</f>
        <v>66298815387881</v>
      </c>
      <c r="D5973" s="1" t="str">
        <f>"QA016"</f>
        <v>QA016</v>
      </c>
      <c r="E5973" s="1" t="s">
        <v>4566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</row>
    <row r="5974" spans="1:11" x14ac:dyDescent="0.2">
      <c r="A5974" s="1" t="s">
        <v>931</v>
      </c>
      <c r="B5974" s="1" t="s">
        <v>932</v>
      </c>
      <c r="C5974" s="1" t="str">
        <f>"CA300/350X10SR"</f>
        <v>CA300/350X10SR</v>
      </c>
      <c r="D5974" s="1" t="str">
        <f>"CA300/350X10SR"</f>
        <v>CA300/350X10SR</v>
      </c>
      <c r="E5974" s="1" t="s">
        <v>4566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</row>
    <row r="5975" spans="1:11" x14ac:dyDescent="0.2">
      <c r="A5975" s="1" t="s">
        <v>931</v>
      </c>
      <c r="B5975" s="1" t="s">
        <v>933</v>
      </c>
      <c r="C5975" s="1" t="str">
        <f>"CA300X10DURO"</f>
        <v>CA300X10DURO</v>
      </c>
      <c r="D5975" s="1" t="str">
        <f>"CA300X10DURO"</f>
        <v>CA300X10DURO</v>
      </c>
      <c r="E5975" s="1" t="s">
        <v>4566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</row>
    <row r="5976" spans="1:11" x14ac:dyDescent="0.2">
      <c r="A5976" s="1" t="s">
        <v>931</v>
      </c>
      <c r="B5976" s="1" t="s">
        <v>934</v>
      </c>
      <c r="C5976" s="1" t="str">
        <f>"66298815511462"</f>
        <v>66298815511462</v>
      </c>
      <c r="D5976" s="1" t="str">
        <f>"CA300X10"</f>
        <v>CA300X10</v>
      </c>
      <c r="E5976" s="1" t="s">
        <v>4566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</row>
    <row r="5977" spans="1:11" x14ac:dyDescent="0.2">
      <c r="A5977" s="1" t="s">
        <v>931</v>
      </c>
      <c r="B5977" s="1" t="s">
        <v>935</v>
      </c>
      <c r="C5977" s="1" t="str">
        <f>"66298815566458"</f>
        <v>66298815566458</v>
      </c>
      <c r="D5977" s="1" t="str">
        <f>"CA350X10KAISER"</f>
        <v>CA350X10KAISER</v>
      </c>
      <c r="E5977" s="1" t="s">
        <v>4566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</row>
    <row r="5978" spans="1:11" x14ac:dyDescent="0.2">
      <c r="A5978" s="1" t="s">
        <v>931</v>
      </c>
      <c r="B5978" s="1" t="s">
        <v>936</v>
      </c>
      <c r="C5978" s="1" t="str">
        <f>"CA120/70X12SR"</f>
        <v>CA120/70X12SR</v>
      </c>
      <c r="D5978" s="1" t="str">
        <f>"CA120/70X12SR"</f>
        <v>CA120/70X12SR</v>
      </c>
      <c r="E5978" s="1" t="s">
        <v>4566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</row>
    <row r="5979" spans="1:11" x14ac:dyDescent="0.2">
      <c r="A5979" s="1" t="s">
        <v>931</v>
      </c>
      <c r="B5979" s="1" t="s">
        <v>937</v>
      </c>
      <c r="C5979" s="1" t="str">
        <f>"CA300/350X12DURO"</f>
        <v>CA300/350X12DURO</v>
      </c>
      <c r="D5979" s="1" t="str">
        <f>"CA300/350X12DURO"</f>
        <v>CA300/350X12DURO</v>
      </c>
      <c r="E5979" s="1" t="s">
        <v>4566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</row>
    <row r="5980" spans="1:11" x14ac:dyDescent="0.2">
      <c r="A5980" s="1" t="s">
        <v>931</v>
      </c>
      <c r="B5980" s="1" t="s">
        <v>938</v>
      </c>
      <c r="C5980" s="1" t="str">
        <f>"CA130/60X13SR"</f>
        <v>CA130/60X13SR</v>
      </c>
      <c r="D5980" s="1" t="str">
        <f>"CA130/60X13SR"</f>
        <v>CA130/60X13SR</v>
      </c>
      <c r="E5980" s="1" t="s">
        <v>4566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</row>
    <row r="5981" spans="1:11" x14ac:dyDescent="0.2">
      <c r="A5981" s="1" t="s">
        <v>931</v>
      </c>
      <c r="B5981" s="1" t="s">
        <v>939</v>
      </c>
      <c r="C5981" s="1" t="str">
        <f>"66298815621907"</f>
        <v>66298815621907</v>
      </c>
      <c r="D5981" s="1" t="str">
        <f>"CA275/300X14DURO"</f>
        <v>CA275/300X14DURO</v>
      </c>
      <c r="E5981" s="1" t="s">
        <v>4566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</row>
    <row r="5982" spans="1:11" x14ac:dyDescent="0.2">
      <c r="A5982" s="1" t="s">
        <v>931</v>
      </c>
      <c r="B5982" s="1" t="s">
        <v>940</v>
      </c>
      <c r="C5982" s="1" t="str">
        <f>"CA275/300X14SR"</f>
        <v>CA275/300X14SR</v>
      </c>
      <c r="D5982" s="1" t="str">
        <f>"CA275/300X14SR"</f>
        <v>CA275/300X14SR</v>
      </c>
      <c r="E5982" s="1" t="s">
        <v>4566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</row>
    <row r="5983" spans="1:11" x14ac:dyDescent="0.2">
      <c r="A5983" s="1" t="s">
        <v>931</v>
      </c>
      <c r="B5983" s="1" t="s">
        <v>941</v>
      </c>
      <c r="C5983" s="1" t="str">
        <f>"CA130/90X15DURO"</f>
        <v>CA130/90X15DURO</v>
      </c>
      <c r="D5983" s="1" t="str">
        <f>"CA130/90X15DURO"</f>
        <v>CA130/90X15DURO</v>
      </c>
      <c r="E5983" s="1" t="s">
        <v>4566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</row>
    <row r="5984" spans="1:11" x14ac:dyDescent="0.2">
      <c r="A5984" s="1" t="s">
        <v>931</v>
      </c>
      <c r="B5984" s="1" t="s">
        <v>942</v>
      </c>
      <c r="C5984" s="1" t="str">
        <f>"CA130/90X15SR"</f>
        <v>CA130/90X15SR</v>
      </c>
      <c r="D5984" s="1" t="str">
        <f>"CA130/90X15SR"</f>
        <v>CA130/90X15SR</v>
      </c>
      <c r="E5984" s="1" t="s">
        <v>4566</v>
      </c>
      <c r="F5984" s="1">
        <v>20</v>
      </c>
      <c r="G5984" s="1">
        <v>3600</v>
      </c>
      <c r="H5984" s="1">
        <v>72000</v>
      </c>
      <c r="I5984" s="1">
        <v>0</v>
      </c>
      <c r="J5984" s="1">
        <v>20</v>
      </c>
      <c r="K5984" s="1">
        <v>0</v>
      </c>
    </row>
    <row r="5985" spans="1:11" x14ac:dyDescent="0.2">
      <c r="A5985" s="1" t="s">
        <v>931</v>
      </c>
      <c r="B5985" s="1" t="s">
        <v>943</v>
      </c>
      <c r="C5985" s="1" t="str">
        <f>"CA275/300X16"</f>
        <v>CA275/300X16</v>
      </c>
      <c r="D5985" s="1" t="str">
        <f>"CA275/300X16"</f>
        <v>CA275/300X16</v>
      </c>
      <c r="E5985" s="1" t="s">
        <v>4566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</row>
    <row r="5986" spans="1:11" x14ac:dyDescent="0.2">
      <c r="A5986" s="1" t="s">
        <v>931</v>
      </c>
      <c r="B5986" s="1" t="s">
        <v>944</v>
      </c>
      <c r="C5986" s="1" t="str">
        <f>"CA325/350X16DURO"</f>
        <v>CA325/350X16DURO</v>
      </c>
      <c r="D5986" s="1" t="str">
        <f>"CA325/350X16DURO"</f>
        <v>CA325/350X16DURO</v>
      </c>
      <c r="E5986" s="1" t="s">
        <v>4566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</row>
    <row r="5987" spans="1:11" x14ac:dyDescent="0.2">
      <c r="A5987" s="1" t="s">
        <v>931</v>
      </c>
      <c r="B5987" s="1" t="s">
        <v>945</v>
      </c>
      <c r="C5987" s="1" t="str">
        <f>"CA325/350X16SR"</f>
        <v>CA325/350X16SR</v>
      </c>
      <c r="D5987" s="1" t="str">
        <f>"CA325/350X16SR"</f>
        <v>CA325/350X16SR</v>
      </c>
      <c r="E5987" s="1" t="s">
        <v>4566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</row>
    <row r="5988" spans="1:11" x14ac:dyDescent="0.2">
      <c r="A5988" s="1" t="s">
        <v>931</v>
      </c>
      <c r="B5988" s="1" t="s">
        <v>946</v>
      </c>
      <c r="C5988" s="1" t="str">
        <f>"CA350/400X16DURO"</f>
        <v>CA350/400X16DURO</v>
      </c>
      <c r="D5988" s="1" t="str">
        <f>"CA350/400X16DURO"</f>
        <v>CA350/400X16DURO</v>
      </c>
      <c r="E5988" s="1" t="s">
        <v>4566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</row>
    <row r="5989" spans="1:11" x14ac:dyDescent="0.2">
      <c r="A5989" s="1" t="s">
        <v>931</v>
      </c>
      <c r="B5989" s="1" t="s">
        <v>947</v>
      </c>
      <c r="C5989" s="1" t="str">
        <f>"CA400/450X16SR"</f>
        <v>CA400/450X16SR</v>
      </c>
      <c r="D5989" s="1" t="str">
        <f>"CA400/450X16SR"</f>
        <v>CA400/450X16SR</v>
      </c>
      <c r="E5989" s="1" t="s">
        <v>4566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</row>
    <row r="5990" spans="1:11" x14ac:dyDescent="0.2">
      <c r="A5990" s="1" t="s">
        <v>931</v>
      </c>
      <c r="B5990" s="1" t="s">
        <v>948</v>
      </c>
      <c r="C5990" s="1" t="str">
        <f>"CA275/300X17DURO"</f>
        <v>CA275/300X17DURO</v>
      </c>
      <c r="D5990" s="1" t="str">
        <f>"CA275/300X17DURO"</f>
        <v>CA275/300X17DURO</v>
      </c>
      <c r="E5990" s="1" t="s">
        <v>4566</v>
      </c>
      <c r="F5990" s="1">
        <v>25</v>
      </c>
      <c r="G5990" s="1">
        <v>2145</v>
      </c>
      <c r="H5990" s="1">
        <v>53625</v>
      </c>
      <c r="I5990" s="1">
        <v>0</v>
      </c>
      <c r="J5990" s="1">
        <v>25</v>
      </c>
      <c r="K5990" s="1">
        <v>0</v>
      </c>
    </row>
    <row r="5991" spans="1:11" x14ac:dyDescent="0.2">
      <c r="A5991" s="1" t="s">
        <v>931</v>
      </c>
      <c r="B5991" s="1" t="s">
        <v>949</v>
      </c>
      <c r="C5991" s="1" t="str">
        <f>"CA275/300X17SR"</f>
        <v>CA275/300X17SR</v>
      </c>
      <c r="D5991" s="1" t="str">
        <f>"CA275/300X17SR"</f>
        <v>CA275/300X17SR</v>
      </c>
      <c r="E5991" s="1" t="s">
        <v>4566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</row>
    <row r="5992" spans="1:11" x14ac:dyDescent="0.2">
      <c r="A5992" s="1" t="s">
        <v>931</v>
      </c>
      <c r="B5992" s="1" t="s">
        <v>950</v>
      </c>
      <c r="C5992" s="1" t="str">
        <f>"66298815666626"</f>
        <v>66298815666626</v>
      </c>
      <c r="D5992" s="1" t="str">
        <f>"CA275/300X17VN"</f>
        <v>CA275/300X17VN</v>
      </c>
      <c r="E5992" s="1" t="s">
        <v>4566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</row>
    <row r="5993" spans="1:11" x14ac:dyDescent="0.2">
      <c r="A5993" s="1" t="s">
        <v>931</v>
      </c>
      <c r="B5993" s="1" t="s">
        <v>951</v>
      </c>
      <c r="C5993" s="1" t="str">
        <f>"CA275/300X17"</f>
        <v>CA275/300X17</v>
      </c>
      <c r="D5993" s="1" t="str">
        <f>"CA275/300X17"</f>
        <v>CA275/300X17</v>
      </c>
      <c r="E5993" s="1" t="s">
        <v>4566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</row>
    <row r="5994" spans="1:11" x14ac:dyDescent="0.2">
      <c r="A5994" s="1" t="s">
        <v>931</v>
      </c>
      <c r="B5994" s="1" t="s">
        <v>952</v>
      </c>
      <c r="C5994" s="1" t="str">
        <f>"CA350/400X17DURO"</f>
        <v>CA350/400X17DURO</v>
      </c>
      <c r="D5994" s="1" t="str">
        <f>"CA350/400X17DURO"</f>
        <v>CA350/400X17DURO</v>
      </c>
      <c r="E5994" s="1" t="s">
        <v>4566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</row>
    <row r="5995" spans="1:11" x14ac:dyDescent="0.2">
      <c r="A5995" s="1" t="s">
        <v>931</v>
      </c>
      <c r="B5995" s="1" t="s">
        <v>953</v>
      </c>
      <c r="C5995" s="1" t="str">
        <f>"CA350/400X17SR"</f>
        <v>CA350/400X17SR</v>
      </c>
      <c r="D5995" s="1" t="str">
        <f>"CA350/400X17SR"</f>
        <v>CA350/400X17SR</v>
      </c>
      <c r="E5995" s="1" t="s">
        <v>4566</v>
      </c>
      <c r="F5995" s="1">
        <v>10</v>
      </c>
      <c r="G5995" s="1">
        <v>3500</v>
      </c>
      <c r="H5995" s="1">
        <v>35000</v>
      </c>
      <c r="I5995" s="1">
        <v>0</v>
      </c>
      <c r="J5995" s="1">
        <v>10</v>
      </c>
      <c r="K5995" s="1">
        <v>0</v>
      </c>
    </row>
    <row r="5996" spans="1:11" x14ac:dyDescent="0.2">
      <c r="A5996" s="1" t="s">
        <v>931</v>
      </c>
      <c r="B5996" s="1" t="s">
        <v>954</v>
      </c>
      <c r="C5996" s="1" t="str">
        <f>"CA400/450X17DURO"</f>
        <v>CA400/450X17DURO</v>
      </c>
      <c r="D5996" s="1" t="str">
        <f>"CA400/450X17DURO"</f>
        <v>CA400/450X17DURO</v>
      </c>
      <c r="E5996" s="1" t="s">
        <v>4566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</row>
    <row r="5997" spans="1:11" x14ac:dyDescent="0.2">
      <c r="A5997" s="1" t="s">
        <v>931</v>
      </c>
      <c r="B5997" s="1" t="s">
        <v>955</v>
      </c>
      <c r="C5997" s="1" t="str">
        <f>"CA400/460X17SR"</f>
        <v>CA400/460X17SR</v>
      </c>
      <c r="D5997" s="1" t="str">
        <f>"CA400/460X17SR"</f>
        <v>CA400/460X17SR</v>
      </c>
      <c r="E5997" s="1" t="s">
        <v>4566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</row>
    <row r="5998" spans="1:11" ht="30" x14ac:dyDescent="0.2">
      <c r="A5998" s="1" t="s">
        <v>931</v>
      </c>
      <c r="B5998" s="1" t="s">
        <v>956</v>
      </c>
      <c r="C5998" s="1" t="str">
        <f>"66298815751172"</f>
        <v>66298815751172</v>
      </c>
      <c r="D5998" s="1" t="str">
        <f>"CA100/100-18XHD"</f>
        <v>CA100/100-18XHD</v>
      </c>
      <c r="E5998" s="1" t="s">
        <v>4566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</row>
    <row r="5999" spans="1:11" x14ac:dyDescent="0.2">
      <c r="A5999" s="1" t="s">
        <v>931</v>
      </c>
      <c r="B5999" s="1" t="s">
        <v>957</v>
      </c>
      <c r="C5999" s="1" t="str">
        <f>"CA275/300X18CST"</f>
        <v>CA275/300X18CST</v>
      </c>
      <c r="D5999" s="1" t="str">
        <f>"CA275/300X18CST"</f>
        <v>CA275/300X18CST</v>
      </c>
      <c r="E5999" s="1" t="s">
        <v>4566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</row>
    <row r="6000" spans="1:11" x14ac:dyDescent="0.2">
      <c r="A6000" s="1" t="s">
        <v>931</v>
      </c>
      <c r="B6000" s="1" t="s">
        <v>958</v>
      </c>
      <c r="C6000" s="1" t="str">
        <f>"CA275/300X18DURO"</f>
        <v>CA275/300X18DURO</v>
      </c>
      <c r="D6000" s="1" t="str">
        <f>"CA275/300X18DURO"</f>
        <v>CA275/300X18DURO</v>
      </c>
      <c r="E6000" s="1" t="s">
        <v>4566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</row>
    <row r="6001" spans="1:11" x14ac:dyDescent="0.2">
      <c r="A6001" s="1" t="s">
        <v>931</v>
      </c>
      <c r="B6001" s="1" t="s">
        <v>959</v>
      </c>
      <c r="C6001" s="1" t="str">
        <f>"CA275/300X18SR"</f>
        <v>CA275/300X18SR</v>
      </c>
      <c r="D6001" s="1" t="str">
        <f>"CA275/300X18SR"</f>
        <v>CA275/300X18SR</v>
      </c>
      <c r="E6001" s="1" t="s">
        <v>4566</v>
      </c>
      <c r="F6001" s="1">
        <v>40</v>
      </c>
      <c r="G6001" s="1">
        <v>2300</v>
      </c>
      <c r="H6001" s="1">
        <v>92000</v>
      </c>
      <c r="I6001" s="1">
        <v>0</v>
      </c>
      <c r="J6001" s="1">
        <v>40</v>
      </c>
      <c r="K6001" s="1">
        <v>0</v>
      </c>
    </row>
    <row r="6002" spans="1:11" x14ac:dyDescent="0.2">
      <c r="A6002" s="1" t="s">
        <v>931</v>
      </c>
      <c r="B6002" s="1" t="s">
        <v>960</v>
      </c>
      <c r="C6002" s="1" t="str">
        <f>"66298815790477"</f>
        <v>66298815790477</v>
      </c>
      <c r="D6002" s="1" t="str">
        <f>"CA275/300X18VN"</f>
        <v>CA275/300X18VN</v>
      </c>
      <c r="E6002" s="1" t="s">
        <v>4566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</row>
    <row r="6003" spans="1:11" x14ac:dyDescent="0.2">
      <c r="A6003" s="1" t="s">
        <v>931</v>
      </c>
      <c r="B6003" s="1" t="s">
        <v>961</v>
      </c>
      <c r="C6003" s="1" t="str">
        <f>"CA300/350X18DURO"</f>
        <v>CA300/350X18DURO</v>
      </c>
      <c r="D6003" s="1" t="str">
        <f>"CA300/350X18DURO"</f>
        <v>CA300/350X18DURO</v>
      </c>
      <c r="E6003" s="1" t="s">
        <v>4566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</row>
    <row r="6004" spans="1:11" x14ac:dyDescent="0.2">
      <c r="A6004" s="1" t="s">
        <v>931</v>
      </c>
      <c r="B6004" s="1" t="s">
        <v>962</v>
      </c>
      <c r="C6004" s="1" t="str">
        <f>"66298815834561"</f>
        <v>66298815834561</v>
      </c>
      <c r="D6004" s="1" t="str">
        <f>"CA325/350X18KS"</f>
        <v>CA325/350X18KS</v>
      </c>
      <c r="E6004" s="1" t="s">
        <v>4566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</row>
    <row r="6005" spans="1:11" x14ac:dyDescent="0.2">
      <c r="A6005" s="1" t="s">
        <v>931</v>
      </c>
      <c r="B6005" s="1" t="s">
        <v>963</v>
      </c>
      <c r="C6005" s="1" t="str">
        <f>"CA350/400X18DURO"</f>
        <v>CA350/400X18DURO</v>
      </c>
      <c r="D6005" s="1" t="str">
        <f>"CA350/400X18DURO"</f>
        <v>CA350/400X18DURO</v>
      </c>
      <c r="E6005" s="1" t="s">
        <v>4566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</row>
    <row r="6006" spans="1:11" x14ac:dyDescent="0.2">
      <c r="A6006" s="1" t="s">
        <v>931</v>
      </c>
      <c r="B6006" s="1" t="s">
        <v>964</v>
      </c>
      <c r="C6006" s="1" t="str">
        <f>"CA350/400X18SR"</f>
        <v>CA350/400X18SR</v>
      </c>
      <c r="D6006" s="1" t="str">
        <f>"CA350/400X18SR"</f>
        <v>CA350/400X18SR</v>
      </c>
      <c r="E6006" s="1" t="s">
        <v>4566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</row>
    <row r="6007" spans="1:11" x14ac:dyDescent="0.2">
      <c r="A6007" s="1" t="s">
        <v>931</v>
      </c>
      <c r="B6007" s="1" t="s">
        <v>965</v>
      </c>
      <c r="C6007" s="1" t="str">
        <f>"CA350X18DURO"</f>
        <v>CA350X18DURO</v>
      </c>
      <c r="D6007" s="1" t="str">
        <f>"CA350X18DURO"</f>
        <v>CA350X18DURO</v>
      </c>
      <c r="E6007" s="1" t="s">
        <v>4566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</row>
    <row r="6008" spans="1:11" x14ac:dyDescent="0.2">
      <c r="A6008" s="1" t="s">
        <v>931</v>
      </c>
      <c r="B6008" s="1" t="s">
        <v>966</v>
      </c>
      <c r="C6008" s="1" t="str">
        <f>"CA400/450X18DURO"</f>
        <v>CA400/450X18DURO</v>
      </c>
      <c r="D6008" s="1" t="str">
        <f>"CA400/450X18DURO"</f>
        <v>CA400/450X18DURO</v>
      </c>
      <c r="E6008" s="1" t="s">
        <v>4566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</row>
    <row r="6009" spans="1:11" x14ac:dyDescent="0.2">
      <c r="A6009" s="1" t="s">
        <v>931</v>
      </c>
      <c r="B6009" s="1" t="s">
        <v>967</v>
      </c>
      <c r="C6009" s="1" t="str">
        <f>"66298815873489"</f>
        <v>66298815873489</v>
      </c>
      <c r="D6009" s="1" t="str">
        <f>"CA400/450X18VN"</f>
        <v>CA400/450X18VN</v>
      </c>
      <c r="E6009" s="1" t="s">
        <v>4566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</row>
    <row r="6010" spans="1:11" x14ac:dyDescent="0.2">
      <c r="A6010" s="1" t="s">
        <v>931</v>
      </c>
      <c r="B6010" s="1" t="s">
        <v>968</v>
      </c>
      <c r="C6010" s="1" t="str">
        <f>"CA410/460X18SR"</f>
        <v>CA410/460X18SR</v>
      </c>
      <c r="D6010" s="1" t="str">
        <f>"CA410/460X18SR"</f>
        <v>CA410/460X18SR</v>
      </c>
      <c r="E6010" s="1" t="s">
        <v>4566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</row>
    <row r="6011" spans="1:11" x14ac:dyDescent="0.2">
      <c r="A6011" s="1" t="s">
        <v>931</v>
      </c>
      <c r="B6011" s="1" t="s">
        <v>969</v>
      </c>
      <c r="C6011" s="1" t="str">
        <f>"CA410X18DURO"</f>
        <v>CA410X18DURO</v>
      </c>
      <c r="D6011" s="1" t="str">
        <f>"CA410X18DURO"</f>
        <v>CA410X18DURO</v>
      </c>
      <c r="E6011" s="1" t="s">
        <v>4566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</row>
    <row r="6012" spans="1:11" x14ac:dyDescent="0.2">
      <c r="A6012" s="1" t="s">
        <v>931</v>
      </c>
      <c r="B6012" s="1" t="s">
        <v>970</v>
      </c>
      <c r="C6012" s="1" t="str">
        <f>"66298815954727"</f>
        <v>66298815954727</v>
      </c>
      <c r="D6012" s="1" t="str">
        <f>"CA460/510X18"</f>
        <v>CA460/510X18</v>
      </c>
      <c r="E6012" s="1" t="s">
        <v>4566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</row>
    <row r="6013" spans="1:11" x14ac:dyDescent="0.2">
      <c r="A6013" s="1" t="s">
        <v>931</v>
      </c>
      <c r="B6013" s="1" t="s">
        <v>971</v>
      </c>
      <c r="C6013" s="1" t="str">
        <f>"CA460/510X18DURO"</f>
        <v>CA460/510X18DURO</v>
      </c>
      <c r="D6013" s="1" t="str">
        <f>"CA460/510X18DURO"</f>
        <v>CA460/510X18DURO</v>
      </c>
      <c r="E6013" s="1" t="s">
        <v>4566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</row>
    <row r="6014" spans="1:11" x14ac:dyDescent="0.2">
      <c r="A6014" s="1" t="s">
        <v>931</v>
      </c>
      <c r="B6014" s="1" t="s">
        <v>972</v>
      </c>
      <c r="C6014" s="1" t="str">
        <f>"CA460/510X18SR"</f>
        <v>CA460/510X18SR</v>
      </c>
      <c r="D6014" s="1" t="str">
        <f>"CA460/510X18SR"</f>
        <v>CA460/510X18SR</v>
      </c>
      <c r="E6014" s="1" t="s">
        <v>4566</v>
      </c>
      <c r="F6014" s="1">
        <v>8</v>
      </c>
      <c r="G6014" s="1">
        <v>2841</v>
      </c>
      <c r="H6014" s="1">
        <v>22728</v>
      </c>
      <c r="I6014" s="1">
        <v>0</v>
      </c>
      <c r="J6014" s="1">
        <v>8</v>
      </c>
      <c r="K6014" s="1">
        <v>0</v>
      </c>
    </row>
    <row r="6015" spans="1:11" x14ac:dyDescent="0.2">
      <c r="A6015" s="1" t="s">
        <v>931</v>
      </c>
      <c r="B6015" s="1" t="s">
        <v>973</v>
      </c>
      <c r="C6015" s="1" t="str">
        <f>"66298815911516"</f>
        <v>66298815911516</v>
      </c>
      <c r="D6015" s="1" t="str">
        <f>"CA460/510X18EV"</f>
        <v>CA460/510X18EV</v>
      </c>
      <c r="E6015" s="1" t="s">
        <v>4566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</row>
    <row r="6016" spans="1:11" x14ac:dyDescent="0.2">
      <c r="A6016" s="1" t="s">
        <v>931</v>
      </c>
      <c r="B6016" s="1" t="s">
        <v>974</v>
      </c>
      <c r="C6016" s="1" t="str">
        <f>"66298830946914"</f>
        <v>66298830946914</v>
      </c>
      <c r="D6016" s="1" t="str">
        <f>"CA460X18TS"</f>
        <v>CA460X18TS</v>
      </c>
      <c r="E6016" s="1" t="s">
        <v>4566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</row>
    <row r="6017" spans="1:11" x14ac:dyDescent="0.2">
      <c r="A6017" s="1" t="s">
        <v>931</v>
      </c>
      <c r="B6017" s="1" t="s">
        <v>975</v>
      </c>
      <c r="C6017" s="1" t="str">
        <f>"66298830985742"</f>
        <v>66298830985742</v>
      </c>
      <c r="D6017" s="1" t="str">
        <f>"CA110/80-19TS"</f>
        <v>CA110/80-19TS</v>
      </c>
      <c r="E6017" s="1" t="s">
        <v>4566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</row>
    <row r="6018" spans="1:11" x14ac:dyDescent="0.2">
      <c r="A6018" s="1" t="s">
        <v>931</v>
      </c>
      <c r="B6018" s="1" t="s">
        <v>976</v>
      </c>
      <c r="C6018" s="1" t="str">
        <f>"66298831025016"</f>
        <v>66298831025016</v>
      </c>
      <c r="D6018" s="1" t="str">
        <f>"CA275/300X19DUR"</f>
        <v>CA275/300X19DUR</v>
      </c>
      <c r="E6018" s="1" t="s">
        <v>4566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</row>
    <row r="6019" spans="1:11" x14ac:dyDescent="0.2">
      <c r="A6019" s="1" t="s">
        <v>931</v>
      </c>
      <c r="B6019" s="1" t="s">
        <v>977</v>
      </c>
      <c r="C6019" s="1" t="str">
        <f>"66298831067859"</f>
        <v>66298831067859</v>
      </c>
      <c r="D6019" s="1" t="str">
        <f>"CA275/300X19KS"</f>
        <v>CA275/300X19KS</v>
      </c>
      <c r="E6019" s="1" t="s">
        <v>4566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</row>
    <row r="6020" spans="1:11" x14ac:dyDescent="0.2">
      <c r="A6020" s="1" t="s">
        <v>931</v>
      </c>
      <c r="B6020" s="1" t="s">
        <v>978</v>
      </c>
      <c r="C6020" s="1" t="str">
        <f>"66298831109113"</f>
        <v>66298831109113</v>
      </c>
      <c r="D6020" s="1" t="str">
        <f>"CA275/300X19SR"</f>
        <v>CA275/300X19SR</v>
      </c>
      <c r="E6020" s="1" t="s">
        <v>4566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</row>
    <row r="6021" spans="1:11" x14ac:dyDescent="0.2">
      <c r="A6021" s="1" t="s">
        <v>931</v>
      </c>
      <c r="B6021" s="1" t="s">
        <v>979</v>
      </c>
      <c r="C6021" s="1" t="str">
        <f>"CA350/400X19DURO"</f>
        <v>CA350/400X19DURO</v>
      </c>
      <c r="D6021" s="1" t="str">
        <f>"CA350/400X19DURO"</f>
        <v>CA350/400X19DURO</v>
      </c>
      <c r="E6021" s="1" t="s">
        <v>4566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</row>
    <row r="6022" spans="1:11" x14ac:dyDescent="0.2">
      <c r="A6022" s="1" t="s">
        <v>931</v>
      </c>
      <c r="B6022" s="1" t="s">
        <v>980</v>
      </c>
      <c r="C6022" s="1" t="str">
        <f>"66298831189386"</f>
        <v>66298831189386</v>
      </c>
      <c r="D6022" s="1" t="str">
        <f>"CA350/400X19KS"</f>
        <v>CA350/400X19KS</v>
      </c>
      <c r="E6022" s="1" t="s">
        <v>4566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</row>
    <row r="6023" spans="1:11" x14ac:dyDescent="0.2">
      <c r="A6023" s="1" t="s">
        <v>931</v>
      </c>
      <c r="B6023" s="1" t="s">
        <v>981</v>
      </c>
      <c r="C6023" s="1" t="str">
        <f>"CA350X19DURO"</f>
        <v>CA350X19DURO</v>
      </c>
      <c r="D6023" s="1" t="str">
        <f>"CA350X19DURO"</f>
        <v>CA350X19DURO</v>
      </c>
      <c r="E6023" s="1" t="s">
        <v>4566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</row>
    <row r="6024" spans="1:11" x14ac:dyDescent="0.2">
      <c r="A6024" s="1" t="s">
        <v>931</v>
      </c>
      <c r="B6024" s="1" t="s">
        <v>982</v>
      </c>
      <c r="C6024" s="1" t="str">
        <f>"CA400/460X19SR"</f>
        <v>CA400/460X19SR</v>
      </c>
      <c r="D6024" s="1" t="str">
        <f>"CA400/460X19SR"</f>
        <v>CA400/460X19SR</v>
      </c>
      <c r="E6024" s="1" t="s">
        <v>4566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</row>
    <row r="6025" spans="1:11" x14ac:dyDescent="0.2">
      <c r="A6025" s="1" t="s">
        <v>931</v>
      </c>
      <c r="B6025" s="1" t="s">
        <v>983</v>
      </c>
      <c r="C6025" s="1" t="str">
        <f>"66298831717906"</f>
        <v>66298831717906</v>
      </c>
      <c r="D6025" s="1" t="str">
        <f>"CA275/300X21"</f>
        <v>CA275/300X21</v>
      </c>
      <c r="E6025" s="1" t="s">
        <v>4566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</row>
    <row r="6026" spans="1:11" x14ac:dyDescent="0.2">
      <c r="A6026" s="1" t="s">
        <v>931</v>
      </c>
      <c r="B6026" s="1" t="s">
        <v>984</v>
      </c>
      <c r="C6026" s="1" t="str">
        <f>"CA275/300X21DURO"</f>
        <v>CA275/300X21DURO</v>
      </c>
      <c r="D6026" s="1" t="str">
        <f>"CA275/300X21DURO"</f>
        <v>CA275/300X21DURO</v>
      </c>
      <c r="E6026" s="1" t="s">
        <v>4566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</row>
    <row r="6027" spans="1:11" x14ac:dyDescent="0.2">
      <c r="A6027" s="1" t="s">
        <v>931</v>
      </c>
      <c r="B6027" s="1" t="s">
        <v>985</v>
      </c>
      <c r="C6027" s="1" t="str">
        <f>"CA275/300X21JALYN"</f>
        <v>CA275/300X21JALYN</v>
      </c>
      <c r="D6027" s="1" t="str">
        <f>"CA275/300X21JALYN"</f>
        <v>CA275/300X21JALYN</v>
      </c>
      <c r="E6027" s="1" t="s">
        <v>4566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</row>
    <row r="6028" spans="1:11" x14ac:dyDescent="0.2">
      <c r="A6028" s="1" t="s">
        <v>931</v>
      </c>
      <c r="B6028" s="1" t="s">
        <v>986</v>
      </c>
      <c r="C6028" s="1" t="str">
        <f>"CA275/300X21SR"</f>
        <v>CA275/300X21SR</v>
      </c>
      <c r="D6028" s="1" t="str">
        <f>"CA275/300X21SR"</f>
        <v>CA275/300X21SR</v>
      </c>
      <c r="E6028" s="1" t="s">
        <v>4566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</row>
    <row r="6029" spans="1:11" x14ac:dyDescent="0.2">
      <c r="A6029" s="1" t="s">
        <v>931</v>
      </c>
      <c r="B6029" s="1" t="s">
        <v>987</v>
      </c>
      <c r="C6029" s="1" t="str">
        <f>"66298832175150"</f>
        <v>66298832175150</v>
      </c>
      <c r="D6029" s="1" t="str">
        <f>"CA275/300X21VN"</f>
        <v>CA275/300X21VN</v>
      </c>
      <c r="E6029" s="1" t="s">
        <v>4566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</row>
    <row r="6030" spans="1:11" ht="30" x14ac:dyDescent="0.2">
      <c r="A6030" s="1" t="s">
        <v>988</v>
      </c>
      <c r="B6030" s="1" t="s">
        <v>989</v>
      </c>
      <c r="C6030" s="1" t="str">
        <f>"CM-BM-FR-0-150"</f>
        <v>CM-BM-FR-0-150</v>
      </c>
      <c r="D6030" s="1" t="str">
        <f>"CM-BM-FR-0-150"</f>
        <v>CM-BM-FR-0-150</v>
      </c>
      <c r="E6030" s="1" t="s">
        <v>4566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</row>
    <row r="6031" spans="1:11" ht="30" x14ac:dyDescent="0.2">
      <c r="A6031" s="1" t="s">
        <v>988</v>
      </c>
      <c r="B6031" s="1" t="s">
        <v>990</v>
      </c>
      <c r="C6031" s="1" t="str">
        <f>"CM-BM-FR-160-400"</f>
        <v>CM-BM-FR-160-400</v>
      </c>
      <c r="D6031" s="1" t="str">
        <f>"CM-BM-FR-160-400"</f>
        <v>CM-BM-FR-160-400</v>
      </c>
      <c r="E6031" s="1" t="s">
        <v>4566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</row>
    <row r="6032" spans="1:11" ht="30" x14ac:dyDescent="0.2">
      <c r="A6032" s="1" t="s">
        <v>988</v>
      </c>
      <c r="B6032" s="1" t="s">
        <v>991</v>
      </c>
      <c r="C6032" s="1" t="str">
        <f>"CM-BM-FR-450-1000"</f>
        <v>CM-BM-FR-450-1000</v>
      </c>
      <c r="D6032" s="1" t="str">
        <f>"CM-BM-FR-450-1000"</f>
        <v>CM-BM-FR-450-1000</v>
      </c>
      <c r="E6032" s="1" t="s">
        <v>4566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</row>
    <row r="6033" spans="1:11" x14ac:dyDescent="0.2">
      <c r="A6033" s="1" t="s">
        <v>988</v>
      </c>
      <c r="B6033" s="1" t="s">
        <v>992</v>
      </c>
      <c r="C6033" s="1" t="str">
        <f>"CM-FS-CR-0-150"</f>
        <v>CM-FS-CR-0-150</v>
      </c>
      <c r="D6033" s="1" t="str">
        <f>"CM-FS-CR-0-150"</f>
        <v>CM-FS-CR-0-150</v>
      </c>
      <c r="E6033" s="1" t="s">
        <v>4566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</row>
    <row r="6034" spans="1:11" x14ac:dyDescent="0.2">
      <c r="A6034" s="1" t="s">
        <v>988</v>
      </c>
      <c r="B6034" s="1" t="s">
        <v>993</v>
      </c>
      <c r="C6034" s="1" t="str">
        <f>"CM-FS-CR-160-400"</f>
        <v>CM-FS-CR-160-400</v>
      </c>
      <c r="D6034" s="1" t="str">
        <f>"CM-FS-CR-160-400"</f>
        <v>CM-FS-CR-160-400</v>
      </c>
      <c r="E6034" s="1" t="s">
        <v>4566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</row>
    <row r="6035" spans="1:11" x14ac:dyDescent="0.2">
      <c r="A6035" s="1" t="s">
        <v>988</v>
      </c>
      <c r="B6035" s="1" t="s">
        <v>994</v>
      </c>
      <c r="C6035" s="1" t="str">
        <f>"CM-FS-CR-450-1000"</f>
        <v>CM-FS-CR-450-1000</v>
      </c>
      <c r="D6035" s="1" t="str">
        <f>"CM-FS-CR-450-1000"</f>
        <v>CM-FS-CR-450-1000</v>
      </c>
      <c r="E6035" s="1" t="s">
        <v>4566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</row>
    <row r="6036" spans="1:11" x14ac:dyDescent="0.2">
      <c r="A6036" s="1" t="s">
        <v>988</v>
      </c>
      <c r="B6036" s="1" t="s">
        <v>995</v>
      </c>
      <c r="C6036" s="1" t="str">
        <f>"CM-MN-FE-0-150"</f>
        <v>CM-MN-FE-0-150</v>
      </c>
      <c r="D6036" s="1" t="str">
        <f>"CM-MN-FE-0-150"</f>
        <v>CM-MN-FE-0-150</v>
      </c>
      <c r="E6036" s="1" t="s">
        <v>4566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</row>
    <row r="6037" spans="1:11" x14ac:dyDescent="0.2">
      <c r="A6037" s="1" t="s">
        <v>988</v>
      </c>
      <c r="B6037" s="1" t="s">
        <v>996</v>
      </c>
      <c r="C6037" s="1" t="str">
        <f>"CM-MN-FE-160-400"</f>
        <v>CM-MN-FE-160-400</v>
      </c>
      <c r="D6037" s="1" t="str">
        <f>"CM-MN-FE-160-400"</f>
        <v>CM-MN-FE-160-400</v>
      </c>
      <c r="E6037" s="1" t="s">
        <v>4566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</row>
    <row r="6038" spans="1:11" x14ac:dyDescent="0.2">
      <c r="A6038" s="1" t="s">
        <v>988</v>
      </c>
      <c r="B6038" s="1" t="s">
        <v>997</v>
      </c>
      <c r="C6038" s="1" t="str">
        <f>"CM-MN-FE-450-1000"</f>
        <v>CM-MN-FE-450-1000</v>
      </c>
      <c r="D6038" s="1" t="str">
        <f>"CM-MN-FE-450-1000"</f>
        <v>CM-MN-FE-450-1000</v>
      </c>
      <c r="E6038" s="1" t="s">
        <v>4566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</row>
    <row r="6039" spans="1:11" x14ac:dyDescent="0.2">
      <c r="A6039" s="1" t="s">
        <v>988</v>
      </c>
      <c r="B6039" s="1" t="s">
        <v>998</v>
      </c>
      <c r="C6039" s="1" t="str">
        <f>"CM-MR-EF-0-150"</f>
        <v>CM-MR-EF-0-150</v>
      </c>
      <c r="D6039" s="1" t="str">
        <f>"CM-MR-EF-0-150"</f>
        <v>CM-MR-EF-0-150</v>
      </c>
      <c r="E6039" s="1" t="s">
        <v>4566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</row>
    <row r="6040" spans="1:11" x14ac:dyDescent="0.2">
      <c r="A6040" s="1" t="s">
        <v>988</v>
      </c>
      <c r="B6040" s="1" t="s">
        <v>999</v>
      </c>
      <c r="C6040" s="1" t="str">
        <f>"CM-MR-EF-160-400"</f>
        <v>CM-MR-EF-160-400</v>
      </c>
      <c r="D6040" s="1" t="str">
        <f>"CM-MR-EF-160-400"</f>
        <v>CM-MR-EF-160-400</v>
      </c>
      <c r="E6040" s="1" t="s">
        <v>4566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</row>
    <row r="6041" spans="1:11" x14ac:dyDescent="0.2">
      <c r="A6041" s="1" t="s">
        <v>988</v>
      </c>
      <c r="B6041" s="1" t="s">
        <v>1000</v>
      </c>
      <c r="C6041" s="1" t="str">
        <f>"CM-MR-EF-450-1000"</f>
        <v>CM-MR-EF-450-1000</v>
      </c>
      <c r="D6041" s="1" t="str">
        <f>"CM-MR-EF-450-1000"</f>
        <v>CM-MR-EF-450-1000</v>
      </c>
      <c r="E6041" s="1" t="s">
        <v>4566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</row>
    <row r="6042" spans="1:11" x14ac:dyDescent="0.2">
      <c r="A6042" s="1" t="s">
        <v>988</v>
      </c>
      <c r="B6042" s="1" t="s">
        <v>1001</v>
      </c>
      <c r="C6042" s="1" t="str">
        <f>"CM-PS-TR-0-150"</f>
        <v>CM-PS-TR-0-150</v>
      </c>
      <c r="D6042" s="1" t="str">
        <f>"CM-PS-TR-0-150"</f>
        <v>CM-PS-TR-0-150</v>
      </c>
      <c r="E6042" s="1" t="s">
        <v>4566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</row>
    <row r="6043" spans="1:11" x14ac:dyDescent="0.2">
      <c r="A6043" s="1" t="s">
        <v>988</v>
      </c>
      <c r="B6043" s="1" t="s">
        <v>1002</v>
      </c>
      <c r="C6043" s="1" t="str">
        <f>"CM-PS-TR-160-400"</f>
        <v>CM-PS-TR-160-400</v>
      </c>
      <c r="D6043" s="1" t="str">
        <f>"CM-PS-TR-160-400"</f>
        <v>CM-PS-TR-160-400</v>
      </c>
      <c r="E6043" s="1" t="s">
        <v>4566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</row>
    <row r="6044" spans="1:11" x14ac:dyDescent="0.2">
      <c r="A6044" s="1" t="s">
        <v>1003</v>
      </c>
      <c r="B6044" s="1" t="s">
        <v>1004</v>
      </c>
      <c r="C6044" s="1" t="str">
        <f>"10493"</f>
        <v>10493</v>
      </c>
      <c r="D6044" s="1" t="str">
        <f>"10493"</f>
        <v>10493</v>
      </c>
      <c r="E6044" s="1" t="s">
        <v>4566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</row>
    <row r="6045" spans="1:11" x14ac:dyDescent="0.2">
      <c r="A6045" s="1" t="s">
        <v>1003</v>
      </c>
      <c r="B6045" s="1" t="s">
        <v>1005</v>
      </c>
      <c r="C6045" s="1" t="str">
        <f>"P2305005"</f>
        <v>P2305005</v>
      </c>
      <c r="D6045" s="1" t="str">
        <f>"P2305005"</f>
        <v>P2305005</v>
      </c>
      <c r="E6045" s="1" t="s">
        <v>4566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</row>
    <row r="6046" spans="1:11" x14ac:dyDescent="0.2">
      <c r="A6046" s="1" t="s">
        <v>1003</v>
      </c>
      <c r="B6046" s="1" t="s">
        <v>1006</v>
      </c>
      <c r="C6046" s="1" t="str">
        <f>"C211"</f>
        <v>C211</v>
      </c>
      <c r="D6046" s="1" t="str">
        <f>"C211"</f>
        <v>C211</v>
      </c>
      <c r="E6046" s="1" t="s">
        <v>4566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</row>
    <row r="6047" spans="1:11" x14ac:dyDescent="0.2">
      <c r="A6047" s="1" t="s">
        <v>1003</v>
      </c>
      <c r="B6047" s="1" t="s">
        <v>1007</v>
      </c>
      <c r="C6047" s="1" t="str">
        <f>"66298832269236"</f>
        <v>66298832269236</v>
      </c>
      <c r="D6047" s="1" t="str">
        <f>"C208"</f>
        <v>C208</v>
      </c>
      <c r="E6047" s="1" t="s">
        <v>4566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</row>
    <row r="6048" spans="1:11" x14ac:dyDescent="0.2">
      <c r="A6048" s="1" t="s">
        <v>1003</v>
      </c>
      <c r="B6048" s="1" t="s">
        <v>1008</v>
      </c>
      <c r="C6048" s="1" t="str">
        <f>"66298832318787"</f>
        <v>66298832318787</v>
      </c>
      <c r="D6048" s="1" t="str">
        <f>"22101-M9Q-0003"</f>
        <v>22101-M9Q-0003</v>
      </c>
      <c r="E6048" s="1" t="s">
        <v>4566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</row>
    <row r="6049" spans="1:11" x14ac:dyDescent="0.2">
      <c r="A6049" s="1" t="s">
        <v>1003</v>
      </c>
      <c r="B6049" s="1" t="s">
        <v>1009</v>
      </c>
      <c r="C6049" s="1" t="str">
        <f>"C203"</f>
        <v>C203</v>
      </c>
      <c r="D6049" s="1" t="str">
        <f>"C203"</f>
        <v>C203</v>
      </c>
      <c r="E6049" s="1" t="s">
        <v>4566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</row>
    <row r="6050" spans="1:11" x14ac:dyDescent="0.2">
      <c r="A6050" s="1" t="s">
        <v>1003</v>
      </c>
      <c r="B6050" s="1" t="s">
        <v>1010</v>
      </c>
      <c r="C6050" s="1" t="str">
        <f>"66298832367661"</f>
        <v>66298832367661</v>
      </c>
      <c r="D6050" s="1" t="str">
        <f>"C213"</f>
        <v>C213</v>
      </c>
      <c r="E6050" s="1" t="s">
        <v>4566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</row>
    <row r="6051" spans="1:11" x14ac:dyDescent="0.2">
      <c r="A6051" s="1" t="s">
        <v>1003</v>
      </c>
      <c r="B6051" s="1" t="s">
        <v>1011</v>
      </c>
      <c r="C6051" s="1" t="str">
        <f>"P21040037"</f>
        <v>P21040037</v>
      </c>
      <c r="D6051" s="1" t="str">
        <f>"P21040037"</f>
        <v>P21040037</v>
      </c>
      <c r="E6051" s="1" t="s">
        <v>4566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</row>
    <row r="6052" spans="1:11" x14ac:dyDescent="0.2">
      <c r="A6052" s="1" t="s">
        <v>1003</v>
      </c>
      <c r="B6052" s="1" t="s">
        <v>1012</v>
      </c>
      <c r="C6052" s="1" t="str">
        <f>"2889"</f>
        <v>2889</v>
      </c>
      <c r="D6052" s="1" t="str">
        <f>"2889"</f>
        <v>2889</v>
      </c>
      <c r="E6052" s="1" t="s">
        <v>4566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</row>
    <row r="6053" spans="1:11" x14ac:dyDescent="0.2">
      <c r="A6053" s="1" t="s">
        <v>342</v>
      </c>
      <c r="B6053" s="1" t="s">
        <v>1013</v>
      </c>
      <c r="C6053" s="1" t="str">
        <f>"66298832411705"</f>
        <v>66298832411705</v>
      </c>
      <c r="D6053" s="1" t="str">
        <f>"93310-418E9JP"</f>
        <v>93310-418E9JP</v>
      </c>
      <c r="E6053" s="1" t="s">
        <v>4566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</row>
    <row r="6054" spans="1:11" x14ac:dyDescent="0.2">
      <c r="A6054" s="1" t="s">
        <v>342</v>
      </c>
      <c r="B6054" s="1" t="s">
        <v>1014</v>
      </c>
      <c r="C6054" s="1" t="str">
        <f>"66298832455586"</f>
        <v>66298832455586</v>
      </c>
      <c r="D6054" s="1" t="str">
        <f>"91105-KW3-003JP"</f>
        <v>91105-KW3-003JP</v>
      </c>
      <c r="E6054" s="1" t="s">
        <v>4566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</row>
    <row r="6055" spans="1:11" x14ac:dyDescent="0.2">
      <c r="A6055" s="1" t="s">
        <v>342</v>
      </c>
      <c r="B6055" s="1" t="s">
        <v>1014</v>
      </c>
      <c r="C6055" s="1" t="str">
        <f>"66298832463486"</f>
        <v>66298832463486</v>
      </c>
      <c r="D6055" s="1" t="str">
        <f>"91105-KPF-900JP"</f>
        <v>91105-KPF-900JP</v>
      </c>
      <c r="E6055" s="1" t="s">
        <v>4566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</row>
    <row r="6056" spans="1:11" x14ac:dyDescent="0.2">
      <c r="A6056" s="1" t="s">
        <v>342</v>
      </c>
      <c r="B6056" s="1" t="s">
        <v>1015</v>
      </c>
      <c r="C6056" s="1" t="str">
        <f>"66298832524296"</f>
        <v>66298832524296</v>
      </c>
      <c r="D6056" s="1" t="str">
        <f>"91101-KGH-901JP"</f>
        <v>91101-KGH-901JP</v>
      </c>
      <c r="E6056" s="1" t="s">
        <v>4566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</row>
    <row r="6057" spans="1:11" x14ac:dyDescent="0.2">
      <c r="A6057" s="1" t="s">
        <v>98</v>
      </c>
      <c r="B6057" s="1" t="s">
        <v>1016</v>
      </c>
      <c r="C6057" s="1" t="str">
        <f>"66298832567258"</f>
        <v>66298832567258</v>
      </c>
      <c r="D6057" s="1" t="str">
        <f>"CE009"</f>
        <v>CE009</v>
      </c>
      <c r="E6057" s="1" t="s">
        <v>4566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</row>
    <row r="6058" spans="1:11" x14ac:dyDescent="0.2">
      <c r="A6058" s="1" t="s">
        <v>1017</v>
      </c>
      <c r="B6058" s="1" t="s">
        <v>1018</v>
      </c>
      <c r="C6058" s="1" t="str">
        <f>"C-420"</f>
        <v>C-420</v>
      </c>
      <c r="D6058" s="1" t="str">
        <f>"C-420"</f>
        <v>C-420</v>
      </c>
      <c r="E6058" s="1" t="s">
        <v>4566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</row>
    <row r="6059" spans="1:11" x14ac:dyDescent="0.2">
      <c r="A6059" s="1" t="s">
        <v>1017</v>
      </c>
      <c r="B6059" s="1" t="s">
        <v>1019</v>
      </c>
      <c r="C6059" s="1" t="str">
        <f>"C-428"</f>
        <v>C-428</v>
      </c>
      <c r="D6059" s="1" t="str">
        <f>"C-428"</f>
        <v>C-428</v>
      </c>
      <c r="E6059" s="1" t="s">
        <v>4566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</row>
    <row r="6060" spans="1:11" x14ac:dyDescent="0.2">
      <c r="A6060" s="1" t="s">
        <v>1017</v>
      </c>
      <c r="B6060" s="1" t="s">
        <v>1020</v>
      </c>
      <c r="C6060" s="1" t="str">
        <f>"66298832609459"</f>
        <v>66298832609459</v>
      </c>
      <c r="D6060" s="1" t="str">
        <f>"NB005"</f>
        <v>NB005</v>
      </c>
      <c r="E6060" s="1" t="s">
        <v>4566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</row>
    <row r="6061" spans="1:11" x14ac:dyDescent="0.2">
      <c r="A6061" s="1" t="s">
        <v>829</v>
      </c>
      <c r="B6061" s="1" t="s">
        <v>1021</v>
      </c>
      <c r="C6061" s="1" t="str">
        <f>"100000M223"</f>
        <v>100000M223</v>
      </c>
      <c r="D6061" s="1" t="str">
        <f>"100000M223"</f>
        <v>100000M223</v>
      </c>
      <c r="E6061" s="1" t="s">
        <v>4566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</row>
    <row r="6062" spans="1:11" x14ac:dyDescent="0.2">
      <c r="A6062" s="1" t="s">
        <v>1017</v>
      </c>
      <c r="B6062" s="1" t="s">
        <v>1022</v>
      </c>
      <c r="C6062" s="1" t="str">
        <f>"66298832653195"</f>
        <v>66298832653195</v>
      </c>
      <c r="D6062" s="1" t="str">
        <f>"207"</f>
        <v>207</v>
      </c>
      <c r="E6062" s="1" t="s">
        <v>4566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</row>
    <row r="6063" spans="1:11" ht="30" x14ac:dyDescent="0.2">
      <c r="A6063" s="1" t="s">
        <v>18</v>
      </c>
      <c r="B6063" s="1" t="s">
        <v>1023</v>
      </c>
      <c r="C6063" s="1" t="str">
        <f>"17793"</f>
        <v>17793</v>
      </c>
      <c r="D6063" s="1" t="str">
        <f>"17793"</f>
        <v>17793</v>
      </c>
      <c r="E6063" s="1" t="s">
        <v>4566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</row>
    <row r="6064" spans="1:11" ht="30" x14ac:dyDescent="0.2">
      <c r="A6064" s="1" t="s">
        <v>18</v>
      </c>
      <c r="B6064" s="1" t="s">
        <v>1024</v>
      </c>
      <c r="C6064" s="1" t="str">
        <f>"18285"</f>
        <v>18285</v>
      </c>
      <c r="D6064" s="1" t="str">
        <f>"18285"</f>
        <v>18285</v>
      </c>
      <c r="E6064" s="1" t="s">
        <v>4566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</row>
    <row r="6065" spans="1:11" ht="30" x14ac:dyDescent="0.2">
      <c r="A6065" s="1" t="s">
        <v>18</v>
      </c>
      <c r="B6065" s="1" t="s">
        <v>1025</v>
      </c>
      <c r="C6065" s="1" t="str">
        <f>"18288"</f>
        <v>18288</v>
      </c>
      <c r="D6065" s="1" t="str">
        <f>"18288"</f>
        <v>18288</v>
      </c>
      <c r="E6065" s="1" t="s">
        <v>4566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</row>
    <row r="6066" spans="1:11" ht="30" x14ac:dyDescent="0.2">
      <c r="A6066" s="1" t="s">
        <v>18</v>
      </c>
      <c r="B6066" s="1" t="s">
        <v>1026</v>
      </c>
      <c r="C6066" s="1" t="str">
        <f>"18290"</f>
        <v>18290</v>
      </c>
      <c r="D6066" s="1" t="str">
        <f>"18290"</f>
        <v>18290</v>
      </c>
      <c r="E6066" s="1" t="s">
        <v>4566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</row>
    <row r="6067" spans="1:11" ht="30" x14ac:dyDescent="0.2">
      <c r="A6067" s="1" t="s">
        <v>18</v>
      </c>
      <c r="B6067" s="1" t="s">
        <v>1027</v>
      </c>
      <c r="C6067" s="1" t="str">
        <f>"18314"</f>
        <v>18314</v>
      </c>
      <c r="D6067" s="1" t="str">
        <f>"18314"</f>
        <v>18314</v>
      </c>
      <c r="E6067" s="1" t="s">
        <v>4566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</row>
    <row r="6068" spans="1:11" x14ac:dyDescent="0.2">
      <c r="A6068" s="1" t="s">
        <v>18</v>
      </c>
      <c r="B6068" s="1" t="s">
        <v>1028</v>
      </c>
      <c r="C6068" s="1" t="str">
        <f>"66298832695353"</f>
        <v>66298832695353</v>
      </c>
      <c r="D6068" s="1" t="str">
        <f>"676-AMARILLO"</f>
        <v>676-AMARILLO</v>
      </c>
      <c r="E6068" s="1" t="s">
        <v>4566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</row>
    <row r="6069" spans="1:11" x14ac:dyDescent="0.2">
      <c r="A6069" s="1" t="s">
        <v>18</v>
      </c>
      <c r="B6069" s="1" t="s">
        <v>1029</v>
      </c>
      <c r="C6069" s="1" t="str">
        <f>"66298832733578"</f>
        <v>66298832733578</v>
      </c>
      <c r="D6069" s="1" t="str">
        <f>"676-ROJO"</f>
        <v>676-ROJO</v>
      </c>
      <c r="E6069" s="1" t="s">
        <v>4566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</row>
    <row r="6070" spans="1:11" ht="30" x14ac:dyDescent="0.2">
      <c r="A6070" s="1" t="s">
        <v>18</v>
      </c>
      <c r="B6070" s="1" t="s">
        <v>1030</v>
      </c>
      <c r="C6070" s="1" t="str">
        <f>"127126-FLUOR"</f>
        <v>127126-FLUOR</v>
      </c>
      <c r="D6070" s="1" t="str">
        <f>"127126-FLUOR"</f>
        <v>127126-FLUOR</v>
      </c>
      <c r="E6070" s="1" t="s">
        <v>4566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</row>
    <row r="6071" spans="1:11" ht="30" x14ac:dyDescent="0.2">
      <c r="A6071" s="1" t="s">
        <v>18</v>
      </c>
      <c r="B6071" s="1" t="s">
        <v>1031</v>
      </c>
      <c r="C6071" s="1" t="str">
        <f>"127126-ROJO"</f>
        <v>127126-ROJO</v>
      </c>
      <c r="D6071" s="1" t="str">
        <f>"127126-ROJO"</f>
        <v>127126-ROJO</v>
      </c>
      <c r="E6071" s="1" t="s">
        <v>4566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</row>
    <row r="6072" spans="1:11" x14ac:dyDescent="0.2">
      <c r="A6072" s="1" t="s">
        <v>18</v>
      </c>
      <c r="B6072" s="1" t="s">
        <v>1032</v>
      </c>
      <c r="C6072" s="1" t="str">
        <f>"AE003"</f>
        <v>AE003</v>
      </c>
      <c r="D6072" s="1" t="str">
        <f>"AE003"</f>
        <v>AE003</v>
      </c>
      <c r="E6072" s="1" t="s">
        <v>4566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</row>
    <row r="6073" spans="1:11" x14ac:dyDescent="0.2">
      <c r="A6073" s="1" t="s">
        <v>18</v>
      </c>
      <c r="B6073" s="1" t="s">
        <v>1032</v>
      </c>
      <c r="C6073" s="1" t="str">
        <f>"817-C"</f>
        <v>817-C</v>
      </c>
      <c r="D6073" s="1" t="str">
        <f>"817-C"</f>
        <v>817-C</v>
      </c>
      <c r="E6073" s="1" t="s">
        <v>4566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</row>
    <row r="6074" spans="1:11" x14ac:dyDescent="0.2">
      <c r="A6074" s="1" t="s">
        <v>18</v>
      </c>
      <c r="B6074" s="1" t="s">
        <v>1032</v>
      </c>
      <c r="C6074" s="1" t="str">
        <f>"681"</f>
        <v>681</v>
      </c>
      <c r="D6074" s="1" t="str">
        <f>"681"</f>
        <v>681</v>
      </c>
      <c r="E6074" s="1" t="s">
        <v>4566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</row>
    <row r="6075" spans="1:11" x14ac:dyDescent="0.2">
      <c r="A6075" s="1" t="s">
        <v>18</v>
      </c>
      <c r="B6075" s="1" t="s">
        <v>1032</v>
      </c>
      <c r="C6075" s="1" t="str">
        <f>"LK603"</f>
        <v>LK603</v>
      </c>
      <c r="D6075" s="1" t="str">
        <f>"LK603"</f>
        <v>LK603</v>
      </c>
      <c r="E6075" s="1" t="s">
        <v>4566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</row>
    <row r="6076" spans="1:11" x14ac:dyDescent="0.2">
      <c r="A6076" s="1" t="s">
        <v>1017</v>
      </c>
      <c r="B6076" s="1" t="s">
        <v>1033</v>
      </c>
      <c r="C6076" s="1" t="str">
        <f>"66298832774091"</f>
        <v>66298832774091</v>
      </c>
      <c r="D6076" s="1" t="str">
        <f>"AE005"</f>
        <v>AE005</v>
      </c>
      <c r="E6076" s="1" t="s">
        <v>4566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</row>
    <row r="6077" spans="1:11" x14ac:dyDescent="0.2">
      <c r="A6077" s="1" t="s">
        <v>1017</v>
      </c>
      <c r="B6077" s="1" t="s">
        <v>1034</v>
      </c>
      <c r="C6077" s="1" t="str">
        <f>"66298832814606"</f>
        <v>66298832814606</v>
      </c>
      <c r="D6077" s="1" t="str">
        <f>"AE008-AZUL"</f>
        <v>AE008-AZUL</v>
      </c>
      <c r="E6077" s="1" t="s">
        <v>4566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</row>
    <row r="6078" spans="1:11" x14ac:dyDescent="0.2">
      <c r="A6078" s="1" t="s">
        <v>1017</v>
      </c>
      <c r="B6078" s="1" t="s">
        <v>1035</v>
      </c>
      <c r="C6078" s="1" t="str">
        <f>"66298832852479"</f>
        <v>66298832852479</v>
      </c>
      <c r="D6078" s="1" t="str">
        <f>"AE008-CROMADO"</f>
        <v>AE008-CROMADO</v>
      </c>
      <c r="E6078" s="1" t="s">
        <v>4566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</row>
    <row r="6079" spans="1:11" x14ac:dyDescent="0.2">
      <c r="A6079" s="1" t="s">
        <v>1017</v>
      </c>
      <c r="B6079" s="1" t="s">
        <v>1036</v>
      </c>
      <c r="C6079" s="1" t="str">
        <f>"66298832890476"</f>
        <v>66298832890476</v>
      </c>
      <c r="D6079" s="1" t="str">
        <f>"AE008-DORADO"</f>
        <v>AE008-DORADO</v>
      </c>
      <c r="E6079" s="1" t="s">
        <v>4566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</row>
    <row r="6080" spans="1:11" x14ac:dyDescent="0.2">
      <c r="A6080" s="1" t="s">
        <v>1017</v>
      </c>
      <c r="B6080" s="1" t="s">
        <v>1037</v>
      </c>
      <c r="C6080" s="1" t="str">
        <f>"66298832936447"</f>
        <v>66298832936447</v>
      </c>
      <c r="D6080" s="1" t="str">
        <f>"AE008-NEGRO"</f>
        <v>AE008-NEGRO</v>
      </c>
      <c r="E6080" s="1" t="s">
        <v>4566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</row>
    <row r="6081" spans="1:11" x14ac:dyDescent="0.2">
      <c r="A6081" s="1" t="s">
        <v>1017</v>
      </c>
      <c r="B6081" s="1" t="s">
        <v>1038</v>
      </c>
      <c r="C6081" s="1" t="str">
        <f>"66298832981775"</f>
        <v>66298832981775</v>
      </c>
      <c r="D6081" s="1" t="str">
        <f>"AE008-ROJO"</f>
        <v>AE008-ROJO</v>
      </c>
      <c r="E6081" s="1" t="s">
        <v>4566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</row>
    <row r="6082" spans="1:11" x14ac:dyDescent="0.2">
      <c r="A6082" s="1" t="s">
        <v>1017</v>
      </c>
      <c r="B6082" s="1" t="s">
        <v>1039</v>
      </c>
      <c r="C6082" s="1" t="str">
        <f>"66298833029480"</f>
        <v>66298833029480</v>
      </c>
      <c r="D6082" s="1" t="str">
        <f>"AE008-A"</f>
        <v>AE008-A</v>
      </c>
      <c r="E6082" s="1" t="s">
        <v>4566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</row>
    <row r="6083" spans="1:11" ht="30" x14ac:dyDescent="0.2">
      <c r="A6083" s="1" t="s">
        <v>1040</v>
      </c>
      <c r="B6083" s="1" t="s">
        <v>1041</v>
      </c>
      <c r="C6083" s="1" t="str">
        <f>"66298833069290"</f>
        <v>66298833069290</v>
      </c>
      <c r="D6083" s="1" t="str">
        <f>"400672"</f>
        <v>400672</v>
      </c>
      <c r="E6083" s="1" t="s">
        <v>4566</v>
      </c>
      <c r="F6083" s="1">
        <v>50</v>
      </c>
      <c r="G6083" s="1">
        <v>223</v>
      </c>
      <c r="H6083" s="1">
        <v>11150</v>
      </c>
      <c r="I6083" s="1">
        <v>0</v>
      </c>
      <c r="J6083" s="1">
        <v>50</v>
      </c>
      <c r="K6083" s="1">
        <v>0</v>
      </c>
    </row>
    <row r="6084" spans="1:11" ht="30" x14ac:dyDescent="0.2">
      <c r="A6084" s="1" t="s">
        <v>1040</v>
      </c>
      <c r="B6084" s="1" t="s">
        <v>1042</v>
      </c>
      <c r="C6084" s="1" t="str">
        <f>"66298833110945"</f>
        <v>66298833110945</v>
      </c>
      <c r="D6084" s="1" t="str">
        <f>"400668"</f>
        <v>400668</v>
      </c>
      <c r="E6084" s="1" t="s">
        <v>4566</v>
      </c>
      <c r="F6084" s="1">
        <v>220</v>
      </c>
      <c r="G6084" s="1">
        <v>618</v>
      </c>
      <c r="H6084" s="1">
        <v>135960</v>
      </c>
      <c r="I6084" s="1">
        <v>0</v>
      </c>
      <c r="J6084" s="1">
        <v>220</v>
      </c>
      <c r="K6084" s="1">
        <v>0</v>
      </c>
    </row>
    <row r="6085" spans="1:11" x14ac:dyDescent="0.2">
      <c r="A6085" s="1" t="s">
        <v>1040</v>
      </c>
      <c r="B6085" s="1" t="s">
        <v>1043</v>
      </c>
      <c r="C6085" s="1" t="str">
        <f>"66298833155004"</f>
        <v>66298833155004</v>
      </c>
      <c r="D6085" s="1" t="str">
        <f>"400675"</f>
        <v>400675</v>
      </c>
      <c r="E6085" s="1" t="s">
        <v>4566</v>
      </c>
      <c r="F6085" s="1">
        <v>150</v>
      </c>
      <c r="G6085" s="1">
        <v>220</v>
      </c>
      <c r="H6085" s="1">
        <v>33000</v>
      </c>
      <c r="I6085" s="1">
        <v>0</v>
      </c>
      <c r="J6085" s="1">
        <v>150</v>
      </c>
      <c r="K6085" s="1">
        <v>0</v>
      </c>
    </row>
    <row r="6086" spans="1:11" x14ac:dyDescent="0.2">
      <c r="A6086" s="1" t="s">
        <v>1040</v>
      </c>
      <c r="B6086" s="1" t="s">
        <v>1044</v>
      </c>
      <c r="C6086" s="1" t="str">
        <f>"66298833206042"</f>
        <v>66298833206042</v>
      </c>
      <c r="D6086" s="1" t="str">
        <f>"400674"</f>
        <v>400674</v>
      </c>
      <c r="E6086" s="1" t="s">
        <v>4566</v>
      </c>
      <c r="F6086" s="1">
        <v>100</v>
      </c>
      <c r="G6086" s="1">
        <v>226</v>
      </c>
      <c r="H6086" s="1">
        <v>22600</v>
      </c>
      <c r="I6086" s="1">
        <v>0</v>
      </c>
      <c r="J6086" s="1">
        <v>100</v>
      </c>
      <c r="K6086" s="1">
        <v>0</v>
      </c>
    </row>
    <row r="6087" spans="1:11" ht="30" x14ac:dyDescent="0.2">
      <c r="A6087" s="1" t="s">
        <v>1040</v>
      </c>
      <c r="B6087" s="1" t="s">
        <v>1045</v>
      </c>
      <c r="C6087" s="1" t="str">
        <f>"66298833243993"</f>
        <v>66298833243993</v>
      </c>
      <c r="D6087" s="1" t="str">
        <f>"400669"</f>
        <v>400669</v>
      </c>
      <c r="E6087" s="1" t="s">
        <v>4566</v>
      </c>
      <c r="F6087" s="1">
        <v>350</v>
      </c>
      <c r="G6087" s="1">
        <v>326</v>
      </c>
      <c r="H6087" s="1">
        <v>114100</v>
      </c>
      <c r="I6087" s="1">
        <v>0</v>
      </c>
      <c r="J6087" s="1">
        <v>350</v>
      </c>
      <c r="K6087" s="1">
        <v>0</v>
      </c>
    </row>
    <row r="6088" spans="1:11" x14ac:dyDescent="0.2">
      <c r="A6088" s="1" t="s">
        <v>1040</v>
      </c>
      <c r="B6088" s="1" t="s">
        <v>1046</v>
      </c>
      <c r="C6088" s="1" t="str">
        <f>"66298833286696"</f>
        <v>66298833286696</v>
      </c>
      <c r="D6088" s="1" t="str">
        <f>"400670"</f>
        <v>400670</v>
      </c>
      <c r="E6088" s="1" t="s">
        <v>4566</v>
      </c>
      <c r="F6088" s="1">
        <v>530</v>
      </c>
      <c r="G6088" s="1">
        <v>449</v>
      </c>
      <c r="H6088" s="1">
        <v>237970</v>
      </c>
      <c r="I6088" s="1">
        <v>0</v>
      </c>
      <c r="J6088" s="1">
        <v>530</v>
      </c>
      <c r="K6088" s="1">
        <v>0</v>
      </c>
    </row>
    <row r="6089" spans="1:11" ht="30" x14ac:dyDescent="0.2">
      <c r="A6089" s="1" t="s">
        <v>1040</v>
      </c>
      <c r="B6089" s="1" t="s">
        <v>1047</v>
      </c>
      <c r="C6089" s="1" t="str">
        <f>"66298833325312"</f>
        <v>66298833325312</v>
      </c>
      <c r="D6089" s="1" t="str">
        <f>"400671"</f>
        <v>400671</v>
      </c>
      <c r="E6089" s="1" t="s">
        <v>4566</v>
      </c>
      <c r="F6089" s="1">
        <v>300</v>
      </c>
      <c r="G6089" s="1">
        <v>179</v>
      </c>
      <c r="H6089" s="1">
        <v>53700</v>
      </c>
      <c r="I6089" s="1">
        <v>0</v>
      </c>
      <c r="J6089" s="1">
        <v>300</v>
      </c>
      <c r="K6089" s="1">
        <v>0</v>
      </c>
    </row>
    <row r="6090" spans="1:11" x14ac:dyDescent="0.2">
      <c r="A6090" s="1" t="s">
        <v>1050</v>
      </c>
      <c r="B6090" s="1" t="s">
        <v>1051</v>
      </c>
      <c r="C6090" s="1" t="str">
        <f>"66298833406251"</f>
        <v>66298833406251</v>
      </c>
      <c r="D6090" s="1" t="str">
        <f>"400574"</f>
        <v>400574</v>
      </c>
      <c r="E6090" s="1" t="s">
        <v>4566</v>
      </c>
      <c r="F6090" s="1">
        <v>33</v>
      </c>
      <c r="G6090" s="1">
        <v>7443</v>
      </c>
      <c r="H6090" s="1">
        <v>245619</v>
      </c>
      <c r="I6090" s="1">
        <v>0</v>
      </c>
      <c r="J6090" s="1">
        <v>33</v>
      </c>
      <c r="K6090" s="1">
        <v>0</v>
      </c>
    </row>
    <row r="6091" spans="1:11" x14ac:dyDescent="0.2">
      <c r="A6091" s="1" t="s">
        <v>1050</v>
      </c>
      <c r="B6091" s="1" t="s">
        <v>1052</v>
      </c>
      <c r="C6091" s="1" t="str">
        <f>"66298833365851"</f>
        <v>66298833365851</v>
      </c>
      <c r="D6091" s="1" t="str">
        <f>"400535"</f>
        <v>400535</v>
      </c>
      <c r="E6091" s="1" t="s">
        <v>4566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</row>
    <row r="6092" spans="1:11" x14ac:dyDescent="0.2">
      <c r="A6092" s="1" t="s">
        <v>1050</v>
      </c>
      <c r="B6092" s="1" t="s">
        <v>1053</v>
      </c>
      <c r="C6092" s="1" t="str">
        <f>"66298833448615"</f>
        <v>66298833448615</v>
      </c>
      <c r="D6092" s="1" t="str">
        <f>"400538"</f>
        <v>400538</v>
      </c>
      <c r="E6092" s="1" t="s">
        <v>4566</v>
      </c>
      <c r="F6092" s="1">
        <v>6</v>
      </c>
      <c r="G6092" s="1">
        <v>21120</v>
      </c>
      <c r="H6092" s="1">
        <v>126720</v>
      </c>
      <c r="I6092" s="1">
        <v>0</v>
      </c>
      <c r="J6092" s="1">
        <v>6</v>
      </c>
      <c r="K6092" s="1">
        <v>0</v>
      </c>
    </row>
    <row r="6093" spans="1:11" x14ac:dyDescent="0.2">
      <c r="A6093" s="1" t="s">
        <v>1050</v>
      </c>
      <c r="B6093" s="1" t="s">
        <v>1054</v>
      </c>
      <c r="C6093" s="1" t="str">
        <f>"66298833490218"</f>
        <v>66298833490218</v>
      </c>
      <c r="D6093" s="1" t="str">
        <f>"JPC1801-068"</f>
        <v>JPC1801-068</v>
      </c>
      <c r="E6093" s="1" t="s">
        <v>4566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</row>
    <row r="6094" spans="1:11" x14ac:dyDescent="0.2">
      <c r="A6094" s="1" t="s">
        <v>1050</v>
      </c>
      <c r="B6094" s="1" t="s">
        <v>1055</v>
      </c>
      <c r="C6094" s="1" t="str">
        <f>"66298833527824"</f>
        <v>66298833527824</v>
      </c>
      <c r="D6094" s="1" t="str">
        <f>"JPC1801-069"</f>
        <v>JPC1801-069</v>
      </c>
      <c r="E6094" s="1" t="s">
        <v>4566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</row>
    <row r="6095" spans="1:11" x14ac:dyDescent="0.2">
      <c r="A6095" s="1" t="s">
        <v>1050</v>
      </c>
      <c r="B6095" s="1" t="s">
        <v>1056</v>
      </c>
      <c r="C6095" s="1" t="str">
        <f>"66298833606495"</f>
        <v>66298833606495</v>
      </c>
      <c r="D6095" s="1" t="str">
        <f>"400539"</f>
        <v>400539</v>
      </c>
      <c r="E6095" s="1" t="s">
        <v>4566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</row>
    <row r="6096" spans="1:11" x14ac:dyDescent="0.2">
      <c r="A6096" s="1" t="s">
        <v>1050</v>
      </c>
      <c r="B6096" s="1" t="s">
        <v>1057</v>
      </c>
      <c r="C6096" s="1" t="str">
        <f>"66298833569296"</f>
        <v>66298833569296</v>
      </c>
      <c r="D6096" s="1" t="str">
        <f>"X032"</f>
        <v>X032</v>
      </c>
      <c r="E6096" s="1" t="s">
        <v>4566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</row>
    <row r="6097" spans="1:11" x14ac:dyDescent="0.2">
      <c r="A6097" s="1" t="s">
        <v>1050</v>
      </c>
      <c r="B6097" s="1" t="s">
        <v>1058</v>
      </c>
      <c r="C6097" s="1" t="str">
        <f>"X001"</f>
        <v>X001</v>
      </c>
      <c r="D6097" s="1" t="str">
        <f>"X001"</f>
        <v>X001</v>
      </c>
      <c r="E6097" s="1" t="s">
        <v>4566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</row>
    <row r="6098" spans="1:11" x14ac:dyDescent="0.2">
      <c r="A6098" s="1" t="s">
        <v>1050</v>
      </c>
      <c r="B6098" s="1" t="s">
        <v>1059</v>
      </c>
      <c r="C6098" s="1" t="str">
        <f>"X018"</f>
        <v>X018</v>
      </c>
      <c r="D6098" s="1" t="str">
        <f>"X018"</f>
        <v>X018</v>
      </c>
      <c r="E6098" s="1" t="s">
        <v>4566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</row>
    <row r="6099" spans="1:11" x14ac:dyDescent="0.2">
      <c r="A6099" s="1" t="s">
        <v>1050</v>
      </c>
      <c r="B6099" s="1" t="s">
        <v>1060</v>
      </c>
      <c r="C6099" s="1" t="str">
        <f>"66298833648055"</f>
        <v>66298833648055</v>
      </c>
      <c r="D6099" s="1" t="str">
        <f>"80386"</f>
        <v>80386</v>
      </c>
      <c r="E6099" s="1" t="s">
        <v>4566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</row>
    <row r="6100" spans="1:11" x14ac:dyDescent="0.2">
      <c r="A6100" s="1" t="s">
        <v>1050</v>
      </c>
      <c r="B6100" s="1" t="s">
        <v>1061</v>
      </c>
      <c r="C6100" s="1" t="str">
        <f>"66298833706346"</f>
        <v>66298833706346</v>
      </c>
      <c r="D6100" s="1" t="str">
        <f>"400540"</f>
        <v>400540</v>
      </c>
      <c r="E6100" s="1" t="s">
        <v>4566</v>
      </c>
      <c r="F6100" s="1">
        <v>30</v>
      </c>
      <c r="G6100" s="1">
        <v>6626</v>
      </c>
      <c r="H6100" s="1">
        <v>198780</v>
      </c>
      <c r="I6100" s="1">
        <v>0</v>
      </c>
      <c r="J6100" s="1">
        <v>30</v>
      </c>
      <c r="K6100" s="1">
        <v>0</v>
      </c>
    </row>
    <row r="6101" spans="1:11" x14ac:dyDescent="0.2">
      <c r="A6101" s="1" t="s">
        <v>1050</v>
      </c>
      <c r="B6101" s="1" t="s">
        <v>1062</v>
      </c>
      <c r="C6101" s="1" t="str">
        <f>"66298833749382"</f>
        <v>66298833749382</v>
      </c>
      <c r="D6101" s="1" t="str">
        <f>"X004"</f>
        <v>X004</v>
      </c>
      <c r="E6101" s="1" t="s">
        <v>4566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</row>
    <row r="6102" spans="1:11" x14ac:dyDescent="0.2">
      <c r="A6102" s="1" t="s">
        <v>1050</v>
      </c>
      <c r="B6102" s="1" t="s">
        <v>1063</v>
      </c>
      <c r="C6102" s="1" t="str">
        <f>"66298833788999"</f>
        <v>66298833788999</v>
      </c>
      <c r="D6102" s="1" t="str">
        <f>"X002"</f>
        <v>X002</v>
      </c>
      <c r="E6102" s="1" t="s">
        <v>4566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</row>
    <row r="6103" spans="1:11" x14ac:dyDescent="0.2">
      <c r="A6103" s="1" t="s">
        <v>1050</v>
      </c>
      <c r="B6103" s="1" t="s">
        <v>1064</v>
      </c>
      <c r="C6103" s="1" t="str">
        <f>"66298833874927"</f>
        <v>66298833874927</v>
      </c>
      <c r="D6103" s="1" t="str">
        <f>"400537"</f>
        <v>400537</v>
      </c>
      <c r="E6103" s="1" t="s">
        <v>4566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</row>
    <row r="6104" spans="1:11" ht="30" x14ac:dyDescent="0.2">
      <c r="A6104" s="1" t="s">
        <v>1050</v>
      </c>
      <c r="B6104" s="1" t="s">
        <v>1065</v>
      </c>
      <c r="C6104" s="1" t="str">
        <f>"X003"</f>
        <v>X003</v>
      </c>
      <c r="D6104" s="1" t="str">
        <f>"X003"</f>
        <v>X003</v>
      </c>
      <c r="E6104" s="1" t="s">
        <v>4566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</row>
    <row r="6105" spans="1:11" x14ac:dyDescent="0.2">
      <c r="A6105" s="1" t="s">
        <v>1050</v>
      </c>
      <c r="B6105" s="1" t="s">
        <v>1066</v>
      </c>
      <c r="C6105" s="1" t="str">
        <f>"66298833921737"</f>
        <v>66298833921737</v>
      </c>
      <c r="D6105" s="1" t="str">
        <f>"X010"</f>
        <v>X010</v>
      </c>
      <c r="E6105" s="1" t="s">
        <v>4566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</row>
    <row r="6106" spans="1:11" x14ac:dyDescent="0.2">
      <c r="A6106" s="1" t="s">
        <v>1050</v>
      </c>
      <c r="B6106" s="1" t="s">
        <v>1067</v>
      </c>
      <c r="C6106" s="1" t="str">
        <f>"66298833961003"</f>
        <v>66298833961003</v>
      </c>
      <c r="D6106" s="1" t="str">
        <f>"X008"</f>
        <v>X008</v>
      </c>
      <c r="E6106" s="1" t="s">
        <v>4566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</row>
    <row r="6107" spans="1:11" x14ac:dyDescent="0.2">
      <c r="A6107" s="1" t="s">
        <v>1050</v>
      </c>
      <c r="B6107" s="1" t="s">
        <v>1068</v>
      </c>
      <c r="C6107" s="1" t="str">
        <f>"X012"</f>
        <v>X012</v>
      </c>
      <c r="D6107" s="1" t="str">
        <f>"X012"</f>
        <v>X012</v>
      </c>
      <c r="E6107" s="1" t="s">
        <v>4566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</row>
    <row r="6108" spans="1:11" x14ac:dyDescent="0.2">
      <c r="A6108" s="1" t="s">
        <v>1050</v>
      </c>
      <c r="B6108" s="1" t="s">
        <v>1069</v>
      </c>
      <c r="C6108" s="1" t="str">
        <f>"66298834008330"</f>
        <v>66298834008330</v>
      </c>
      <c r="D6108" s="1" t="str">
        <f>"400534"</f>
        <v>400534</v>
      </c>
      <c r="E6108" s="1" t="s">
        <v>4566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</row>
    <row r="6109" spans="1:11" x14ac:dyDescent="0.2">
      <c r="A6109" s="1" t="s">
        <v>1050</v>
      </c>
      <c r="B6109" s="1" t="s">
        <v>1070</v>
      </c>
      <c r="C6109" s="1" t="str">
        <f>"66298834055172"</f>
        <v>66298834055172</v>
      </c>
      <c r="D6109" s="1" t="str">
        <f>"X030"</f>
        <v>X030</v>
      </c>
      <c r="E6109" s="1" t="s">
        <v>4566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</row>
    <row r="6110" spans="1:11" x14ac:dyDescent="0.2">
      <c r="A6110" s="1" t="s">
        <v>1050</v>
      </c>
      <c r="B6110" s="1" t="s">
        <v>1071</v>
      </c>
      <c r="C6110" s="1" t="str">
        <f>"X033"</f>
        <v>X033</v>
      </c>
      <c r="D6110" s="1" t="str">
        <f>"X033"</f>
        <v>X033</v>
      </c>
      <c r="E6110" s="1" t="s">
        <v>4566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</row>
    <row r="6111" spans="1:11" x14ac:dyDescent="0.2">
      <c r="A6111" s="1" t="s">
        <v>1050</v>
      </c>
      <c r="B6111" s="1" t="s">
        <v>1072</v>
      </c>
      <c r="C6111" s="1" t="str">
        <f>"X009"</f>
        <v>X009</v>
      </c>
      <c r="D6111" s="1" t="str">
        <f>"X009"</f>
        <v>X009</v>
      </c>
      <c r="E6111" s="1" t="s">
        <v>4566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</row>
    <row r="6112" spans="1:11" x14ac:dyDescent="0.2">
      <c r="A6112" s="1" t="s">
        <v>1050</v>
      </c>
      <c r="B6112" s="1" t="s">
        <v>1073</v>
      </c>
      <c r="C6112" s="1" t="str">
        <f>"66298834095950"</f>
        <v>66298834095950</v>
      </c>
      <c r="D6112" s="1" t="str">
        <f>"X016"</f>
        <v>X016</v>
      </c>
      <c r="E6112" s="1" t="s">
        <v>4566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</row>
    <row r="6113" spans="1:11" x14ac:dyDescent="0.2">
      <c r="A6113" s="1" t="s">
        <v>1050</v>
      </c>
      <c r="B6113" s="1" t="s">
        <v>1074</v>
      </c>
      <c r="C6113" s="1" t="str">
        <f>"X014"</f>
        <v>X014</v>
      </c>
      <c r="D6113" s="1" t="str">
        <f>"X014"</f>
        <v>X014</v>
      </c>
      <c r="E6113" s="1" t="s">
        <v>4566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</row>
    <row r="6114" spans="1:11" x14ac:dyDescent="0.2">
      <c r="A6114" s="1" t="s">
        <v>1050</v>
      </c>
      <c r="B6114" s="1" t="s">
        <v>1075</v>
      </c>
      <c r="C6114" s="1" t="str">
        <f>"66298834137263"</f>
        <v>66298834137263</v>
      </c>
      <c r="D6114" s="1" t="str">
        <f>"13200H2C012H000"</f>
        <v>13200H2C012H000</v>
      </c>
      <c r="E6114" s="1" t="s">
        <v>4566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</row>
    <row r="6115" spans="1:11" x14ac:dyDescent="0.2">
      <c r="A6115" s="1" t="s">
        <v>1050</v>
      </c>
      <c r="B6115" s="1" t="s">
        <v>1076</v>
      </c>
      <c r="C6115" s="1" t="str">
        <f>"66298834174768"</f>
        <v>66298834174768</v>
      </c>
      <c r="D6115" s="1" t="str">
        <f>"401114"</f>
        <v>401114</v>
      </c>
      <c r="E6115" s="1" t="s">
        <v>4566</v>
      </c>
      <c r="F6115" s="1">
        <v>17</v>
      </c>
      <c r="G6115" s="1">
        <v>21845</v>
      </c>
      <c r="H6115" s="1">
        <v>371365</v>
      </c>
      <c r="I6115" s="1">
        <v>0</v>
      </c>
      <c r="J6115" s="1">
        <v>17</v>
      </c>
      <c r="K6115" s="1">
        <v>0</v>
      </c>
    </row>
    <row r="6116" spans="1:11" x14ac:dyDescent="0.2">
      <c r="A6116" s="1" t="s">
        <v>1050</v>
      </c>
      <c r="B6116" s="1" t="s">
        <v>1077</v>
      </c>
      <c r="C6116" s="1" t="str">
        <f>"66298834218501"</f>
        <v>66298834218501</v>
      </c>
      <c r="D6116" s="1" t="str">
        <f>"X022"</f>
        <v>X022</v>
      </c>
      <c r="E6116" s="1" t="s">
        <v>4566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</row>
    <row r="6117" spans="1:11" x14ac:dyDescent="0.2">
      <c r="A6117" s="1" t="s">
        <v>1050</v>
      </c>
      <c r="B6117" s="1" t="s">
        <v>1078</v>
      </c>
      <c r="C6117" s="1" t="str">
        <f>"66298834255976"</f>
        <v>66298834255976</v>
      </c>
      <c r="D6117" s="1" t="str">
        <f>"C-SCOO-VM"</f>
        <v>C-SCOO-VM</v>
      </c>
      <c r="E6117" s="1" t="s">
        <v>4566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</row>
    <row r="6118" spans="1:11" x14ac:dyDescent="0.2">
      <c r="A6118" s="1" t="s">
        <v>1050</v>
      </c>
      <c r="B6118" s="1" t="s">
        <v>1079</v>
      </c>
      <c r="C6118" s="1" t="str">
        <f>"X006"</f>
        <v>X006</v>
      </c>
      <c r="D6118" s="1" t="str">
        <f>"X006"</f>
        <v>X006</v>
      </c>
      <c r="E6118" s="1" t="s">
        <v>4566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</row>
    <row r="6119" spans="1:11" x14ac:dyDescent="0.2">
      <c r="A6119" s="1" t="s">
        <v>1050</v>
      </c>
      <c r="B6119" s="1" t="s">
        <v>1080</v>
      </c>
      <c r="C6119" s="1" t="str">
        <f>"66298834343606"</f>
        <v>66298834343606</v>
      </c>
      <c r="D6119" s="1" t="str">
        <f>"X026"</f>
        <v>X026</v>
      </c>
      <c r="E6119" s="1" t="s">
        <v>4566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</row>
    <row r="6120" spans="1:11" x14ac:dyDescent="0.2">
      <c r="A6120" s="1" t="s">
        <v>1050</v>
      </c>
      <c r="B6120" s="1" t="s">
        <v>1081</v>
      </c>
      <c r="C6120" s="1" t="str">
        <f>"138269"</f>
        <v>138269</v>
      </c>
      <c r="D6120" s="1" t="str">
        <f>"138269"</f>
        <v>138269</v>
      </c>
      <c r="E6120" s="1" t="s">
        <v>4566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</row>
    <row r="6121" spans="1:11" x14ac:dyDescent="0.2">
      <c r="A6121" s="1" t="s">
        <v>1050</v>
      </c>
      <c r="B6121" s="1" t="s">
        <v>1082</v>
      </c>
      <c r="C6121" s="1" t="str">
        <f>"66298834380603"</f>
        <v>66298834380603</v>
      </c>
      <c r="D6121" s="1" t="str">
        <f>"400536"</f>
        <v>400536</v>
      </c>
      <c r="E6121" s="1" t="s">
        <v>4566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</row>
    <row r="6122" spans="1:11" x14ac:dyDescent="0.2">
      <c r="A6122" s="1" t="s">
        <v>1050</v>
      </c>
      <c r="B6122" s="1" t="s">
        <v>1083</v>
      </c>
      <c r="C6122" s="1" t="str">
        <f>"66298834416694"</f>
        <v>66298834416694</v>
      </c>
      <c r="D6122" s="1" t="str">
        <f>"X031"</f>
        <v>X031</v>
      </c>
      <c r="E6122" s="1" t="s">
        <v>4566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</row>
    <row r="6123" spans="1:11" x14ac:dyDescent="0.2">
      <c r="A6123" s="1" t="s">
        <v>1050</v>
      </c>
      <c r="B6123" s="1" t="s">
        <v>1084</v>
      </c>
      <c r="C6123" s="1" t="str">
        <f>"X021"</f>
        <v>X021</v>
      </c>
      <c r="D6123" s="1" t="str">
        <f>"X021"</f>
        <v>X021</v>
      </c>
      <c r="E6123" s="1" t="s">
        <v>4566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</row>
    <row r="6124" spans="1:11" x14ac:dyDescent="0.2">
      <c r="A6124" s="1" t="s">
        <v>1050</v>
      </c>
      <c r="B6124" s="1" t="s">
        <v>1085</v>
      </c>
      <c r="C6124" s="1" t="str">
        <f>"66298834460697"</f>
        <v>66298834460697</v>
      </c>
      <c r="D6124" s="1" t="str">
        <f>"400573"</f>
        <v>400573</v>
      </c>
      <c r="E6124" s="1" t="s">
        <v>4566</v>
      </c>
      <c r="F6124" s="1">
        <v>18</v>
      </c>
      <c r="G6124" s="1">
        <v>21779</v>
      </c>
      <c r="H6124" s="1">
        <v>392022</v>
      </c>
      <c r="I6124" s="1">
        <v>0</v>
      </c>
      <c r="J6124" s="1">
        <v>18</v>
      </c>
      <c r="K6124" s="1">
        <v>0</v>
      </c>
    </row>
    <row r="6125" spans="1:11" x14ac:dyDescent="0.2">
      <c r="A6125" s="1" t="s">
        <v>18</v>
      </c>
      <c r="B6125" s="1" t="s">
        <v>1086</v>
      </c>
      <c r="C6125" s="1" t="str">
        <f>"117248"</f>
        <v>117248</v>
      </c>
      <c r="D6125" s="1" t="str">
        <f>"117248"</f>
        <v>117248</v>
      </c>
      <c r="E6125" s="1" t="s">
        <v>4566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</row>
    <row r="6126" spans="1:11" x14ac:dyDescent="0.2">
      <c r="A6126" s="1" t="s">
        <v>18</v>
      </c>
      <c r="B6126" s="1" t="s">
        <v>1087</v>
      </c>
      <c r="C6126" s="1" t="str">
        <f>"66298834505206"</f>
        <v>66298834505206</v>
      </c>
      <c r="D6126" s="1" t="str">
        <f>"H093"</f>
        <v>H093</v>
      </c>
      <c r="E6126" s="1" t="s">
        <v>4566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</row>
    <row r="6127" spans="1:11" x14ac:dyDescent="0.2">
      <c r="A6127" s="1" t="s">
        <v>18</v>
      </c>
      <c r="B6127" s="1" t="s">
        <v>1088</v>
      </c>
      <c r="C6127" s="1" t="str">
        <f>"130250"</f>
        <v>130250</v>
      </c>
      <c r="D6127" s="1" t="str">
        <f>"130250"</f>
        <v>130250</v>
      </c>
      <c r="E6127" s="1" t="s">
        <v>4566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</row>
    <row r="6128" spans="1:11" x14ac:dyDescent="0.2">
      <c r="A6128" s="1" t="s">
        <v>18</v>
      </c>
      <c r="B6128" s="1" t="s">
        <v>1089</v>
      </c>
      <c r="C6128" s="1" t="str">
        <f>"66298834552659"</f>
        <v>66298834552659</v>
      </c>
      <c r="D6128" s="1" t="str">
        <f>"60053"</f>
        <v>60053</v>
      </c>
      <c r="E6128" s="1" t="s">
        <v>4566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</row>
    <row r="6129" spans="1:11" x14ac:dyDescent="0.2">
      <c r="A6129" s="1" t="s">
        <v>18</v>
      </c>
      <c r="B6129" s="1" t="s">
        <v>1089</v>
      </c>
      <c r="C6129" s="1" t="str">
        <f>"1255"</f>
        <v>1255</v>
      </c>
      <c r="D6129" s="1" t="str">
        <f>"1255"</f>
        <v>1255</v>
      </c>
      <c r="E6129" s="1" t="s">
        <v>4566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</row>
    <row r="6130" spans="1:11" x14ac:dyDescent="0.2">
      <c r="A6130" s="1" t="s">
        <v>18</v>
      </c>
      <c r="B6130" s="1" t="s">
        <v>1090</v>
      </c>
      <c r="C6130" s="1" t="str">
        <f>"0274"</f>
        <v>0274</v>
      </c>
      <c r="D6130" s="1" t="str">
        <f>"0274"</f>
        <v>0274</v>
      </c>
      <c r="E6130" s="1" t="s">
        <v>4566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</row>
    <row r="6131" spans="1:11" x14ac:dyDescent="0.2">
      <c r="A6131" s="1" t="s">
        <v>18</v>
      </c>
      <c r="B6131" s="1" t="s">
        <v>1091</v>
      </c>
      <c r="C6131" s="1" t="str">
        <f>"66298834594316"</f>
        <v>66298834594316</v>
      </c>
      <c r="D6131" s="1" t="str">
        <f>"10233"</f>
        <v>10233</v>
      </c>
      <c r="E6131" s="1" t="s">
        <v>4566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</row>
    <row r="6132" spans="1:11" x14ac:dyDescent="0.2">
      <c r="A6132" s="1" t="s">
        <v>18</v>
      </c>
      <c r="B6132" s="1" t="s">
        <v>1092</v>
      </c>
      <c r="C6132" s="1" t="str">
        <f>"FN-MT6-L"</f>
        <v>FN-MT6-L</v>
      </c>
      <c r="D6132" s="1" t="str">
        <f>"FN-MT6-L"</f>
        <v>FN-MT6-L</v>
      </c>
      <c r="E6132" s="1" t="s">
        <v>4566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</row>
    <row r="6133" spans="1:11" x14ac:dyDescent="0.2">
      <c r="A6133" s="1" t="s">
        <v>18</v>
      </c>
      <c r="B6133" s="1" t="s">
        <v>1092</v>
      </c>
      <c r="C6133" s="1" t="str">
        <f>"142900"</f>
        <v>142900</v>
      </c>
      <c r="D6133" s="1" t="str">
        <f>"142900"</f>
        <v>142900</v>
      </c>
      <c r="E6133" s="1" t="s">
        <v>4566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</row>
    <row r="6134" spans="1:11" x14ac:dyDescent="0.2">
      <c r="A6134" s="1" t="s">
        <v>18</v>
      </c>
      <c r="B6134" s="1" t="s">
        <v>1093</v>
      </c>
      <c r="C6134" s="1" t="str">
        <f>"66298834636058"</f>
        <v>66298834636058</v>
      </c>
      <c r="D6134" s="1" t="str">
        <f>"424"</f>
        <v>424</v>
      </c>
      <c r="E6134" s="1" t="s">
        <v>4566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</row>
    <row r="6135" spans="1:11" x14ac:dyDescent="0.2">
      <c r="A6135" s="1" t="s">
        <v>18</v>
      </c>
      <c r="B6135" s="1" t="s">
        <v>1093</v>
      </c>
      <c r="C6135" s="1" t="str">
        <f>"FN-MT6-M"</f>
        <v>FN-MT6-M</v>
      </c>
      <c r="D6135" s="1" t="str">
        <f>"FN-MT6-M"</f>
        <v>FN-MT6-M</v>
      </c>
      <c r="E6135" s="1" t="s">
        <v>4566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</row>
    <row r="6136" spans="1:11" x14ac:dyDescent="0.2">
      <c r="A6136" s="1" t="s">
        <v>18</v>
      </c>
      <c r="B6136" s="1" t="s">
        <v>1094</v>
      </c>
      <c r="C6136" s="1" t="str">
        <f>"66298834674480"</f>
        <v>66298834674480</v>
      </c>
      <c r="D6136" s="1" t="str">
        <f>"1093"</f>
        <v>1093</v>
      </c>
      <c r="E6136" s="1" t="s">
        <v>4566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</row>
    <row r="6137" spans="1:11" x14ac:dyDescent="0.2">
      <c r="A6137" s="1" t="s">
        <v>18</v>
      </c>
      <c r="B6137" s="1" t="s">
        <v>1094</v>
      </c>
      <c r="C6137" s="1" t="str">
        <f>"426"</f>
        <v>426</v>
      </c>
      <c r="D6137" s="1" t="str">
        <f>"426"</f>
        <v>426</v>
      </c>
      <c r="E6137" s="1" t="s">
        <v>4566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</row>
    <row r="6138" spans="1:11" x14ac:dyDescent="0.2">
      <c r="A6138" s="1" t="s">
        <v>18</v>
      </c>
      <c r="B6138" s="1" t="s">
        <v>1094</v>
      </c>
      <c r="C6138" s="1" t="str">
        <f>"FN-MT6-XL"</f>
        <v>FN-MT6-XL</v>
      </c>
      <c r="D6138" s="1" t="str">
        <f>"FN-MT6-XL"</f>
        <v>FN-MT6-XL</v>
      </c>
      <c r="E6138" s="1" t="s">
        <v>4566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</row>
    <row r="6139" spans="1:11" x14ac:dyDescent="0.2">
      <c r="A6139" s="1" t="s">
        <v>18</v>
      </c>
      <c r="B6139" s="1" t="s">
        <v>1094</v>
      </c>
      <c r="C6139" s="1" t="str">
        <f>"142911"</f>
        <v>142911</v>
      </c>
      <c r="D6139" s="1" t="str">
        <f>"142911"</f>
        <v>142911</v>
      </c>
      <c r="E6139" s="1" t="s">
        <v>4566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</row>
    <row r="6140" spans="1:11" x14ac:dyDescent="0.2">
      <c r="A6140" s="1" t="s">
        <v>18</v>
      </c>
      <c r="B6140" s="1" t="s">
        <v>1095</v>
      </c>
      <c r="C6140" s="1" t="str">
        <f>"FN-MT6-XXL"</f>
        <v>FN-MT6-XXL</v>
      </c>
      <c r="D6140" s="1" t="str">
        <f>"FN-MT6-XXL"</f>
        <v>FN-MT6-XXL</v>
      </c>
      <c r="E6140" s="1" t="s">
        <v>4566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</row>
    <row r="6141" spans="1:11" ht="30" x14ac:dyDescent="0.2">
      <c r="A6141" s="1" t="s">
        <v>1096</v>
      </c>
      <c r="B6141" s="1" t="s">
        <v>1097</v>
      </c>
      <c r="C6141" s="1" t="str">
        <f>"66298834714102"</f>
        <v>66298834714102</v>
      </c>
      <c r="D6141" s="1" t="str">
        <f>"11871"</f>
        <v>11871</v>
      </c>
      <c r="E6141" s="1" t="s">
        <v>4566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</row>
    <row r="6142" spans="1:11" x14ac:dyDescent="0.2">
      <c r="A6142" s="1" t="s">
        <v>1096</v>
      </c>
      <c r="B6142" s="1" t="s">
        <v>1098</v>
      </c>
      <c r="C6142" s="1" t="str">
        <f>"66298834757929"</f>
        <v>66298834757929</v>
      </c>
      <c r="D6142" s="1" t="str">
        <f>"13381"</f>
        <v>13381</v>
      </c>
      <c r="E6142" s="1" t="s">
        <v>4566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</row>
    <row r="6143" spans="1:11" x14ac:dyDescent="0.2">
      <c r="A6143" s="1" t="s">
        <v>1096</v>
      </c>
      <c r="B6143" s="1" t="s">
        <v>1099</v>
      </c>
      <c r="C6143" s="1" t="str">
        <f>"66298834802498"</f>
        <v>66298834802498</v>
      </c>
      <c r="D6143" s="1" t="str">
        <f>"13376"</f>
        <v>13376</v>
      </c>
      <c r="E6143" s="1" t="s">
        <v>4566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</row>
    <row r="6144" spans="1:11" x14ac:dyDescent="0.2">
      <c r="A6144" s="1" t="s">
        <v>1096</v>
      </c>
      <c r="B6144" s="1" t="s">
        <v>1100</v>
      </c>
      <c r="C6144" s="1" t="str">
        <f>"66298834845354"</f>
        <v>66298834845354</v>
      </c>
      <c r="D6144" s="1" t="str">
        <f>"14225"</f>
        <v>14225</v>
      </c>
      <c r="E6144" s="1" t="s">
        <v>4566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</row>
    <row r="6145" spans="1:11" x14ac:dyDescent="0.2">
      <c r="A6145" s="1" t="s">
        <v>1096</v>
      </c>
      <c r="B6145" s="1" t="s">
        <v>1101</v>
      </c>
      <c r="C6145" s="1" t="str">
        <f>"65000"</f>
        <v>65000</v>
      </c>
      <c r="D6145" s="1" t="str">
        <f>"65000"</f>
        <v>65000</v>
      </c>
      <c r="E6145" s="1" t="s">
        <v>4566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</row>
    <row r="6146" spans="1:11" x14ac:dyDescent="0.2">
      <c r="A6146" s="1" t="s">
        <v>1096</v>
      </c>
      <c r="B6146" s="1" t="s">
        <v>1102</v>
      </c>
      <c r="C6146" s="1" t="str">
        <f>"66298834887523"</f>
        <v>66298834887523</v>
      </c>
      <c r="D6146" s="1" t="str">
        <f>"120240-M"</f>
        <v>120240-M</v>
      </c>
      <c r="E6146" s="1" t="s">
        <v>4566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</row>
    <row r="6147" spans="1:11" x14ac:dyDescent="0.2">
      <c r="A6147" s="1" t="s">
        <v>1096</v>
      </c>
      <c r="B6147" s="1" t="s">
        <v>1103</v>
      </c>
      <c r="C6147" s="1" t="str">
        <f>"14238"</f>
        <v>14238</v>
      </c>
      <c r="D6147" s="1" t="str">
        <f>"14238"</f>
        <v>14238</v>
      </c>
      <c r="E6147" s="1" t="s">
        <v>4566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</row>
    <row r="6148" spans="1:11" ht="30" x14ac:dyDescent="0.2">
      <c r="A6148" s="1" t="s">
        <v>1096</v>
      </c>
      <c r="B6148" s="1" t="s">
        <v>1104</v>
      </c>
      <c r="C6148" s="1" t="str">
        <f>"66298834930671"</f>
        <v>66298834930671</v>
      </c>
      <c r="D6148" s="1" t="str">
        <f>"175-GHB"</f>
        <v>175-GHB</v>
      </c>
      <c r="E6148" s="1" t="s">
        <v>4566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</row>
    <row r="6149" spans="1:11" ht="30" x14ac:dyDescent="0.2">
      <c r="A6149" s="1" t="s">
        <v>1096</v>
      </c>
      <c r="B6149" s="1" t="s">
        <v>1105</v>
      </c>
      <c r="C6149" s="1" t="str">
        <f>"66298834968419"</f>
        <v>66298834968419</v>
      </c>
      <c r="D6149" s="1" t="str">
        <f>"777"</f>
        <v>777</v>
      </c>
      <c r="E6149" s="1" t="s">
        <v>4566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</row>
    <row r="6150" spans="1:11" x14ac:dyDescent="0.2">
      <c r="A6150" s="1" t="s">
        <v>1096</v>
      </c>
      <c r="B6150" s="1" t="s">
        <v>1106</v>
      </c>
      <c r="C6150" s="1" t="str">
        <f>"66298835006727"</f>
        <v>66298835006727</v>
      </c>
      <c r="D6150" s="1" t="str">
        <f>"684-BLANCO-M"</f>
        <v>684-BLANCO-M</v>
      </c>
      <c r="E6150" s="1" t="s">
        <v>4566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</row>
    <row r="6151" spans="1:11" x14ac:dyDescent="0.2">
      <c r="A6151" s="1" t="s">
        <v>1096</v>
      </c>
      <c r="B6151" s="1" t="s">
        <v>1107</v>
      </c>
      <c r="C6151" s="1" t="str">
        <f>"66298835046082"</f>
        <v>66298835046082</v>
      </c>
      <c r="D6151" s="1" t="str">
        <f>"684-NEGRO"</f>
        <v>684-NEGRO</v>
      </c>
      <c r="E6151" s="1" t="s">
        <v>4566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</row>
    <row r="6152" spans="1:11" x14ac:dyDescent="0.2">
      <c r="A6152" s="1" t="s">
        <v>1096</v>
      </c>
      <c r="B6152" s="1" t="s">
        <v>1108</v>
      </c>
      <c r="C6152" s="1" t="str">
        <f>"66298835088679"</f>
        <v>66298835088679</v>
      </c>
      <c r="D6152" s="1" t="str">
        <f>"684-NEGRO-S"</f>
        <v>684-NEGRO-S</v>
      </c>
      <c r="E6152" s="1" t="s">
        <v>4566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</row>
    <row r="6153" spans="1:11" ht="30" x14ac:dyDescent="0.2">
      <c r="A6153" s="1" t="s">
        <v>1096</v>
      </c>
      <c r="B6153" s="1" t="s">
        <v>1109</v>
      </c>
      <c r="C6153" s="1" t="str">
        <f>"66298835131109"</f>
        <v>66298835131109</v>
      </c>
      <c r="D6153" s="1" t="str">
        <f>"934363"</f>
        <v>934363</v>
      </c>
      <c r="E6153" s="1" t="s">
        <v>4566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</row>
    <row r="6154" spans="1:11" ht="30" x14ac:dyDescent="0.2">
      <c r="A6154" s="1" t="s">
        <v>1096</v>
      </c>
      <c r="B6154" s="1" t="s">
        <v>1110</v>
      </c>
      <c r="C6154" s="1" t="str">
        <f>"66298835167959"</f>
        <v>66298835167959</v>
      </c>
      <c r="D6154" s="1" t="str">
        <f>"934364"</f>
        <v>934364</v>
      </c>
      <c r="E6154" s="1" t="s">
        <v>4566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</row>
    <row r="6155" spans="1:11" x14ac:dyDescent="0.2">
      <c r="A6155" s="1" t="s">
        <v>1096</v>
      </c>
      <c r="B6155" s="1" t="s">
        <v>1111</v>
      </c>
      <c r="C6155" s="1" t="str">
        <f>"66298835214546"</f>
        <v>66298835214546</v>
      </c>
      <c r="D6155" s="1" t="str">
        <f>"934355"</f>
        <v>934355</v>
      </c>
      <c r="E6155" s="1" t="s">
        <v>4566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</row>
    <row r="6156" spans="1:11" ht="30" x14ac:dyDescent="0.2">
      <c r="A6156" s="1" t="s">
        <v>1096</v>
      </c>
      <c r="B6156" s="1" t="s">
        <v>1112</v>
      </c>
      <c r="C6156" s="1" t="str">
        <f>"66298835264548"</f>
        <v>66298835264548</v>
      </c>
      <c r="D6156" s="1" t="str">
        <f>"1138685"</f>
        <v>1138685</v>
      </c>
      <c r="E6156" s="1" t="s">
        <v>4566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</row>
    <row r="6157" spans="1:11" ht="30" x14ac:dyDescent="0.2">
      <c r="A6157" s="1" t="s">
        <v>1096</v>
      </c>
      <c r="B6157" s="1" t="s">
        <v>1113</v>
      </c>
      <c r="C6157" s="1" t="str">
        <f>"14609"</f>
        <v>14609</v>
      </c>
      <c r="D6157" s="1" t="str">
        <f>"14609"</f>
        <v>14609</v>
      </c>
      <c r="E6157" s="1" t="s">
        <v>4566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</row>
    <row r="6158" spans="1:11" ht="30" x14ac:dyDescent="0.2">
      <c r="A6158" s="1" t="s">
        <v>1096</v>
      </c>
      <c r="B6158" s="1" t="s">
        <v>1114</v>
      </c>
      <c r="C6158" s="1" t="str">
        <f>"15945"</f>
        <v>15945</v>
      </c>
      <c r="D6158" s="1" t="str">
        <f>"15945"</f>
        <v>15945</v>
      </c>
      <c r="E6158" s="1" t="s">
        <v>4566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</row>
    <row r="6159" spans="1:11" ht="30" x14ac:dyDescent="0.2">
      <c r="A6159" s="1" t="s">
        <v>1096</v>
      </c>
      <c r="B6159" s="1" t="s">
        <v>1115</v>
      </c>
      <c r="C6159" s="1" t="str">
        <f>"14608"</f>
        <v>14608</v>
      </c>
      <c r="D6159" s="1" t="str">
        <f>"14608"</f>
        <v>14608</v>
      </c>
      <c r="E6159" s="1" t="s">
        <v>4566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</row>
    <row r="6160" spans="1:11" ht="30" x14ac:dyDescent="0.2">
      <c r="A6160" s="1" t="s">
        <v>1096</v>
      </c>
      <c r="B6160" s="1" t="s">
        <v>1116</v>
      </c>
      <c r="C6160" s="1" t="str">
        <f>"12888"</f>
        <v>12888</v>
      </c>
      <c r="D6160" s="1" t="str">
        <f>"12888"</f>
        <v>12888</v>
      </c>
      <c r="E6160" s="1" t="s">
        <v>4566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</row>
    <row r="6161" spans="1:11" x14ac:dyDescent="0.2">
      <c r="A6161" s="1" t="s">
        <v>1096</v>
      </c>
      <c r="B6161" s="1" t="s">
        <v>1117</v>
      </c>
      <c r="C6161" s="1" t="str">
        <f>"16220"</f>
        <v>16220</v>
      </c>
      <c r="D6161" s="1" t="str">
        <f>"16220"</f>
        <v>16220</v>
      </c>
      <c r="E6161" s="1" t="s">
        <v>4566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</row>
    <row r="6162" spans="1:11" ht="30" x14ac:dyDescent="0.2">
      <c r="A6162" s="1" t="s">
        <v>1096</v>
      </c>
      <c r="B6162" s="1" t="s">
        <v>1118</v>
      </c>
      <c r="C6162" s="1" t="str">
        <f>"16221"</f>
        <v>16221</v>
      </c>
      <c r="D6162" s="1" t="str">
        <f>"16221"</f>
        <v>16221</v>
      </c>
      <c r="E6162" s="1" t="s">
        <v>4566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</row>
    <row r="6163" spans="1:11" ht="30" x14ac:dyDescent="0.2">
      <c r="A6163" s="1" t="s">
        <v>1096</v>
      </c>
      <c r="B6163" s="1" t="s">
        <v>1119</v>
      </c>
      <c r="C6163" s="1" t="str">
        <f>"15162"</f>
        <v>15162</v>
      </c>
      <c r="D6163" s="1" t="str">
        <f>"15162"</f>
        <v>15162</v>
      </c>
      <c r="E6163" s="1" t="s">
        <v>4566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</row>
    <row r="6164" spans="1:11" x14ac:dyDescent="0.2">
      <c r="A6164" s="1" t="s">
        <v>1096</v>
      </c>
      <c r="B6164" s="1" t="s">
        <v>1120</v>
      </c>
      <c r="C6164" s="1" t="str">
        <f>"15971"</f>
        <v>15971</v>
      </c>
      <c r="D6164" s="1" t="str">
        <f>"15971"</f>
        <v>15971</v>
      </c>
      <c r="E6164" s="1" t="s">
        <v>4566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</row>
    <row r="6165" spans="1:11" x14ac:dyDescent="0.2">
      <c r="A6165" s="1" t="s">
        <v>1096</v>
      </c>
      <c r="B6165" s="1" t="s">
        <v>1121</v>
      </c>
      <c r="C6165" s="1" t="str">
        <f>"16113"</f>
        <v>16113</v>
      </c>
      <c r="D6165" s="1" t="str">
        <f>"16113"</f>
        <v>16113</v>
      </c>
      <c r="E6165" s="1" t="s">
        <v>4566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</row>
    <row r="6166" spans="1:11" ht="30" x14ac:dyDescent="0.2">
      <c r="A6166" s="1" t="s">
        <v>1096</v>
      </c>
      <c r="B6166" s="1" t="s">
        <v>1122</v>
      </c>
      <c r="C6166" s="1" t="str">
        <f>"12895"</f>
        <v>12895</v>
      </c>
      <c r="D6166" s="1" t="str">
        <f>"12895"</f>
        <v>12895</v>
      </c>
      <c r="E6166" s="1" t="s">
        <v>4566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</row>
    <row r="6167" spans="1:11" ht="30" x14ac:dyDescent="0.2">
      <c r="A6167" s="1" t="s">
        <v>1096</v>
      </c>
      <c r="B6167" s="1" t="s">
        <v>1123</v>
      </c>
      <c r="C6167" s="1" t="str">
        <f>"12896"</f>
        <v>12896</v>
      </c>
      <c r="D6167" s="1" t="str">
        <f>"12896"</f>
        <v>12896</v>
      </c>
      <c r="E6167" s="1" t="s">
        <v>4566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</row>
    <row r="6168" spans="1:11" ht="30" x14ac:dyDescent="0.2">
      <c r="A6168" s="1" t="s">
        <v>1096</v>
      </c>
      <c r="B6168" s="1" t="s">
        <v>1124</v>
      </c>
      <c r="C6168" s="1" t="str">
        <f>"14335"</f>
        <v>14335</v>
      </c>
      <c r="D6168" s="1" t="str">
        <f>"14335"</f>
        <v>14335</v>
      </c>
      <c r="E6168" s="1" t="s">
        <v>4566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</row>
    <row r="6169" spans="1:11" ht="30" x14ac:dyDescent="0.2">
      <c r="A6169" s="1" t="s">
        <v>1096</v>
      </c>
      <c r="B6169" s="1" t="s">
        <v>1125</v>
      </c>
      <c r="C6169" s="1" t="str">
        <f>"14334"</f>
        <v>14334</v>
      </c>
      <c r="D6169" s="1" t="str">
        <f>"14334"</f>
        <v>14334</v>
      </c>
      <c r="E6169" s="1" t="s">
        <v>4566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</row>
    <row r="6170" spans="1:11" ht="30" x14ac:dyDescent="0.2">
      <c r="A6170" s="1" t="s">
        <v>1096</v>
      </c>
      <c r="B6170" s="1" t="s">
        <v>1126</v>
      </c>
      <c r="C6170" s="1" t="str">
        <f>"14318"</f>
        <v>14318</v>
      </c>
      <c r="D6170" s="1" t="str">
        <f>"14318"</f>
        <v>14318</v>
      </c>
      <c r="E6170" s="1" t="s">
        <v>4566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</row>
    <row r="6171" spans="1:11" ht="30" x14ac:dyDescent="0.2">
      <c r="A6171" s="1" t="s">
        <v>1096</v>
      </c>
      <c r="B6171" s="1" t="s">
        <v>1127</v>
      </c>
      <c r="C6171" s="1" t="str">
        <f>"14317"</f>
        <v>14317</v>
      </c>
      <c r="D6171" s="1" t="str">
        <f>"14317"</f>
        <v>14317</v>
      </c>
      <c r="E6171" s="1" t="s">
        <v>4566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</row>
    <row r="6172" spans="1:11" ht="30" x14ac:dyDescent="0.2">
      <c r="A6172" s="1" t="s">
        <v>1096</v>
      </c>
      <c r="B6172" s="1" t="s">
        <v>4567</v>
      </c>
      <c r="C6172" s="1" t="str">
        <f>"14313"</f>
        <v>14313</v>
      </c>
      <c r="D6172" s="1" t="str">
        <f>"14313"</f>
        <v>14313</v>
      </c>
      <c r="E6172" s="1" t="s">
        <v>4566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</row>
    <row r="6173" spans="1:11" ht="30" x14ac:dyDescent="0.2">
      <c r="A6173" s="1" t="s">
        <v>1096</v>
      </c>
      <c r="B6173" s="1" t="s">
        <v>1128</v>
      </c>
      <c r="C6173" s="1" t="str">
        <f>"14312"</f>
        <v>14312</v>
      </c>
      <c r="D6173" s="1" t="str">
        <f>"14312"</f>
        <v>14312</v>
      </c>
      <c r="E6173" s="1" t="s">
        <v>4566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</row>
    <row r="6174" spans="1:11" ht="30" x14ac:dyDescent="0.2">
      <c r="A6174" s="1" t="s">
        <v>1096</v>
      </c>
      <c r="B6174" s="1" t="s">
        <v>1129</v>
      </c>
      <c r="C6174" s="1" t="str">
        <f>"14314"</f>
        <v>14314</v>
      </c>
      <c r="D6174" s="1" t="str">
        <f>"14314"</f>
        <v>14314</v>
      </c>
      <c r="E6174" s="1" t="s">
        <v>4566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</row>
    <row r="6175" spans="1:11" ht="30" x14ac:dyDescent="0.2">
      <c r="A6175" s="1" t="s">
        <v>1096</v>
      </c>
      <c r="B6175" s="1" t="s">
        <v>1130</v>
      </c>
      <c r="C6175" s="1" t="str">
        <f>"14315"</f>
        <v>14315</v>
      </c>
      <c r="D6175" s="1" t="str">
        <f>"14315"</f>
        <v>14315</v>
      </c>
      <c r="E6175" s="1" t="s">
        <v>4566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</row>
    <row r="6176" spans="1:11" ht="30" x14ac:dyDescent="0.2">
      <c r="A6176" s="1" t="s">
        <v>1096</v>
      </c>
      <c r="B6176" s="1" t="s">
        <v>1131</v>
      </c>
      <c r="C6176" s="1" t="str">
        <f>"10782"</f>
        <v>10782</v>
      </c>
      <c r="D6176" s="1" t="str">
        <f>"10782"</f>
        <v>10782</v>
      </c>
      <c r="E6176" s="1" t="s">
        <v>4566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</row>
    <row r="6177" spans="1:11" ht="30" x14ac:dyDescent="0.2">
      <c r="A6177" s="1" t="s">
        <v>1096</v>
      </c>
      <c r="B6177" s="1" t="s">
        <v>1132</v>
      </c>
      <c r="C6177" s="1" t="str">
        <f>"10783"</f>
        <v>10783</v>
      </c>
      <c r="D6177" s="1" t="str">
        <f>"10783"</f>
        <v>10783</v>
      </c>
      <c r="E6177" s="1" t="s">
        <v>4566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</row>
    <row r="6178" spans="1:11" ht="30" x14ac:dyDescent="0.2">
      <c r="A6178" s="1" t="s">
        <v>1096</v>
      </c>
      <c r="B6178" s="1" t="s">
        <v>1133</v>
      </c>
      <c r="C6178" s="1" t="str">
        <f>"13012"</f>
        <v>13012</v>
      </c>
      <c r="D6178" s="1" t="str">
        <f>"13012"</f>
        <v>13012</v>
      </c>
      <c r="E6178" s="1" t="s">
        <v>4566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</row>
    <row r="6179" spans="1:11" ht="30" x14ac:dyDescent="0.2">
      <c r="A6179" s="1" t="s">
        <v>1096</v>
      </c>
      <c r="B6179" s="1" t="s">
        <v>1134</v>
      </c>
      <c r="C6179" s="1" t="str">
        <f>"13011"</f>
        <v>13011</v>
      </c>
      <c r="D6179" s="1" t="str">
        <f>"13011"</f>
        <v>13011</v>
      </c>
      <c r="E6179" s="1" t="s">
        <v>4566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</row>
    <row r="6180" spans="1:11" ht="30" x14ac:dyDescent="0.2">
      <c r="A6180" s="1" t="s">
        <v>1096</v>
      </c>
      <c r="B6180" s="1" t="s">
        <v>1135</v>
      </c>
      <c r="C6180" s="1" t="str">
        <f>"13013"</f>
        <v>13013</v>
      </c>
      <c r="D6180" s="1" t="str">
        <f>"13013"</f>
        <v>13013</v>
      </c>
      <c r="E6180" s="1" t="s">
        <v>4566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</row>
    <row r="6181" spans="1:11" ht="30" x14ac:dyDescent="0.2">
      <c r="A6181" s="1" t="s">
        <v>1096</v>
      </c>
      <c r="B6181" s="1" t="s">
        <v>1136</v>
      </c>
      <c r="C6181" s="1" t="str">
        <f>"13014"</f>
        <v>13014</v>
      </c>
      <c r="D6181" s="1" t="str">
        <f>"13014"</f>
        <v>13014</v>
      </c>
      <c r="E6181" s="1" t="s">
        <v>4566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</row>
    <row r="6182" spans="1:11" ht="30" x14ac:dyDescent="0.2">
      <c r="A6182" s="1" t="s">
        <v>1096</v>
      </c>
      <c r="B6182" s="1" t="s">
        <v>1137</v>
      </c>
      <c r="C6182" s="1" t="str">
        <f>"16235"</f>
        <v>16235</v>
      </c>
      <c r="D6182" s="1" t="str">
        <f>"16235"</f>
        <v>16235</v>
      </c>
      <c r="E6182" s="1" t="s">
        <v>4566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</row>
    <row r="6183" spans="1:11" ht="30" x14ac:dyDescent="0.2">
      <c r="A6183" s="1" t="s">
        <v>1096</v>
      </c>
      <c r="B6183" s="1" t="s">
        <v>1138</v>
      </c>
      <c r="C6183" s="1" t="str">
        <f>"14490"</f>
        <v>14490</v>
      </c>
      <c r="D6183" s="1" t="str">
        <f>"14490"</f>
        <v>14490</v>
      </c>
      <c r="E6183" s="1" t="s">
        <v>4566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</row>
    <row r="6184" spans="1:11" ht="30" x14ac:dyDescent="0.2">
      <c r="A6184" s="1" t="s">
        <v>1096</v>
      </c>
      <c r="B6184" s="1" t="s">
        <v>1139</v>
      </c>
      <c r="C6184" s="1" t="str">
        <f>"14491"</f>
        <v>14491</v>
      </c>
      <c r="D6184" s="1" t="str">
        <f>"14491"</f>
        <v>14491</v>
      </c>
      <c r="E6184" s="1" t="s">
        <v>4566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</row>
    <row r="6185" spans="1:11" ht="30" x14ac:dyDescent="0.2">
      <c r="A6185" s="1" t="s">
        <v>1096</v>
      </c>
      <c r="B6185" s="1" t="s">
        <v>1140</v>
      </c>
      <c r="C6185" s="1" t="str">
        <f>"14483"</f>
        <v>14483</v>
      </c>
      <c r="D6185" s="1" t="str">
        <f>"14483"</f>
        <v>14483</v>
      </c>
      <c r="E6185" s="1" t="s">
        <v>4566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</row>
    <row r="6186" spans="1:11" ht="30" x14ac:dyDescent="0.2">
      <c r="A6186" s="1" t="s">
        <v>1096</v>
      </c>
      <c r="B6186" s="1" t="s">
        <v>1141</v>
      </c>
      <c r="C6186" s="1" t="str">
        <f>"14484"</f>
        <v>14484</v>
      </c>
      <c r="D6186" s="1" t="str">
        <f>"14484"</f>
        <v>14484</v>
      </c>
      <c r="E6186" s="1" t="s">
        <v>4566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</row>
    <row r="6187" spans="1:11" ht="30" x14ac:dyDescent="0.2">
      <c r="A6187" s="1" t="s">
        <v>1096</v>
      </c>
      <c r="B6187" s="1" t="s">
        <v>1142</v>
      </c>
      <c r="C6187" s="1" t="str">
        <f>"16236"</f>
        <v>16236</v>
      </c>
      <c r="D6187" s="1" t="str">
        <f>"16236"</f>
        <v>16236</v>
      </c>
      <c r="E6187" s="1" t="s">
        <v>4566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</row>
    <row r="6188" spans="1:11" ht="30" x14ac:dyDescent="0.2">
      <c r="A6188" s="1" t="s">
        <v>1096</v>
      </c>
      <c r="B6188" s="1" t="s">
        <v>1143</v>
      </c>
      <c r="C6188" s="1" t="str">
        <f>"14489"</f>
        <v>14489</v>
      </c>
      <c r="D6188" s="1" t="str">
        <f>"14489"</f>
        <v>14489</v>
      </c>
      <c r="E6188" s="1" t="s">
        <v>4566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</row>
    <row r="6189" spans="1:11" ht="30" x14ac:dyDescent="0.2">
      <c r="A6189" s="1" t="s">
        <v>1096</v>
      </c>
      <c r="B6189" s="1" t="s">
        <v>1144</v>
      </c>
      <c r="C6189" s="1" t="str">
        <f>"66298835314067"</f>
        <v>66298835314067</v>
      </c>
      <c r="D6189" s="1" t="str">
        <f>"14469"</f>
        <v>14469</v>
      </c>
      <c r="E6189" s="1" t="s">
        <v>4566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</row>
    <row r="6190" spans="1:11" ht="30" x14ac:dyDescent="0.2">
      <c r="A6190" s="1" t="s">
        <v>1096</v>
      </c>
      <c r="B6190" s="1" t="s">
        <v>1145</v>
      </c>
      <c r="C6190" s="1" t="str">
        <f>"66298835355573"</f>
        <v>66298835355573</v>
      </c>
      <c r="D6190" s="1" t="str">
        <f>"13734"</f>
        <v>13734</v>
      </c>
      <c r="E6190" s="1" t="s">
        <v>4566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</row>
    <row r="6191" spans="1:11" x14ac:dyDescent="0.2">
      <c r="A6191" s="1" t="s">
        <v>1096</v>
      </c>
      <c r="B6191" s="1" t="s">
        <v>1146</v>
      </c>
      <c r="C6191" s="1" t="str">
        <f>"66298835392119"</f>
        <v>66298835392119</v>
      </c>
      <c r="D6191" s="1" t="str">
        <f>"13737"</f>
        <v>13737</v>
      </c>
      <c r="E6191" s="1" t="s">
        <v>4566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</row>
    <row r="6192" spans="1:11" x14ac:dyDescent="0.2">
      <c r="A6192" s="1" t="s">
        <v>1096</v>
      </c>
      <c r="B6192" s="1" t="s">
        <v>1147</v>
      </c>
      <c r="C6192" s="1" t="str">
        <f>"66298835433798"</f>
        <v>66298835433798</v>
      </c>
      <c r="D6192" s="1" t="str">
        <f>"13742"</f>
        <v>13742</v>
      </c>
      <c r="E6192" s="1" t="s">
        <v>4566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</row>
    <row r="6193" spans="1:11" x14ac:dyDescent="0.2">
      <c r="A6193" s="1" t="s">
        <v>1096</v>
      </c>
      <c r="B6193" s="1" t="s">
        <v>1148</v>
      </c>
      <c r="C6193" s="1" t="str">
        <f>"66298835475424"</f>
        <v>66298835475424</v>
      </c>
      <c r="D6193" s="1" t="str">
        <f>"13492"</f>
        <v>13492</v>
      </c>
      <c r="E6193" s="1" t="s">
        <v>4566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</row>
    <row r="6194" spans="1:11" x14ac:dyDescent="0.2">
      <c r="A6194" s="1" t="s">
        <v>1096</v>
      </c>
      <c r="B6194" s="1" t="s">
        <v>1149</v>
      </c>
      <c r="C6194" s="1" t="str">
        <f>"66298835514853"</f>
        <v>66298835514853</v>
      </c>
      <c r="D6194" s="1" t="str">
        <f>"1379A"</f>
        <v>1379A</v>
      </c>
      <c r="E6194" s="1" t="s">
        <v>4566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</row>
    <row r="6195" spans="1:11" x14ac:dyDescent="0.2">
      <c r="A6195" s="1" t="s">
        <v>1096</v>
      </c>
      <c r="B6195" s="1" t="s">
        <v>1150</v>
      </c>
      <c r="C6195" s="1" t="str">
        <f>"66298835559620"</f>
        <v>66298835559620</v>
      </c>
      <c r="D6195" s="1" t="str">
        <f>"1379B"</f>
        <v>1379B</v>
      </c>
      <c r="E6195" s="1" t="s">
        <v>4566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</row>
    <row r="6196" spans="1:11" x14ac:dyDescent="0.2">
      <c r="A6196" s="1" t="s">
        <v>1096</v>
      </c>
      <c r="B6196" s="1" t="s">
        <v>1151</v>
      </c>
      <c r="C6196" s="1" t="str">
        <f>"66298835601278"</f>
        <v>66298835601278</v>
      </c>
      <c r="D6196" s="1" t="str">
        <f>"1379N"</f>
        <v>1379N</v>
      </c>
      <c r="E6196" s="1" t="s">
        <v>4566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</row>
    <row r="6197" spans="1:11" x14ac:dyDescent="0.2">
      <c r="A6197" s="1" t="s">
        <v>1096</v>
      </c>
      <c r="B6197" s="1" t="s">
        <v>1152</v>
      </c>
      <c r="C6197" s="1" t="str">
        <f>"66298835643005"</f>
        <v>66298835643005</v>
      </c>
      <c r="D6197" s="1" t="str">
        <f>"1379M"</f>
        <v>1379M</v>
      </c>
      <c r="E6197" s="1" t="s">
        <v>4566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</row>
    <row r="6198" spans="1:11" x14ac:dyDescent="0.2">
      <c r="A6198" s="1" t="s">
        <v>1096</v>
      </c>
      <c r="B6198" s="1" t="s">
        <v>1153</v>
      </c>
      <c r="C6198" s="1" t="str">
        <f>"66298835683615"</f>
        <v>66298835683615</v>
      </c>
      <c r="D6198" s="1" t="str">
        <f>"1379R"</f>
        <v>1379R</v>
      </c>
      <c r="E6198" s="1" t="s">
        <v>4566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</row>
    <row r="6199" spans="1:11" x14ac:dyDescent="0.2">
      <c r="A6199" s="1" t="s">
        <v>1096</v>
      </c>
      <c r="B6199" s="1" t="s">
        <v>1154</v>
      </c>
      <c r="C6199" s="1" t="str">
        <f>"66298835722889"</f>
        <v>66298835722889</v>
      </c>
      <c r="D6199" s="1" t="str">
        <f>"W015-NEG/ROJ-L"</f>
        <v>W015-NEG/ROJ-L</v>
      </c>
      <c r="E6199" s="1" t="s">
        <v>4566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</row>
    <row r="6200" spans="1:11" x14ac:dyDescent="0.2">
      <c r="A6200" s="1" t="s">
        <v>1096</v>
      </c>
      <c r="B6200" s="1" t="s">
        <v>1155</v>
      </c>
      <c r="C6200" s="1" t="str">
        <f>"66298835766424"</f>
        <v>66298835766424</v>
      </c>
      <c r="D6200" s="1" t="str">
        <f>"561"</f>
        <v>561</v>
      </c>
      <c r="E6200" s="1" t="s">
        <v>4566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</row>
    <row r="6201" spans="1:11" x14ac:dyDescent="0.2">
      <c r="A6201" s="1" t="s">
        <v>1156</v>
      </c>
      <c r="B6201" s="1" t="s">
        <v>1157</v>
      </c>
      <c r="C6201" s="1" t="str">
        <f>"10000040033"</f>
        <v>10000040033</v>
      </c>
      <c r="D6201" s="1" t="str">
        <f>"10000040033"</f>
        <v>10000040033</v>
      </c>
      <c r="E6201" s="1" t="s">
        <v>4566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</row>
    <row r="6202" spans="1:11" x14ac:dyDescent="0.2">
      <c r="A6202" s="1" t="s">
        <v>1156</v>
      </c>
      <c r="B6202" s="1" t="s">
        <v>1158</v>
      </c>
      <c r="C6202" s="1" t="str">
        <f>"66298835807824"</f>
        <v>66298835807824</v>
      </c>
      <c r="D6202" s="1" t="str">
        <f>"49CC60"</f>
        <v>49CC60</v>
      </c>
      <c r="E6202" s="1" t="s">
        <v>4566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</row>
    <row r="6203" spans="1:11" x14ac:dyDescent="0.2">
      <c r="A6203" s="1" t="s">
        <v>1156</v>
      </c>
      <c r="B6203" s="1" t="s">
        <v>1159</v>
      </c>
      <c r="C6203" s="1" t="str">
        <f>"N031"</f>
        <v>N031</v>
      </c>
      <c r="D6203" s="1" t="str">
        <f>"N031"</f>
        <v>N031</v>
      </c>
      <c r="E6203" s="1" t="s">
        <v>4566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</row>
    <row r="6204" spans="1:11" x14ac:dyDescent="0.2">
      <c r="A6204" s="1" t="s">
        <v>1156</v>
      </c>
      <c r="B6204" s="1" t="s">
        <v>1160</v>
      </c>
      <c r="C6204" s="1" t="str">
        <f>"66298835845930"</f>
        <v>66298835845930</v>
      </c>
      <c r="D6204" s="1" t="str">
        <f>"S102-CATALINA"</f>
        <v>S102-CATALINA</v>
      </c>
      <c r="E6204" s="1" t="s">
        <v>4566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</row>
    <row r="6205" spans="1:11" x14ac:dyDescent="0.2">
      <c r="A6205" s="1" t="s">
        <v>1156</v>
      </c>
      <c r="B6205" s="1" t="s">
        <v>1160</v>
      </c>
      <c r="C6205" s="1" t="str">
        <f>"10000040009"</f>
        <v>10000040009</v>
      </c>
      <c r="D6205" s="1" t="str">
        <f>"10000040009"</f>
        <v>10000040009</v>
      </c>
      <c r="E6205" s="1" t="s">
        <v>4566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</row>
    <row r="6206" spans="1:11" x14ac:dyDescent="0.2">
      <c r="A6206" s="1" t="s">
        <v>1156</v>
      </c>
      <c r="B6206" s="1" t="s">
        <v>1161</v>
      </c>
      <c r="C6206" s="1" t="str">
        <f>"10000043012"</f>
        <v>10000043012</v>
      </c>
      <c r="D6206" s="1" t="str">
        <f>"10000043012"</f>
        <v>10000043012</v>
      </c>
      <c r="E6206" s="1" t="s">
        <v>4566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</row>
    <row r="6207" spans="1:11" x14ac:dyDescent="0.2">
      <c r="A6207" s="1" t="s">
        <v>1156</v>
      </c>
      <c r="B6207" s="1" t="s">
        <v>1162</v>
      </c>
      <c r="C6207" s="1" t="str">
        <f>"20020"</f>
        <v>20020</v>
      </c>
      <c r="D6207" s="1" t="str">
        <f>"20020"</f>
        <v>20020</v>
      </c>
      <c r="E6207" s="1" t="s">
        <v>4566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</row>
    <row r="6208" spans="1:11" x14ac:dyDescent="0.2">
      <c r="A6208" s="1" t="s">
        <v>1156</v>
      </c>
      <c r="B6208" s="1" t="s">
        <v>1163</v>
      </c>
      <c r="C6208" s="1" t="str">
        <f>"66298835883001"</f>
        <v>66298835883001</v>
      </c>
      <c r="D6208" s="1" t="str">
        <f>"41202-KWT-900JP"</f>
        <v>41202-KWT-900JP</v>
      </c>
      <c r="E6208" s="1" t="s">
        <v>4566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</row>
    <row r="6209" spans="1:11" x14ac:dyDescent="0.2">
      <c r="A6209" s="1" t="s">
        <v>1156</v>
      </c>
      <c r="B6209" s="1" t="s">
        <v>1164</v>
      </c>
      <c r="C6209" s="1" t="str">
        <f>"42041-1199VA"</f>
        <v>42041-1199VA</v>
      </c>
      <c r="D6209" s="1" t="str">
        <f>"42041-1199VA"</f>
        <v>42041-1199VA</v>
      </c>
      <c r="E6209" s="1" t="s">
        <v>4566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</row>
    <row r="6210" spans="1:11" x14ac:dyDescent="0.2">
      <c r="A6210" s="1" t="s">
        <v>1156</v>
      </c>
      <c r="B6210" s="1" t="s">
        <v>1165</v>
      </c>
      <c r="C6210" s="1" t="str">
        <f>"66298835926385"</f>
        <v>66298835926385</v>
      </c>
      <c r="D6210" s="1" t="str">
        <f>"64511-01D04JP"</f>
        <v>64511-01D04JP</v>
      </c>
      <c r="E6210" s="1" t="s">
        <v>4566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</row>
    <row r="6211" spans="1:11" x14ac:dyDescent="0.2">
      <c r="A6211" s="1" t="s">
        <v>1156</v>
      </c>
      <c r="B6211" s="1" t="s">
        <v>1166</v>
      </c>
      <c r="C6211" s="1" t="str">
        <f>"66298835964925"</f>
        <v>66298835964925</v>
      </c>
      <c r="D6211" s="1" t="str">
        <f>"DJ-1511-10"</f>
        <v>DJ-1511-10</v>
      </c>
      <c r="E6211" s="1" t="s">
        <v>4566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</row>
    <row r="6212" spans="1:11" x14ac:dyDescent="0.2">
      <c r="A6212" s="1" t="s">
        <v>1156</v>
      </c>
      <c r="B6212" s="1" t="s">
        <v>1167</v>
      </c>
      <c r="C6212" s="1" t="str">
        <f>"10000048184"</f>
        <v>10000048184</v>
      </c>
      <c r="D6212" s="1" t="str">
        <f>"10000048184"</f>
        <v>10000048184</v>
      </c>
      <c r="E6212" s="1" t="s">
        <v>4566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</row>
    <row r="6213" spans="1:11" x14ac:dyDescent="0.2">
      <c r="A6213" s="1" t="s">
        <v>1156</v>
      </c>
      <c r="B6213" s="1" t="s">
        <v>1168</v>
      </c>
      <c r="C6213" s="1" t="str">
        <f>"66298836002316"</f>
        <v>66298836002316</v>
      </c>
      <c r="D6213" s="1" t="str">
        <f>"41200-KSH-930JP"</f>
        <v>41200-KSH-930JP</v>
      </c>
      <c r="E6213" s="1" t="s">
        <v>4566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</row>
    <row r="6214" spans="1:11" x14ac:dyDescent="0.2">
      <c r="A6214" s="1" t="s">
        <v>1156</v>
      </c>
      <c r="B6214" s="1" t="s">
        <v>1169</v>
      </c>
      <c r="C6214" s="1" t="str">
        <f>"66298836041969"</f>
        <v>66298836041969</v>
      </c>
      <c r="D6214" s="1" t="str">
        <f>"21C-F5440-00VA"</f>
        <v>21C-F5440-00VA</v>
      </c>
      <c r="E6214" s="1" t="s">
        <v>4566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</row>
    <row r="6215" spans="1:11" x14ac:dyDescent="0.2">
      <c r="A6215" s="1" t="s">
        <v>1156</v>
      </c>
      <c r="B6215" s="1" t="s">
        <v>1169</v>
      </c>
      <c r="C6215" s="1" t="str">
        <f>"10000041709"</f>
        <v>10000041709</v>
      </c>
      <c r="D6215" s="1" t="str">
        <f>"10000041709"</f>
        <v>10000041709</v>
      </c>
      <c r="E6215" s="1" t="s">
        <v>4566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</row>
    <row r="6216" spans="1:11" x14ac:dyDescent="0.2">
      <c r="A6216" s="1" t="s">
        <v>1156</v>
      </c>
      <c r="B6216" s="1" t="s">
        <v>1170</v>
      </c>
      <c r="C6216" s="1" t="str">
        <f>"66298836082894"</f>
        <v>66298836082894</v>
      </c>
      <c r="D6216" s="1" t="str">
        <f>"1ED-F5440-00JP"</f>
        <v>1ED-F5440-00JP</v>
      </c>
      <c r="E6216" s="1" t="s">
        <v>4566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</row>
    <row r="6217" spans="1:11" x14ac:dyDescent="0.2">
      <c r="A6217" s="1" t="s">
        <v>1156</v>
      </c>
      <c r="B6217" s="1" t="s">
        <v>1171</v>
      </c>
      <c r="C6217" s="1" t="str">
        <f>"10000041504"</f>
        <v>10000041504</v>
      </c>
      <c r="D6217" s="1" t="str">
        <f>"10000041504"</f>
        <v>10000041504</v>
      </c>
      <c r="E6217" s="1" t="s">
        <v>4566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</row>
    <row r="6218" spans="1:11" ht="30" x14ac:dyDescent="0.2">
      <c r="A6218" s="1" t="s">
        <v>1156</v>
      </c>
      <c r="B6218" s="1" t="s">
        <v>1172</v>
      </c>
      <c r="C6218" s="1" t="str">
        <f>"JTR1316.41"</f>
        <v>JTR1316.41</v>
      </c>
      <c r="D6218" s="1" t="str">
        <f>"JTR1316.41"</f>
        <v>JTR1316.41</v>
      </c>
      <c r="E6218" s="1" t="s">
        <v>4566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</row>
    <row r="6219" spans="1:11" x14ac:dyDescent="0.2">
      <c r="A6219" s="1" t="s">
        <v>1156</v>
      </c>
      <c r="B6219" s="1" t="s">
        <v>1173</v>
      </c>
      <c r="C6219" s="1" t="str">
        <f>"10000043014"</f>
        <v>10000043014</v>
      </c>
      <c r="D6219" s="1" t="str">
        <f>"10000043014"</f>
        <v>10000043014</v>
      </c>
      <c r="E6219" s="1" t="s">
        <v>4566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</row>
    <row r="6220" spans="1:11" x14ac:dyDescent="0.2">
      <c r="A6220" s="1" t="s">
        <v>1156</v>
      </c>
      <c r="B6220" s="1" t="s">
        <v>1174</v>
      </c>
      <c r="C6220" s="1" t="str">
        <f>"66298836121204"</f>
        <v>66298836121204</v>
      </c>
      <c r="D6220" s="1" t="str">
        <f>"64511-30H00JP"</f>
        <v>64511-30H00JP</v>
      </c>
      <c r="E6220" s="1" t="s">
        <v>4566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</row>
    <row r="6221" spans="1:11" x14ac:dyDescent="0.2">
      <c r="A6221" s="1" t="s">
        <v>1156</v>
      </c>
      <c r="B6221" s="1" t="s">
        <v>1175</v>
      </c>
      <c r="C6221" s="1" t="str">
        <f>"12189"</f>
        <v>12189</v>
      </c>
      <c r="D6221" s="1" t="str">
        <f>"12189"</f>
        <v>12189</v>
      </c>
      <c r="E6221" s="1" t="s">
        <v>4566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</row>
    <row r="6222" spans="1:11" x14ac:dyDescent="0.2">
      <c r="A6222" s="1" t="s">
        <v>1156</v>
      </c>
      <c r="B6222" s="1" t="s">
        <v>1176</v>
      </c>
      <c r="C6222" s="1" t="str">
        <f>"U003C"</f>
        <v>U003C</v>
      </c>
      <c r="D6222" s="1" t="str">
        <f>"U003C"</f>
        <v>U003C</v>
      </c>
      <c r="E6222" s="1" t="s">
        <v>4566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</row>
    <row r="6223" spans="1:11" x14ac:dyDescent="0.2">
      <c r="A6223" s="1" t="s">
        <v>1156</v>
      </c>
      <c r="B6223" s="1" t="s">
        <v>1177</v>
      </c>
      <c r="C6223" s="1" t="str">
        <f>"10000041694"</f>
        <v>10000041694</v>
      </c>
      <c r="D6223" s="1" t="str">
        <f>"10000041694"</f>
        <v>10000041694</v>
      </c>
      <c r="E6223" s="1" t="s">
        <v>4566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</row>
    <row r="6224" spans="1:11" x14ac:dyDescent="0.2">
      <c r="A6224" s="1" t="s">
        <v>1156</v>
      </c>
      <c r="B6224" s="1" t="s">
        <v>1178</v>
      </c>
      <c r="C6224" s="1" t="str">
        <f>"66298836164796"</f>
        <v>66298836164796</v>
      </c>
      <c r="D6224" s="1" t="str">
        <f>"N008"</f>
        <v>N008</v>
      </c>
      <c r="E6224" s="1" t="s">
        <v>4566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</row>
    <row r="6225" spans="1:11" ht="30" x14ac:dyDescent="0.2">
      <c r="A6225" s="1" t="s">
        <v>1156</v>
      </c>
      <c r="B6225" s="1" t="s">
        <v>1179</v>
      </c>
      <c r="C6225" s="1" t="str">
        <f>"66298836207120"</f>
        <v>66298836207120</v>
      </c>
      <c r="D6225" s="1" t="str">
        <f>"41200-KSP-B00JP"</f>
        <v>41200-KSP-B00JP</v>
      </c>
      <c r="E6225" s="1" t="s">
        <v>4566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</row>
    <row r="6226" spans="1:11" x14ac:dyDescent="0.2">
      <c r="A6226" s="1" t="s">
        <v>1156</v>
      </c>
      <c r="B6226" s="1" t="s">
        <v>1180</v>
      </c>
      <c r="C6226" s="1" t="str">
        <f>"66298836250003"</f>
        <v>66298836250003</v>
      </c>
      <c r="D6226" s="1" t="str">
        <f>"64511-32E00JP"</f>
        <v>64511-32E00JP</v>
      </c>
      <c r="E6226" s="1" t="s">
        <v>4566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</row>
    <row r="6227" spans="1:11" x14ac:dyDescent="0.2">
      <c r="A6227" s="1" t="s">
        <v>1156</v>
      </c>
      <c r="B6227" s="1" t="s">
        <v>1181</v>
      </c>
      <c r="C6227" s="1" t="str">
        <f>"66298836293252"</f>
        <v>66298836293252</v>
      </c>
      <c r="D6227" s="1" t="str">
        <f>"DX-1510-23JP"</f>
        <v>DX-1510-23JP</v>
      </c>
      <c r="E6227" s="1" t="s">
        <v>4566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</row>
    <row r="6228" spans="1:11" x14ac:dyDescent="0.2">
      <c r="A6228" s="1" t="s">
        <v>1156</v>
      </c>
      <c r="B6228" s="1" t="s">
        <v>1182</v>
      </c>
      <c r="C6228" s="1" t="str">
        <f>"66298836338595"</f>
        <v>66298836338595</v>
      </c>
      <c r="D6228" s="1" t="str">
        <f>"83187"</f>
        <v>83187</v>
      </c>
      <c r="E6228" s="1" t="s">
        <v>4566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</row>
    <row r="6229" spans="1:11" x14ac:dyDescent="0.2">
      <c r="A6229" s="1" t="s">
        <v>1156</v>
      </c>
      <c r="B6229" s="1" t="s">
        <v>1183</v>
      </c>
      <c r="C6229" s="1" t="str">
        <f>"U024"</f>
        <v>U024</v>
      </c>
      <c r="D6229" s="1" t="str">
        <f>"U024"</f>
        <v>U024</v>
      </c>
      <c r="E6229" s="1" t="s">
        <v>4566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</row>
    <row r="6230" spans="1:11" x14ac:dyDescent="0.2">
      <c r="A6230" s="1" t="s">
        <v>1156</v>
      </c>
      <c r="B6230" s="1" t="s">
        <v>1184</v>
      </c>
      <c r="C6230" s="1" t="str">
        <f>"66298836381193"</f>
        <v>66298836381193</v>
      </c>
      <c r="D6230" s="1" t="str">
        <f>"40230"</f>
        <v>40230</v>
      </c>
      <c r="E6230" s="1" t="s">
        <v>4566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</row>
    <row r="6231" spans="1:11" x14ac:dyDescent="0.2">
      <c r="A6231" s="1" t="s">
        <v>1156</v>
      </c>
      <c r="B6231" s="1" t="s">
        <v>1184</v>
      </c>
      <c r="C6231" s="1" t="str">
        <f>"66298836423157"</f>
        <v>66298836423157</v>
      </c>
      <c r="D6231" s="1" t="str">
        <f>"41201-KVE-900JP"</f>
        <v>41201-KVE-900JP</v>
      </c>
      <c r="E6231" s="1" t="s">
        <v>4566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</row>
    <row r="6232" spans="1:11" x14ac:dyDescent="0.2">
      <c r="A6232" s="1" t="s">
        <v>1156</v>
      </c>
      <c r="B6232" s="1" t="s">
        <v>1185</v>
      </c>
      <c r="C6232" s="1" t="str">
        <f>"66298836463867"</f>
        <v>66298836463867</v>
      </c>
      <c r="D6232" s="1" t="str">
        <f>"64511-32E20JP"</f>
        <v>64511-32E20JP</v>
      </c>
      <c r="E6232" s="1" t="s">
        <v>4566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</row>
    <row r="6233" spans="1:11" x14ac:dyDescent="0.2">
      <c r="A6233" s="1" t="s">
        <v>1156</v>
      </c>
      <c r="B6233" s="1" t="s">
        <v>1186</v>
      </c>
      <c r="C6233" s="1" t="str">
        <f>"64511-05310JP"</f>
        <v>64511-05310JP</v>
      </c>
      <c r="D6233" s="1" t="str">
        <f>"64511-05310JP"</f>
        <v>64511-05310JP</v>
      </c>
      <c r="E6233" s="1" t="s">
        <v>4566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</row>
    <row r="6234" spans="1:11" x14ac:dyDescent="0.2">
      <c r="A6234" s="1" t="s">
        <v>1156</v>
      </c>
      <c r="B6234" s="1" t="s">
        <v>1187</v>
      </c>
      <c r="C6234" s="1" t="str">
        <f>"66298836505913"</f>
        <v>66298836505913</v>
      </c>
      <c r="D6234" s="1" t="str">
        <f>"504-43ST"</f>
        <v>504-43ST</v>
      </c>
      <c r="E6234" s="1" t="s">
        <v>4566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</row>
    <row r="6235" spans="1:11" x14ac:dyDescent="0.2">
      <c r="A6235" s="1" t="s">
        <v>1156</v>
      </c>
      <c r="B6235" s="1" t="s">
        <v>1188</v>
      </c>
      <c r="C6235" s="1" t="str">
        <f>"JTR1876.43"</f>
        <v>JTR1876.43</v>
      </c>
      <c r="D6235" s="1" t="str">
        <f>"JTR1876.43"</f>
        <v>JTR1876.43</v>
      </c>
      <c r="E6235" s="1" t="s">
        <v>4566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</row>
    <row r="6236" spans="1:11" x14ac:dyDescent="0.2">
      <c r="A6236" s="1" t="s">
        <v>1156</v>
      </c>
      <c r="B6236" s="1" t="s">
        <v>1189</v>
      </c>
      <c r="C6236" s="1" t="str">
        <f>"66298836542036"</f>
        <v>66298836542036</v>
      </c>
      <c r="D6236" s="1" t="str">
        <f>"41200-KBB-670JP"</f>
        <v>41200-KBB-670JP</v>
      </c>
      <c r="E6236" s="1" t="s">
        <v>4566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</row>
    <row r="6237" spans="1:11" x14ac:dyDescent="0.2">
      <c r="A6237" s="1" t="s">
        <v>1156</v>
      </c>
      <c r="B6237" s="1" t="s">
        <v>1190</v>
      </c>
      <c r="C6237" s="1" t="str">
        <f>"66298836581363"</f>
        <v>66298836581363</v>
      </c>
      <c r="D6237" s="1" t="str">
        <f>"41201-KGA-900JP"</f>
        <v>41201-KGA-900JP</v>
      </c>
      <c r="E6237" s="1" t="s">
        <v>4566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</row>
    <row r="6238" spans="1:11" x14ac:dyDescent="0.2">
      <c r="A6238" s="1" t="s">
        <v>1156</v>
      </c>
      <c r="B6238" s="1" t="s">
        <v>1191</v>
      </c>
      <c r="C6238" s="1" t="str">
        <f>"10000040383"</f>
        <v>10000040383</v>
      </c>
      <c r="D6238" s="1" t="str">
        <f>"10000040383"</f>
        <v>10000040383</v>
      </c>
      <c r="E6238" s="1" t="s">
        <v>4566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</row>
    <row r="6239" spans="1:11" x14ac:dyDescent="0.2">
      <c r="A6239" s="1" t="s">
        <v>1156</v>
      </c>
      <c r="B6239" s="1" t="s">
        <v>1192</v>
      </c>
      <c r="C6239" s="1" t="str">
        <f>"5C9-F5444-00"</f>
        <v>5C9-F5444-00</v>
      </c>
      <c r="D6239" s="1" t="str">
        <f>"5C9-F5444-00"</f>
        <v>5C9-F5444-00</v>
      </c>
      <c r="E6239" s="1" t="s">
        <v>4566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</row>
    <row r="6240" spans="1:11" x14ac:dyDescent="0.2">
      <c r="A6240" s="1" t="s">
        <v>1156</v>
      </c>
      <c r="B6240" s="1" t="s">
        <v>1193</v>
      </c>
      <c r="C6240" s="1" t="str">
        <f>"66298836660245"</f>
        <v>66298836660245</v>
      </c>
      <c r="D6240" s="1" t="str">
        <f>"85174"</f>
        <v>85174</v>
      </c>
      <c r="E6240" s="1" t="s">
        <v>4566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</row>
    <row r="6241" spans="1:11" ht="30" x14ac:dyDescent="0.2">
      <c r="A6241" s="1" t="s">
        <v>1156</v>
      </c>
      <c r="B6241" s="1" t="s">
        <v>1194</v>
      </c>
      <c r="C6241" s="1" t="str">
        <f>"66298836701228"</f>
        <v>66298836701228</v>
      </c>
      <c r="D6241" s="1" t="str">
        <f>"64511-42A01JP"</f>
        <v>64511-42A01JP</v>
      </c>
      <c r="E6241" s="1" t="s">
        <v>4566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</row>
    <row r="6242" spans="1:11" x14ac:dyDescent="0.2">
      <c r="A6242" s="1" t="s">
        <v>1156</v>
      </c>
      <c r="B6242" s="1" t="s">
        <v>1195</v>
      </c>
      <c r="C6242" s="1" t="str">
        <f>"66298836738706"</f>
        <v>66298836738706</v>
      </c>
      <c r="D6242" s="1" t="str">
        <f>"64511-42A00VA"</f>
        <v>64511-42A00VA</v>
      </c>
      <c r="E6242" s="1" t="s">
        <v>4566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</row>
    <row r="6243" spans="1:11" x14ac:dyDescent="0.2">
      <c r="A6243" s="1" t="s">
        <v>1156</v>
      </c>
      <c r="B6243" s="1" t="s">
        <v>1196</v>
      </c>
      <c r="C6243" s="1" t="str">
        <f>"10000041601"</f>
        <v>10000041601</v>
      </c>
      <c r="D6243" s="1" t="str">
        <f>"10000041601"</f>
        <v>10000041601</v>
      </c>
      <c r="E6243" s="1" t="s">
        <v>4566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</row>
    <row r="6244" spans="1:11" x14ac:dyDescent="0.2">
      <c r="A6244" s="1" t="s">
        <v>1156</v>
      </c>
      <c r="B6244" s="1" t="s">
        <v>1197</v>
      </c>
      <c r="C6244" s="1" t="str">
        <f>"10000043262"</f>
        <v>10000043262</v>
      </c>
      <c r="D6244" s="1" t="str">
        <f>"10000043262"</f>
        <v>10000043262</v>
      </c>
      <c r="E6244" s="1" t="s">
        <v>4566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</row>
    <row r="6245" spans="1:11" x14ac:dyDescent="0.2">
      <c r="A6245" s="1" t="s">
        <v>1156</v>
      </c>
      <c r="B6245" s="1" t="s">
        <v>1198</v>
      </c>
      <c r="C6245" s="1" t="str">
        <f>"10000043017"</f>
        <v>10000043017</v>
      </c>
      <c r="D6245" s="1" t="str">
        <f>"10000043017"</f>
        <v>10000043017</v>
      </c>
      <c r="E6245" s="1" t="s">
        <v>4566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</row>
    <row r="6246" spans="1:11" x14ac:dyDescent="0.2">
      <c r="A6246" s="1" t="s">
        <v>1156</v>
      </c>
      <c r="B6246" s="1" t="s">
        <v>1199</v>
      </c>
      <c r="C6246" s="1" t="str">
        <f>"H6209"</f>
        <v>H6209</v>
      </c>
      <c r="D6246" s="1" t="str">
        <f>"H6209"</f>
        <v>H6209</v>
      </c>
      <c r="E6246" s="1" t="s">
        <v>4566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</row>
    <row r="6247" spans="1:11" ht="30" x14ac:dyDescent="0.2">
      <c r="A6247" s="1" t="s">
        <v>1156</v>
      </c>
      <c r="B6247" s="1" t="s">
        <v>1200</v>
      </c>
      <c r="C6247" s="1" t="str">
        <f>"10000012580"</f>
        <v>10000012580</v>
      </c>
      <c r="D6247" s="1" t="str">
        <f>"10000012580"</f>
        <v>10000012580</v>
      </c>
      <c r="E6247" s="1" t="s">
        <v>4566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</row>
    <row r="6248" spans="1:11" x14ac:dyDescent="0.2">
      <c r="A6248" s="1" t="s">
        <v>1156</v>
      </c>
      <c r="B6248" s="1" t="s">
        <v>1201</v>
      </c>
      <c r="C6248" s="1" t="str">
        <f>"U031"</f>
        <v>U031</v>
      </c>
      <c r="D6248" s="1" t="str">
        <f>"U031"</f>
        <v>U031</v>
      </c>
      <c r="E6248" s="1" t="s">
        <v>4566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</row>
    <row r="6249" spans="1:11" x14ac:dyDescent="0.2">
      <c r="A6249" s="1" t="s">
        <v>1156</v>
      </c>
      <c r="B6249" s="1" t="s">
        <v>1202</v>
      </c>
      <c r="C6249" s="1" t="str">
        <f>"66298836818680"</f>
        <v>66298836818680</v>
      </c>
      <c r="D6249" s="1" t="str">
        <f>"TX-20400-000"</f>
        <v>TX-20400-000</v>
      </c>
      <c r="E6249" s="1" t="s">
        <v>4566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</row>
    <row r="6250" spans="1:11" x14ac:dyDescent="0.2">
      <c r="A6250" s="1" t="s">
        <v>1156</v>
      </c>
      <c r="B6250" s="1" t="s">
        <v>1203</v>
      </c>
      <c r="C6250" s="1" t="str">
        <f>"66298836858546"</f>
        <v>66298836858546</v>
      </c>
      <c r="D6250" s="1" t="str">
        <f>"N9112570"</f>
        <v>N9112570</v>
      </c>
      <c r="E6250" s="1" t="s">
        <v>4566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</row>
    <row r="6251" spans="1:11" x14ac:dyDescent="0.2">
      <c r="A6251" s="1" t="s">
        <v>1156</v>
      </c>
      <c r="B6251" s="1" t="s">
        <v>1204</v>
      </c>
      <c r="C6251" s="1" t="str">
        <f>"66298836897112"</f>
        <v>66298836897112</v>
      </c>
      <c r="D6251" s="1" t="str">
        <f>"4B4-F5446-20JP"</f>
        <v>4B4-F5446-20JP</v>
      </c>
      <c r="E6251" s="1" t="s">
        <v>4566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</row>
    <row r="6252" spans="1:11" x14ac:dyDescent="0.2">
      <c r="A6252" s="1" t="s">
        <v>1156</v>
      </c>
      <c r="B6252" s="1" t="s">
        <v>1205</v>
      </c>
      <c r="C6252" s="1" t="str">
        <f>"66298836937635"</f>
        <v>66298836937635</v>
      </c>
      <c r="D6252" s="1" t="str">
        <f>"64511-27G00JP"</f>
        <v>64511-27G00JP</v>
      </c>
      <c r="E6252" s="1" t="s">
        <v>4566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</row>
    <row r="6253" spans="1:11" x14ac:dyDescent="0.2">
      <c r="A6253" s="1" t="s">
        <v>1156</v>
      </c>
      <c r="B6253" s="1" t="s">
        <v>1206</v>
      </c>
      <c r="C6253" s="1" t="str">
        <f>"66298836978114"</f>
        <v>66298836978114</v>
      </c>
      <c r="D6253" s="1" t="str">
        <f>"1CK-F5447-00VA"</f>
        <v>1CK-F5447-00VA</v>
      </c>
      <c r="E6253" s="1" t="s">
        <v>4566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</row>
    <row r="6254" spans="1:11" x14ac:dyDescent="0.2">
      <c r="A6254" s="1" t="s">
        <v>1156</v>
      </c>
      <c r="B6254" s="1" t="s">
        <v>1207</v>
      </c>
      <c r="C6254" s="1" t="str">
        <f>"66298837020156"</f>
        <v>66298837020156</v>
      </c>
      <c r="D6254" s="1" t="str">
        <f>"64511-48048JP"</f>
        <v>64511-48048JP</v>
      </c>
      <c r="E6254" s="1" t="s">
        <v>4566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</row>
    <row r="6255" spans="1:11" x14ac:dyDescent="0.2">
      <c r="A6255" s="1" t="s">
        <v>1156</v>
      </c>
      <c r="B6255" s="1" t="s">
        <v>1208</v>
      </c>
      <c r="C6255" s="1" t="str">
        <f>"10000040285"</f>
        <v>10000040285</v>
      </c>
      <c r="D6255" s="1" t="str">
        <f>"10000040285"</f>
        <v>10000040285</v>
      </c>
      <c r="E6255" s="1" t="s">
        <v>4566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</row>
    <row r="6256" spans="1:11" x14ac:dyDescent="0.2">
      <c r="A6256" s="1" t="s">
        <v>1156</v>
      </c>
      <c r="B6256" s="1" t="s">
        <v>1209</v>
      </c>
      <c r="C6256" s="1" t="str">
        <f>"10000041555"</f>
        <v>10000041555</v>
      </c>
      <c r="D6256" s="1" t="str">
        <f>"10000041555"</f>
        <v>10000041555</v>
      </c>
      <c r="E6256" s="1" t="s">
        <v>4566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</row>
    <row r="6257" spans="1:11" x14ac:dyDescent="0.2">
      <c r="A6257" s="1" t="s">
        <v>1156</v>
      </c>
      <c r="B6257" s="1" t="s">
        <v>1210</v>
      </c>
      <c r="C6257" s="1" t="str">
        <f>"N026"</f>
        <v>N026</v>
      </c>
      <c r="D6257" s="1" t="str">
        <f>"N026"</f>
        <v>N026</v>
      </c>
      <c r="E6257" s="1" t="s">
        <v>4566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</row>
    <row r="6258" spans="1:11" x14ac:dyDescent="0.2">
      <c r="A6258" s="1" t="s">
        <v>1156</v>
      </c>
      <c r="B6258" s="1" t="s">
        <v>1211</v>
      </c>
      <c r="C6258" s="1" t="str">
        <f>"U028"</f>
        <v>U028</v>
      </c>
      <c r="D6258" s="1" t="str">
        <f>"U028"</f>
        <v>U028</v>
      </c>
      <c r="E6258" s="1" t="s">
        <v>4566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</row>
    <row r="6259" spans="1:11" x14ac:dyDescent="0.2">
      <c r="A6259" s="1" t="s">
        <v>1156</v>
      </c>
      <c r="B6259" s="1" t="s">
        <v>1212</v>
      </c>
      <c r="C6259" s="1" t="str">
        <f>"66298837103503"</f>
        <v>66298837103503</v>
      </c>
      <c r="D6259" s="1" t="str">
        <f>"41201-KSM-900JP"</f>
        <v>41201-KSM-900JP</v>
      </c>
      <c r="E6259" s="1" t="s">
        <v>4566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</row>
    <row r="6260" spans="1:11" x14ac:dyDescent="0.2">
      <c r="A6260" s="1" t="s">
        <v>1213</v>
      </c>
      <c r="B6260" s="1" t="s">
        <v>1214</v>
      </c>
      <c r="C6260" s="1" t="str">
        <f>"66298837146341"</f>
        <v>66298837146341</v>
      </c>
      <c r="D6260" s="1" t="str">
        <f>"80479"</f>
        <v>80479</v>
      </c>
      <c r="E6260" s="1" t="s">
        <v>4566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</row>
    <row r="6261" spans="1:11" x14ac:dyDescent="0.2">
      <c r="A6261" s="1" t="s">
        <v>18</v>
      </c>
      <c r="B6261" s="1" t="s">
        <v>1215</v>
      </c>
      <c r="C6261" s="1" t="str">
        <f>"H108"</f>
        <v>H108</v>
      </c>
      <c r="D6261" s="1" t="str">
        <f>"H108"</f>
        <v>H108</v>
      </c>
      <c r="E6261" s="1" t="s">
        <v>4566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</row>
    <row r="6262" spans="1:11" x14ac:dyDescent="0.2">
      <c r="A6262" s="1" t="s">
        <v>18</v>
      </c>
      <c r="B6262" s="1" t="s">
        <v>1215</v>
      </c>
      <c r="C6262" s="1" t="str">
        <f>"CEPILLO-UNIV"</f>
        <v>CEPILLO-UNIV</v>
      </c>
      <c r="D6262" s="1" t="str">
        <f>"CEPILLO-UNIV"</f>
        <v>CEPILLO-UNIV</v>
      </c>
      <c r="E6262" s="1" t="s">
        <v>4566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</row>
    <row r="6263" spans="1:11" x14ac:dyDescent="0.2">
      <c r="A6263" s="1" t="s">
        <v>18</v>
      </c>
      <c r="B6263" s="1" t="s">
        <v>1215</v>
      </c>
      <c r="C6263" s="1" t="str">
        <f>"7258"</f>
        <v>7258</v>
      </c>
      <c r="D6263" s="1" t="str">
        <f>"7258"</f>
        <v>7258</v>
      </c>
      <c r="E6263" s="1" t="s">
        <v>4566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</row>
    <row r="6264" spans="1:11" x14ac:dyDescent="0.2">
      <c r="A6264" s="1" t="s">
        <v>18</v>
      </c>
      <c r="B6264" s="1" t="s">
        <v>1215</v>
      </c>
      <c r="C6264" s="1" t="str">
        <f>"3764"</f>
        <v>3764</v>
      </c>
      <c r="D6264" s="1" t="str">
        <f>"3764"</f>
        <v>3764</v>
      </c>
      <c r="E6264" s="1" t="s">
        <v>4566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1</v>
      </c>
    </row>
    <row r="6265" spans="1:11" x14ac:dyDescent="0.2">
      <c r="A6265" s="1" t="s">
        <v>18</v>
      </c>
      <c r="B6265" s="1" t="s">
        <v>1216</v>
      </c>
      <c r="C6265" s="1" t="str">
        <f>"66298837186738"</f>
        <v>66298837186738</v>
      </c>
      <c r="D6265" s="1" t="str">
        <f>"H205"</f>
        <v>H205</v>
      </c>
      <c r="E6265" s="1" t="s">
        <v>4566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</row>
    <row r="6266" spans="1:11" x14ac:dyDescent="0.2">
      <c r="A6266" s="1" t="s">
        <v>15</v>
      </c>
      <c r="B6266" s="1" t="s">
        <v>1217</v>
      </c>
      <c r="C6266" s="1" t="str">
        <f>"12145"</f>
        <v>12145</v>
      </c>
      <c r="D6266" s="1" t="str">
        <f>"12145"</f>
        <v>12145</v>
      </c>
      <c r="E6266" s="1" t="s">
        <v>4566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1</v>
      </c>
    </row>
    <row r="6267" spans="1:11" x14ac:dyDescent="0.2">
      <c r="A6267" s="1" t="s">
        <v>1218</v>
      </c>
      <c r="B6267" s="1" t="s">
        <v>1219</v>
      </c>
      <c r="C6267" s="1" t="str">
        <f>"66298837226944"</f>
        <v>66298837226944</v>
      </c>
      <c r="D6267" s="1" t="str">
        <f>"XN-62321-000"</f>
        <v>XN-62321-000</v>
      </c>
      <c r="E6267" s="1" t="s">
        <v>4566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</row>
    <row r="6268" spans="1:11" x14ac:dyDescent="0.2">
      <c r="A6268" s="1" t="s">
        <v>1218</v>
      </c>
      <c r="B6268" s="1" t="s">
        <v>1220</v>
      </c>
      <c r="C6268" s="1" t="str">
        <f>"66298837265657"</f>
        <v>66298837265657</v>
      </c>
      <c r="D6268" s="1" t="str">
        <f>"TX-62321-000"</f>
        <v>TX-62321-000</v>
      </c>
      <c r="E6268" s="1" t="s">
        <v>4566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</row>
    <row r="6269" spans="1:11" x14ac:dyDescent="0.2">
      <c r="A6269" s="1" t="s">
        <v>1218</v>
      </c>
      <c r="B6269" s="1" t="s">
        <v>1221</v>
      </c>
      <c r="C6269" s="1" t="str">
        <f>"AB030"</f>
        <v>AB030</v>
      </c>
      <c r="D6269" s="1" t="str">
        <f>"AB030"</f>
        <v>AB030</v>
      </c>
      <c r="E6269" s="1" t="s">
        <v>4566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</row>
    <row r="6270" spans="1:11" x14ac:dyDescent="0.2">
      <c r="A6270" s="1" t="s">
        <v>1218</v>
      </c>
      <c r="B6270" s="1" t="s">
        <v>1222</v>
      </c>
      <c r="C6270" s="1" t="str">
        <f>"66298837313196"</f>
        <v>66298837313196</v>
      </c>
      <c r="D6270" s="1" t="str">
        <f>"37110-23500HB"</f>
        <v>37110-23500HB</v>
      </c>
      <c r="E6270" s="1" t="s">
        <v>4566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</row>
    <row r="6271" spans="1:11" x14ac:dyDescent="0.2">
      <c r="A6271" s="1" t="s">
        <v>1218</v>
      </c>
      <c r="B6271" s="1" t="s">
        <v>1222</v>
      </c>
      <c r="C6271" s="1" t="str">
        <f>"66298837319449"</f>
        <v>66298837319449</v>
      </c>
      <c r="D6271" s="1" t="str">
        <f>"37110-461F0HB"</f>
        <v>37110-461F0HB</v>
      </c>
      <c r="E6271" s="1" t="s">
        <v>4566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</row>
    <row r="6272" spans="1:11" x14ac:dyDescent="0.2">
      <c r="A6272" s="1" t="s">
        <v>1218</v>
      </c>
      <c r="B6272" s="1" t="s">
        <v>1222</v>
      </c>
      <c r="C6272" s="1" t="str">
        <f>"66298837324460"</f>
        <v>66298837324460</v>
      </c>
      <c r="D6272" s="1" t="str">
        <f>"CHAPA-AX"</f>
        <v>CHAPA-AX</v>
      </c>
      <c r="E6272" s="1" t="s">
        <v>4566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</row>
    <row r="6273" spans="1:11" x14ac:dyDescent="0.2">
      <c r="A6273" s="1" t="s">
        <v>1218</v>
      </c>
      <c r="B6273" s="1" t="s">
        <v>1223</v>
      </c>
      <c r="C6273" s="1" t="str">
        <f>"66298837387498"</f>
        <v>66298837387498</v>
      </c>
      <c r="D6273" s="1" t="str">
        <f>"JZ-2326-00HB"</f>
        <v>JZ-2326-00HB</v>
      </c>
      <c r="E6273" s="1" t="s">
        <v>4566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</row>
    <row r="6274" spans="1:11" x14ac:dyDescent="0.2">
      <c r="A6274" s="1" t="s">
        <v>1218</v>
      </c>
      <c r="B6274" s="1" t="s">
        <v>1224</v>
      </c>
      <c r="C6274" s="1" t="str">
        <f>"66298837426740"</f>
        <v>66298837426740</v>
      </c>
      <c r="D6274" s="1" t="str">
        <f>"DZ-1810-04HB"</f>
        <v>DZ-1810-04HB</v>
      </c>
      <c r="E6274" s="1" t="s">
        <v>4566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</row>
    <row r="6275" spans="1:11" x14ac:dyDescent="0.2">
      <c r="A6275" s="1" t="s">
        <v>1218</v>
      </c>
      <c r="B6275" s="1" t="s">
        <v>1225</v>
      </c>
      <c r="C6275" s="1" t="str">
        <f>"66298838020248"</f>
        <v>66298838020248</v>
      </c>
      <c r="D6275" s="1" t="str">
        <f>"37100-20G00HB"</f>
        <v>37100-20G00HB</v>
      </c>
      <c r="E6275" s="1" t="s">
        <v>4566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</row>
    <row r="6276" spans="1:11" x14ac:dyDescent="0.2">
      <c r="A6276" s="1" t="s">
        <v>1218</v>
      </c>
      <c r="B6276" s="1" t="s">
        <v>1226</v>
      </c>
      <c r="C6276" s="1" t="str">
        <f>"66298837466651"</f>
        <v>66298837466651</v>
      </c>
      <c r="D6276" s="1" t="str">
        <f>"DU-2010-67HB"</f>
        <v>DU-2010-67HB</v>
      </c>
      <c r="E6276" s="1" t="s">
        <v>4566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</row>
    <row r="6277" spans="1:11" x14ac:dyDescent="0.2">
      <c r="A6277" s="1" t="s">
        <v>1218</v>
      </c>
      <c r="B6277" s="1" t="s">
        <v>1227</v>
      </c>
      <c r="C6277" s="1" t="str">
        <f>"AB015"</f>
        <v>AB015</v>
      </c>
      <c r="D6277" s="1" t="str">
        <f>"AB015"</f>
        <v>AB015</v>
      </c>
      <c r="E6277" s="1" t="s">
        <v>4566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</row>
    <row r="6278" spans="1:11" ht="30" x14ac:dyDescent="0.2">
      <c r="A6278" s="1" t="s">
        <v>1218</v>
      </c>
      <c r="B6278" s="1" t="s">
        <v>1228</v>
      </c>
      <c r="C6278" s="1" t="str">
        <f>"AB012"</f>
        <v>AB012</v>
      </c>
      <c r="D6278" s="1" t="str">
        <f>"AB012"</f>
        <v>AB012</v>
      </c>
      <c r="E6278" s="1" t="s">
        <v>4566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</row>
    <row r="6279" spans="1:11" x14ac:dyDescent="0.2">
      <c r="A6279" s="1" t="s">
        <v>1218</v>
      </c>
      <c r="B6279" s="1" t="s">
        <v>1229</v>
      </c>
      <c r="C6279" s="1" t="str">
        <f>"AB007"</f>
        <v>AB007</v>
      </c>
      <c r="D6279" s="1" t="str">
        <f>"AB007"</f>
        <v>AB007</v>
      </c>
      <c r="E6279" s="1" t="s">
        <v>4566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</row>
    <row r="6280" spans="1:11" x14ac:dyDescent="0.2">
      <c r="A6280" s="1" t="s">
        <v>1218</v>
      </c>
      <c r="B6280" s="1" t="s">
        <v>1230</v>
      </c>
      <c r="C6280" s="1" t="str">
        <f>"66298837506294"</f>
        <v>66298837506294</v>
      </c>
      <c r="D6280" s="1" t="str">
        <f>"401046"</f>
        <v>401046</v>
      </c>
      <c r="E6280" s="1" t="s">
        <v>4566</v>
      </c>
      <c r="F6280" s="1">
        <v>84</v>
      </c>
      <c r="G6280" s="1">
        <v>1986</v>
      </c>
      <c r="H6280" s="1">
        <v>166824</v>
      </c>
      <c r="I6280" s="1">
        <v>0</v>
      </c>
      <c r="J6280" s="1">
        <v>84</v>
      </c>
      <c r="K6280" s="1">
        <v>0</v>
      </c>
    </row>
    <row r="6281" spans="1:11" x14ac:dyDescent="0.2">
      <c r="A6281" s="1" t="s">
        <v>1218</v>
      </c>
      <c r="B6281" s="1" t="s">
        <v>1231</v>
      </c>
      <c r="C6281" s="1" t="str">
        <f>"66298837542502"</f>
        <v>66298837542502</v>
      </c>
      <c r="D6281" s="1" t="str">
        <f>"37100-42A01HB"</f>
        <v>37100-42A01HB</v>
      </c>
      <c r="E6281" s="1" t="s">
        <v>4566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</row>
    <row r="6282" spans="1:11" x14ac:dyDescent="0.2">
      <c r="A6282" s="1" t="s">
        <v>1218</v>
      </c>
      <c r="B6282" s="1" t="s">
        <v>1232</v>
      </c>
      <c r="C6282" s="1" t="str">
        <f>"AB013"</f>
        <v>AB013</v>
      </c>
      <c r="D6282" s="1" t="str">
        <f>"AB013"</f>
        <v>AB013</v>
      </c>
      <c r="E6282" s="1" t="s">
        <v>4566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</row>
    <row r="6283" spans="1:11" x14ac:dyDescent="0.2">
      <c r="A6283" s="1" t="s">
        <v>1218</v>
      </c>
      <c r="B6283" s="1" t="s">
        <v>1233</v>
      </c>
      <c r="C6283" s="1" t="str">
        <f>"AB008"</f>
        <v>AB008</v>
      </c>
      <c r="D6283" s="1" t="str">
        <f>"AB008"</f>
        <v>AB008</v>
      </c>
      <c r="E6283" s="1" t="s">
        <v>4566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</row>
    <row r="6284" spans="1:11" x14ac:dyDescent="0.2">
      <c r="A6284" s="1" t="s">
        <v>1218</v>
      </c>
      <c r="B6284" s="1" t="s">
        <v>1234</v>
      </c>
      <c r="C6284" s="1" t="str">
        <f>"37100-45F00"</f>
        <v>37100-45F00</v>
      </c>
      <c r="D6284" s="1" t="str">
        <f>"37100-45F00"</f>
        <v>37100-45F00</v>
      </c>
      <c r="E6284" s="1" t="s">
        <v>4566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</row>
    <row r="6285" spans="1:11" x14ac:dyDescent="0.2">
      <c r="A6285" s="1" t="s">
        <v>1218</v>
      </c>
      <c r="B6285" s="1" t="s">
        <v>1235</v>
      </c>
      <c r="C6285" s="1" t="str">
        <f>"66298837582456"</f>
        <v>66298837582456</v>
      </c>
      <c r="D6285" s="1" t="str">
        <f>"C131"</f>
        <v>C131</v>
      </c>
      <c r="E6285" s="1" t="s">
        <v>4566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</row>
    <row r="6286" spans="1:11" x14ac:dyDescent="0.2">
      <c r="A6286" s="1" t="s">
        <v>1218</v>
      </c>
      <c r="B6286" s="1" t="s">
        <v>1236</v>
      </c>
      <c r="C6286" s="1" t="str">
        <f>"CH-CON-GXT"</f>
        <v>CH-CON-GXT</v>
      </c>
      <c r="D6286" s="1" t="str">
        <f>"CH-CON-GXT"</f>
        <v>CH-CON-GXT</v>
      </c>
      <c r="E6286" s="1" t="s">
        <v>4566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</row>
    <row r="6287" spans="1:11" x14ac:dyDescent="0.2">
      <c r="A6287" s="1" t="s">
        <v>1218</v>
      </c>
      <c r="B6287" s="1" t="s">
        <v>1237</v>
      </c>
      <c r="C6287" s="1" t="str">
        <f>"66298837621877"</f>
        <v>66298837621877</v>
      </c>
      <c r="D6287" s="1" t="str">
        <f>"CHAPA-GY/WX125"</f>
        <v>CHAPA-GY/WX125</v>
      </c>
      <c r="E6287" s="1" t="s">
        <v>4566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</row>
    <row r="6288" spans="1:11" x14ac:dyDescent="0.2">
      <c r="A6288" s="1" t="s">
        <v>1218</v>
      </c>
      <c r="B6288" s="1" t="s">
        <v>1238</v>
      </c>
      <c r="C6288" s="1" t="str">
        <f>"66298837662846"</f>
        <v>66298837662846</v>
      </c>
      <c r="D6288" s="1" t="str">
        <f>"M108"</f>
        <v>M108</v>
      </c>
      <c r="E6288" s="1" t="s">
        <v>4566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</row>
    <row r="6289" spans="1:11" x14ac:dyDescent="0.2">
      <c r="A6289" s="1" t="s">
        <v>1218</v>
      </c>
      <c r="B6289" s="1" t="s">
        <v>1239</v>
      </c>
      <c r="C6289" s="1" t="str">
        <f>"66298837699039"</f>
        <v>66298837699039</v>
      </c>
      <c r="D6289" s="1" t="str">
        <f>"37100H2F030H000"</f>
        <v>37100H2F030H000</v>
      </c>
      <c r="E6289" s="1" t="s">
        <v>4566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</row>
    <row r="6290" spans="1:11" x14ac:dyDescent="0.2">
      <c r="A6290" s="1" t="s">
        <v>1218</v>
      </c>
      <c r="B6290" s="1" t="s">
        <v>1240</v>
      </c>
      <c r="C6290" s="1" t="str">
        <f>"JB-4014-02"</f>
        <v>JB-4014-02</v>
      </c>
      <c r="D6290" s="1" t="str">
        <f>"JB-4014-02"</f>
        <v>JB-4014-02</v>
      </c>
      <c r="E6290" s="1" t="s">
        <v>4566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</row>
    <row r="6291" spans="1:11" x14ac:dyDescent="0.2">
      <c r="A6291" s="1" t="s">
        <v>1218</v>
      </c>
      <c r="B6291" s="1" t="s">
        <v>1241</v>
      </c>
      <c r="C6291" s="1" t="str">
        <f>"66298837745134"</f>
        <v>66298837745134</v>
      </c>
      <c r="D6291" s="1" t="str">
        <f>"82656"</f>
        <v>82656</v>
      </c>
      <c r="E6291" s="1" t="s">
        <v>4566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</row>
    <row r="6292" spans="1:11" x14ac:dyDescent="0.2">
      <c r="A6292" s="1" t="s">
        <v>1218</v>
      </c>
      <c r="B6292" s="1" t="s">
        <v>1241</v>
      </c>
      <c r="C6292" s="1" t="str">
        <f>"66298837753329"</f>
        <v>66298837753329</v>
      </c>
      <c r="D6292" s="1" t="str">
        <f>"JL-1510-23HB"</f>
        <v>JL-1510-23HB</v>
      </c>
      <c r="E6292" s="1" t="s">
        <v>4566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</row>
    <row r="6293" spans="1:11" x14ac:dyDescent="0.2">
      <c r="A6293" s="1" t="s">
        <v>1218</v>
      </c>
      <c r="B6293" s="1" t="s">
        <v>1242</v>
      </c>
      <c r="C6293" s="1" t="str">
        <f>"AB003"</f>
        <v>AB003</v>
      </c>
      <c r="D6293" s="1" t="str">
        <f>"AB003"</f>
        <v>AB003</v>
      </c>
      <c r="E6293" s="1" t="s">
        <v>4566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</row>
    <row r="6294" spans="1:11" x14ac:dyDescent="0.2">
      <c r="A6294" s="1" t="s">
        <v>1218</v>
      </c>
      <c r="B6294" s="1" t="s">
        <v>1243</v>
      </c>
      <c r="C6294" s="1" t="str">
        <f>"66298837849002"</f>
        <v>66298837849002</v>
      </c>
      <c r="D6294" s="1" t="str">
        <f>"H2116"</f>
        <v>H2116</v>
      </c>
      <c r="E6294" s="1" t="s">
        <v>4566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</row>
    <row r="6295" spans="1:11" x14ac:dyDescent="0.2">
      <c r="A6295" s="1" t="s">
        <v>1218</v>
      </c>
      <c r="B6295" s="1" t="s">
        <v>1244</v>
      </c>
      <c r="C6295" s="1" t="str">
        <f>"66298837891003"</f>
        <v>66298837891003</v>
      </c>
      <c r="D6295" s="1" t="str">
        <f>"3AY-H2501-V0"</f>
        <v>3AY-H2501-V0</v>
      </c>
      <c r="E6295" s="1" t="s">
        <v>4566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</row>
    <row r="6296" spans="1:11" x14ac:dyDescent="0.2">
      <c r="A6296" s="1" t="s">
        <v>1218</v>
      </c>
      <c r="B6296" s="1" t="s">
        <v>1245</v>
      </c>
      <c r="C6296" s="1" t="str">
        <f>"AB001"</f>
        <v>AB001</v>
      </c>
      <c r="D6296" s="1" t="str">
        <f>"AB001"</f>
        <v>AB001</v>
      </c>
      <c r="E6296" s="1" t="s">
        <v>4566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</row>
    <row r="6297" spans="1:11" x14ac:dyDescent="0.2">
      <c r="A6297" s="1" t="s">
        <v>1218</v>
      </c>
      <c r="B6297" s="1" t="s">
        <v>1246</v>
      </c>
      <c r="C6297" s="1" t="str">
        <f>"66298837968282"</f>
        <v>66298837968282</v>
      </c>
      <c r="D6297" s="1" t="str">
        <f>"400062"</f>
        <v>400062</v>
      </c>
      <c r="E6297" s="1" t="s">
        <v>4566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</row>
    <row r="6298" spans="1:11" x14ac:dyDescent="0.2">
      <c r="A6298" s="1" t="s">
        <v>1218</v>
      </c>
      <c r="B6298" s="1" t="s">
        <v>1247</v>
      </c>
      <c r="C6298" s="1" t="str">
        <f>"66298837929383"</f>
        <v>66298837929383</v>
      </c>
      <c r="D6298" s="1" t="str">
        <f>"80804"</f>
        <v>80804</v>
      </c>
      <c r="E6298" s="1" t="s">
        <v>4566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</row>
    <row r="6299" spans="1:11" x14ac:dyDescent="0.2">
      <c r="A6299" s="1" t="s">
        <v>1218</v>
      </c>
      <c r="B6299" s="1" t="s">
        <v>1248</v>
      </c>
      <c r="C6299" s="1" t="str">
        <f>"66298838071423"</f>
        <v>66298838071423</v>
      </c>
      <c r="D6299" s="1" t="str">
        <f>"AB014-1"</f>
        <v>AB014-1</v>
      </c>
      <c r="E6299" s="1" t="s">
        <v>4566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</row>
    <row r="6300" spans="1:11" x14ac:dyDescent="0.2">
      <c r="A6300" s="1" t="s">
        <v>1218</v>
      </c>
      <c r="B6300" s="1" t="s">
        <v>1249</v>
      </c>
      <c r="C6300" s="1" t="str">
        <f>"AB021"</f>
        <v>AB021</v>
      </c>
      <c r="D6300" s="1" t="str">
        <f>"AB021"</f>
        <v>AB021</v>
      </c>
      <c r="E6300" s="1" t="s">
        <v>4566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</row>
    <row r="6301" spans="1:11" x14ac:dyDescent="0.2">
      <c r="A6301" s="1" t="s">
        <v>1218</v>
      </c>
      <c r="B6301" s="1" t="s">
        <v>1250</v>
      </c>
      <c r="C6301" s="1" t="str">
        <f>"AB009"</f>
        <v>AB009</v>
      </c>
      <c r="D6301" s="1" t="str">
        <f>"AB009"</f>
        <v>AB009</v>
      </c>
      <c r="E6301" s="1" t="s">
        <v>4566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</row>
    <row r="6302" spans="1:11" x14ac:dyDescent="0.2">
      <c r="A6302" s="1" t="s">
        <v>1218</v>
      </c>
      <c r="B6302" s="1" t="s">
        <v>1251</v>
      </c>
      <c r="C6302" s="1" t="str">
        <f>"AB010"</f>
        <v>AB010</v>
      </c>
      <c r="D6302" s="1" t="str">
        <f>"AB010"</f>
        <v>AB010</v>
      </c>
      <c r="E6302" s="1" t="s">
        <v>4566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</row>
    <row r="6303" spans="1:11" x14ac:dyDescent="0.2">
      <c r="A6303" s="1" t="s">
        <v>1218</v>
      </c>
      <c r="B6303" s="1" t="s">
        <v>1252</v>
      </c>
      <c r="C6303" s="1" t="str">
        <f>"66298838108327"</f>
        <v>66298838108327</v>
      </c>
      <c r="D6303" s="1" t="str">
        <f>"4VP-H2501-03"</f>
        <v>4VP-H2501-03</v>
      </c>
      <c r="E6303" s="1" t="s">
        <v>4566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</row>
    <row r="6304" spans="1:11" x14ac:dyDescent="0.2">
      <c r="A6304" s="1" t="s">
        <v>1218</v>
      </c>
      <c r="B6304" s="1" t="s">
        <v>1253</v>
      </c>
      <c r="C6304" s="1" t="str">
        <f>"66298838155743"</f>
        <v>66298838155743</v>
      </c>
      <c r="D6304" s="1" t="str">
        <f>"5S9-H2501-00"</f>
        <v>5S9-H2501-00</v>
      </c>
      <c r="E6304" s="1" t="s">
        <v>4566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</row>
    <row r="6305" spans="1:11" x14ac:dyDescent="0.2">
      <c r="A6305" s="1" t="s">
        <v>1254</v>
      </c>
      <c r="B6305" s="1" t="s">
        <v>1255</v>
      </c>
      <c r="C6305" s="1" t="str">
        <f>"129012-D1"</f>
        <v>129012-D1</v>
      </c>
      <c r="D6305" s="1" t="str">
        <f>"129012-D1"</f>
        <v>129012-D1</v>
      </c>
      <c r="E6305" s="1" t="s">
        <v>4566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</row>
    <row r="6306" spans="1:11" x14ac:dyDescent="0.2">
      <c r="A6306" s="1" t="s">
        <v>1254</v>
      </c>
      <c r="B6306" s="1" t="s">
        <v>1256</v>
      </c>
      <c r="C6306" s="1" t="str">
        <f>"66298838221359"</f>
        <v>66298838221359</v>
      </c>
      <c r="D6306" s="1" t="str">
        <f>"400479"</f>
        <v>400479</v>
      </c>
      <c r="E6306" s="1" t="s">
        <v>4566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</row>
    <row r="6307" spans="1:11" x14ac:dyDescent="0.2">
      <c r="A6307" s="1" t="s">
        <v>1254</v>
      </c>
      <c r="B6307" s="1" t="s">
        <v>1257</v>
      </c>
      <c r="C6307" s="1" t="str">
        <f>"66298838267664"</f>
        <v>66298838267664</v>
      </c>
      <c r="D6307" s="1" t="str">
        <f>"400482-D"</f>
        <v>400482-D</v>
      </c>
      <c r="E6307" s="1" t="s">
        <v>4566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</row>
    <row r="6308" spans="1:11" x14ac:dyDescent="0.2">
      <c r="A6308" s="1" t="s">
        <v>1254</v>
      </c>
      <c r="B6308" s="1" t="s">
        <v>1258</v>
      </c>
      <c r="C6308" s="1" t="str">
        <f>"QF015"</f>
        <v>QF015</v>
      </c>
      <c r="D6308" s="1" t="str">
        <f>"QF015"</f>
        <v>QF015</v>
      </c>
      <c r="E6308" s="1" t="s">
        <v>4566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</row>
    <row r="6309" spans="1:11" x14ac:dyDescent="0.2">
      <c r="A6309" s="1" t="s">
        <v>1254</v>
      </c>
      <c r="B6309" s="1" t="s">
        <v>1259</v>
      </c>
      <c r="C6309" s="1" t="str">
        <f>"66298838314330"</f>
        <v>66298838314330</v>
      </c>
      <c r="D6309" s="1" t="str">
        <f>"82645"</f>
        <v>82645</v>
      </c>
      <c r="E6309" s="1" t="s">
        <v>4566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</row>
    <row r="6310" spans="1:11" x14ac:dyDescent="0.2">
      <c r="A6310" s="1" t="s">
        <v>1254</v>
      </c>
      <c r="B6310" s="1" t="s">
        <v>1260</v>
      </c>
      <c r="C6310" s="1" t="str">
        <f>"EMHJ52102"</f>
        <v>EMHJ52102</v>
      </c>
      <c r="D6310" s="1" t="str">
        <f>"EMHJ52102"</f>
        <v>EMHJ52102</v>
      </c>
      <c r="E6310" s="1" t="s">
        <v>4566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</row>
    <row r="6311" spans="1:11" x14ac:dyDescent="0.2">
      <c r="A6311" s="1" t="s">
        <v>1254</v>
      </c>
      <c r="B6311" s="1" t="s">
        <v>1261</v>
      </c>
      <c r="C6311" s="1" t="str">
        <f>"QF005"</f>
        <v>QF005</v>
      </c>
      <c r="D6311" s="1" t="str">
        <f>"QF005"</f>
        <v>QF005</v>
      </c>
      <c r="E6311" s="1" t="s">
        <v>4566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</row>
    <row r="6312" spans="1:11" x14ac:dyDescent="0.2">
      <c r="A6312" s="1" t="s">
        <v>1254</v>
      </c>
      <c r="B6312" s="1" t="s">
        <v>1262</v>
      </c>
      <c r="C6312" s="1" t="str">
        <f>"66298838355635"</f>
        <v>66298838355635</v>
      </c>
      <c r="D6312" s="1" t="str">
        <f>"QF022-A"</f>
        <v>QF022-A</v>
      </c>
      <c r="E6312" s="1" t="s">
        <v>4566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</row>
    <row r="6313" spans="1:11" x14ac:dyDescent="0.2">
      <c r="A6313" s="1" t="s">
        <v>1254</v>
      </c>
      <c r="B6313" s="1" t="s">
        <v>1263</v>
      </c>
      <c r="C6313" s="1" t="str">
        <f>"EMHJ52459"</f>
        <v>EMHJ52459</v>
      </c>
      <c r="D6313" s="1" t="str">
        <f>"EMHJ52459"</f>
        <v>EMHJ52459</v>
      </c>
      <c r="E6313" s="1" t="s">
        <v>4566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</row>
    <row r="6314" spans="1:11" x14ac:dyDescent="0.2">
      <c r="A6314" s="1" t="s">
        <v>1254</v>
      </c>
      <c r="B6314" s="1" t="s">
        <v>1264</v>
      </c>
      <c r="C6314" s="1" t="str">
        <f>"66298838397501"</f>
        <v>66298838397501</v>
      </c>
      <c r="D6314" s="1" t="str">
        <f>"JL401405"</f>
        <v>JL401405</v>
      </c>
      <c r="E6314" s="1" t="s">
        <v>4566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</row>
    <row r="6315" spans="1:11" x14ac:dyDescent="0.2">
      <c r="A6315" s="1" t="s">
        <v>1254</v>
      </c>
      <c r="B6315" s="1" t="s">
        <v>1265</v>
      </c>
      <c r="C6315" s="1" t="str">
        <f>"66298838440383"</f>
        <v>66298838440383</v>
      </c>
      <c r="D6315" s="1" t="str">
        <f>"401037"</f>
        <v>401037</v>
      </c>
      <c r="E6315" s="1" t="s">
        <v>4566</v>
      </c>
      <c r="F6315" s="1">
        <v>20</v>
      </c>
      <c r="G6315" s="1">
        <v>6805</v>
      </c>
      <c r="H6315" s="1">
        <v>136100</v>
      </c>
      <c r="I6315" s="1">
        <v>0</v>
      </c>
      <c r="J6315" s="1">
        <v>20</v>
      </c>
      <c r="K6315" s="1">
        <v>0</v>
      </c>
    </row>
    <row r="6316" spans="1:11" x14ac:dyDescent="0.2">
      <c r="A6316" s="1" t="s">
        <v>1254</v>
      </c>
      <c r="B6316" s="1" t="s">
        <v>1266</v>
      </c>
      <c r="C6316" s="1" t="str">
        <f>"83183"</f>
        <v>83183</v>
      </c>
      <c r="D6316" s="1" t="str">
        <f>"83183"</f>
        <v>83183</v>
      </c>
      <c r="E6316" s="1" t="s">
        <v>4566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</row>
    <row r="6317" spans="1:11" x14ac:dyDescent="0.2">
      <c r="A6317" s="1" t="s">
        <v>1218</v>
      </c>
      <c r="B6317" s="1" t="s">
        <v>1267</v>
      </c>
      <c r="C6317" s="1" t="str">
        <f>"QF007"</f>
        <v>QF007</v>
      </c>
      <c r="D6317" s="1" t="str">
        <f>"QF007"</f>
        <v>QF007</v>
      </c>
      <c r="E6317" s="1" t="s">
        <v>4566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</row>
    <row r="6318" spans="1:11" x14ac:dyDescent="0.2">
      <c r="A6318" s="1" t="s">
        <v>1254</v>
      </c>
      <c r="B6318" s="1" t="s">
        <v>1268</v>
      </c>
      <c r="C6318" s="1" t="str">
        <f>"104012-D1"</f>
        <v>104012-D1</v>
      </c>
      <c r="D6318" s="1" t="str">
        <f>"104012-D1"</f>
        <v>104012-D1</v>
      </c>
      <c r="E6318" s="1" t="s">
        <v>4566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</row>
    <row r="6319" spans="1:11" x14ac:dyDescent="0.2">
      <c r="A6319" s="1" t="s">
        <v>1254</v>
      </c>
      <c r="B6319" s="1" t="s">
        <v>1268</v>
      </c>
      <c r="C6319" s="1" t="str">
        <f>"104012-D2"</f>
        <v>104012-D2</v>
      </c>
      <c r="D6319" s="1" t="str">
        <f>"104012-D2"</f>
        <v>104012-D2</v>
      </c>
      <c r="E6319" s="1" t="s">
        <v>4566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</row>
    <row r="6320" spans="1:11" x14ac:dyDescent="0.2">
      <c r="A6320" s="1" t="s">
        <v>1254</v>
      </c>
      <c r="B6320" s="1" t="s">
        <v>1268</v>
      </c>
      <c r="C6320" s="1" t="str">
        <f>"QF001"</f>
        <v>QF001</v>
      </c>
      <c r="D6320" s="1" t="str">
        <f>"QF001"</f>
        <v>QF001</v>
      </c>
      <c r="E6320" s="1" t="s">
        <v>4566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</row>
    <row r="6321" spans="1:11" x14ac:dyDescent="0.2">
      <c r="A6321" s="1" t="s">
        <v>1254</v>
      </c>
      <c r="B6321" s="1" t="s">
        <v>1268</v>
      </c>
      <c r="C6321" s="1" t="str">
        <f>"QF003"</f>
        <v>QF003</v>
      </c>
      <c r="D6321" s="1" t="str">
        <f>"QF003"</f>
        <v>QF003</v>
      </c>
      <c r="E6321" s="1" t="s">
        <v>4566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</row>
    <row r="6322" spans="1:11" x14ac:dyDescent="0.2">
      <c r="A6322" s="1" t="s">
        <v>1254</v>
      </c>
      <c r="B6322" s="1" t="s">
        <v>1269</v>
      </c>
      <c r="C6322" s="1" t="str">
        <f>"66298838479165"</f>
        <v>66298838479165</v>
      </c>
      <c r="D6322" s="1" t="str">
        <f>"QF017"</f>
        <v>QF017</v>
      </c>
      <c r="E6322" s="1" t="s">
        <v>4566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</row>
    <row r="6323" spans="1:11" x14ac:dyDescent="0.2">
      <c r="A6323" s="1" t="s">
        <v>1254</v>
      </c>
      <c r="B6323" s="1" t="s">
        <v>1270</v>
      </c>
      <c r="C6323" s="1" t="str">
        <f>"66298838520272"</f>
        <v>66298838520272</v>
      </c>
      <c r="D6323" s="1" t="str">
        <f>"80964"</f>
        <v>80964</v>
      </c>
      <c r="E6323" s="1" t="s">
        <v>4566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</row>
    <row r="6324" spans="1:11" x14ac:dyDescent="0.2">
      <c r="A6324" s="1" t="s">
        <v>1254</v>
      </c>
      <c r="B6324" s="1" t="s">
        <v>1271</v>
      </c>
      <c r="C6324" s="1" t="str">
        <f>"66298838602825"</f>
        <v>66298838602825</v>
      </c>
      <c r="D6324" s="1" t="str">
        <f>"80963"</f>
        <v>80963</v>
      </c>
      <c r="E6324" s="1" t="s">
        <v>4566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</row>
    <row r="6325" spans="1:11" x14ac:dyDescent="0.2">
      <c r="A6325" s="1" t="s">
        <v>1254</v>
      </c>
      <c r="B6325" s="1" t="s">
        <v>1272</v>
      </c>
      <c r="C6325" s="1" t="str">
        <f>"66298838562557"</f>
        <v>66298838562557</v>
      </c>
      <c r="D6325" s="1" t="str">
        <f>"80965"</f>
        <v>80965</v>
      </c>
      <c r="E6325" s="1" t="s">
        <v>4566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</row>
    <row r="6326" spans="1:11" x14ac:dyDescent="0.2">
      <c r="A6326" s="1" t="s">
        <v>1254</v>
      </c>
      <c r="B6326" s="1" t="s">
        <v>1273</v>
      </c>
      <c r="C6326" s="1" t="str">
        <f>"66298838643614"</f>
        <v>66298838643614</v>
      </c>
      <c r="D6326" s="1" t="str">
        <f>"80853"</f>
        <v>80853</v>
      </c>
      <c r="E6326" s="1" t="s">
        <v>4566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</row>
    <row r="6327" spans="1:11" x14ac:dyDescent="0.2">
      <c r="A6327" s="1" t="s">
        <v>1254</v>
      </c>
      <c r="B6327" s="1" t="s">
        <v>1274</v>
      </c>
      <c r="C6327" s="1" t="str">
        <f>"66298838683576"</f>
        <v>66298838683576</v>
      </c>
      <c r="D6327" s="1" t="str">
        <f>"80959"</f>
        <v>80959</v>
      </c>
      <c r="E6327" s="1" t="s">
        <v>4566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</row>
    <row r="6328" spans="1:11" x14ac:dyDescent="0.2">
      <c r="A6328" s="1" t="s">
        <v>1254</v>
      </c>
      <c r="B6328" s="1" t="s">
        <v>1275</v>
      </c>
      <c r="C6328" s="1" t="str">
        <f>"66298838722454"</f>
        <v>66298838722454</v>
      </c>
      <c r="D6328" s="1" t="str">
        <f>"80960"</f>
        <v>80960</v>
      </c>
      <c r="E6328" s="1" t="s">
        <v>4566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</row>
    <row r="6329" spans="1:11" x14ac:dyDescent="0.2">
      <c r="A6329" s="1" t="s">
        <v>1254</v>
      </c>
      <c r="B6329" s="1" t="s">
        <v>1276</v>
      </c>
      <c r="C6329" s="1" t="str">
        <f>"66298838769049"</f>
        <v>66298838769049</v>
      </c>
      <c r="D6329" s="1" t="str">
        <f>"80859"</f>
        <v>80859</v>
      </c>
      <c r="E6329" s="1" t="s">
        <v>4566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</row>
    <row r="6330" spans="1:11" x14ac:dyDescent="0.2">
      <c r="A6330" s="1" t="s">
        <v>1254</v>
      </c>
      <c r="B6330" s="1" t="s">
        <v>1277</v>
      </c>
      <c r="C6330" s="1" t="str">
        <f>"129012-IZ1"</f>
        <v>129012-IZ1</v>
      </c>
      <c r="D6330" s="1" t="str">
        <f>"129012-IZ1"</f>
        <v>129012-IZ1</v>
      </c>
      <c r="E6330" s="1" t="s">
        <v>4566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</row>
    <row r="6331" spans="1:11" x14ac:dyDescent="0.2">
      <c r="A6331" s="1" t="s">
        <v>1254</v>
      </c>
      <c r="B6331" s="1" t="s">
        <v>1278</v>
      </c>
      <c r="C6331" s="1" t="str">
        <f>"66298838808371"</f>
        <v>66298838808371</v>
      </c>
      <c r="D6331" s="1" t="str">
        <f>"400481"</f>
        <v>400481</v>
      </c>
      <c r="E6331" s="1" t="s">
        <v>4566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</row>
    <row r="6332" spans="1:11" x14ac:dyDescent="0.2">
      <c r="A6332" s="1" t="s">
        <v>1254</v>
      </c>
      <c r="B6332" s="1" t="s">
        <v>1279</v>
      </c>
      <c r="C6332" s="1" t="str">
        <f>"66298838852043"</f>
        <v>66298838852043</v>
      </c>
      <c r="D6332" s="1" t="str">
        <f>"400482-I"</f>
        <v>400482-I</v>
      </c>
      <c r="E6332" s="1" t="s">
        <v>4566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</row>
    <row r="6333" spans="1:11" x14ac:dyDescent="0.2">
      <c r="A6333" s="1" t="s">
        <v>1254</v>
      </c>
      <c r="B6333" s="1" t="s">
        <v>1280</v>
      </c>
      <c r="C6333" s="1" t="str">
        <f>"QF014"</f>
        <v>QF014</v>
      </c>
      <c r="D6333" s="1" t="str">
        <f>"QF014"</f>
        <v>QF014</v>
      </c>
      <c r="E6333" s="1" t="s">
        <v>4566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</row>
    <row r="6334" spans="1:11" x14ac:dyDescent="0.2">
      <c r="A6334" s="1" t="s">
        <v>1254</v>
      </c>
      <c r="B6334" s="1" t="s">
        <v>1281</v>
      </c>
      <c r="C6334" s="1" t="str">
        <f>"66298838893211"</f>
        <v>66298838893211</v>
      </c>
      <c r="D6334" s="1" t="str">
        <f>"CHA-IZQ-GS"</f>
        <v>CHA-IZQ-GS</v>
      </c>
      <c r="E6334" s="1" t="s">
        <v>4566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</row>
    <row r="6335" spans="1:11" x14ac:dyDescent="0.2">
      <c r="A6335" s="1" t="s">
        <v>1254</v>
      </c>
      <c r="B6335" s="1" t="s">
        <v>1282</v>
      </c>
      <c r="C6335" s="1" t="str">
        <f>"66298838930371"</f>
        <v>66298838930371</v>
      </c>
      <c r="D6335" s="1" t="str">
        <f>"82644"</f>
        <v>82644</v>
      </c>
      <c r="E6335" s="1" t="s">
        <v>4566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</row>
    <row r="6336" spans="1:11" x14ac:dyDescent="0.2">
      <c r="A6336" s="1" t="s">
        <v>1254</v>
      </c>
      <c r="B6336" s="1" t="s">
        <v>1283</v>
      </c>
      <c r="C6336" s="1" t="str">
        <f>"66298838973708"</f>
        <v>66298838973708</v>
      </c>
      <c r="D6336" s="1" t="str">
        <f>"JL150GY3-F3-24"</f>
        <v>JL150GY3-F3-24</v>
      </c>
      <c r="E6336" s="1" t="s">
        <v>4566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</row>
    <row r="6337" spans="1:11" x14ac:dyDescent="0.2">
      <c r="A6337" s="1" t="s">
        <v>1254</v>
      </c>
      <c r="B6337" s="1" t="s">
        <v>1284</v>
      </c>
      <c r="C6337" s="1" t="str">
        <f>"66298839018884"</f>
        <v>66298839018884</v>
      </c>
      <c r="D6337" s="1" t="str">
        <f>"JL250A-F18-4"</f>
        <v>JL250A-F18-4</v>
      </c>
      <c r="E6337" s="1" t="s">
        <v>4566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</row>
    <row r="6338" spans="1:11" x14ac:dyDescent="0.2">
      <c r="A6338" s="1" t="s">
        <v>1254</v>
      </c>
      <c r="B6338" s="1" t="s">
        <v>1285</v>
      </c>
      <c r="C6338" s="1" t="str">
        <f>"66298839059487"</f>
        <v>66298839059487</v>
      </c>
      <c r="D6338" s="1" t="str">
        <f>"37400H2A001H000"</f>
        <v>37400H2A001H000</v>
      </c>
      <c r="E6338" s="1" t="s">
        <v>4566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</row>
    <row r="6339" spans="1:11" x14ac:dyDescent="0.2">
      <c r="A6339" s="1" t="s">
        <v>1254</v>
      </c>
      <c r="B6339" s="1" t="s">
        <v>1286</v>
      </c>
      <c r="C6339" s="1" t="str">
        <f>"66298839099213"</f>
        <v>66298839099213</v>
      </c>
      <c r="D6339" s="1" t="str">
        <f>"37400H40100H000"</f>
        <v>37400H40100H000</v>
      </c>
      <c r="E6339" s="1" t="s">
        <v>4566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</row>
    <row r="6340" spans="1:11" x14ac:dyDescent="0.2">
      <c r="A6340" s="1" t="s">
        <v>1254</v>
      </c>
      <c r="B6340" s="1" t="s">
        <v>1287</v>
      </c>
      <c r="C6340" s="1" t="str">
        <f>"66298839146136"</f>
        <v>66298839146136</v>
      </c>
      <c r="D6340" s="1" t="str">
        <f>"35200-MCG-771BR"</f>
        <v>35200-MCG-771BR</v>
      </c>
      <c r="E6340" s="1" t="s">
        <v>4566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</row>
    <row r="6341" spans="1:11" x14ac:dyDescent="0.2">
      <c r="A6341" s="1" t="s">
        <v>1254</v>
      </c>
      <c r="B6341" s="1" t="s">
        <v>1288</v>
      </c>
      <c r="C6341" s="1" t="str">
        <f>"66298839184316"</f>
        <v>66298839184316</v>
      </c>
      <c r="D6341" s="1" t="str">
        <f>"80966"</f>
        <v>80966</v>
      </c>
      <c r="E6341" s="1" t="s">
        <v>4566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</row>
    <row r="6342" spans="1:11" x14ac:dyDescent="0.2">
      <c r="A6342" s="1" t="s">
        <v>1254</v>
      </c>
      <c r="B6342" s="1" t="s">
        <v>1289</v>
      </c>
      <c r="C6342" s="1" t="str">
        <f>"66298839228557"</f>
        <v>66298839228557</v>
      </c>
      <c r="D6342" s="1" t="str">
        <f>"80863"</f>
        <v>80863</v>
      </c>
      <c r="E6342" s="1" t="s">
        <v>4566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</row>
    <row r="6343" spans="1:11" x14ac:dyDescent="0.2">
      <c r="A6343" s="1" t="s">
        <v>1254</v>
      </c>
      <c r="B6343" s="1" t="s">
        <v>1290</v>
      </c>
      <c r="C6343" s="1" t="str">
        <f>"66298839267498"</f>
        <v>66298839267498</v>
      </c>
      <c r="D6343" s="1" t="str">
        <f>"401044"</f>
        <v>401044</v>
      </c>
      <c r="E6343" s="1" t="s">
        <v>4566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</row>
    <row r="6344" spans="1:11" x14ac:dyDescent="0.2">
      <c r="A6344" s="1" t="s">
        <v>1254</v>
      </c>
      <c r="B6344" s="1" t="s">
        <v>1291</v>
      </c>
      <c r="C6344" s="1" t="str">
        <f>"QF008"</f>
        <v>QF008</v>
      </c>
      <c r="D6344" s="1" t="str">
        <f>"QF008"</f>
        <v>QF008</v>
      </c>
      <c r="E6344" s="1" t="s">
        <v>4566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</row>
    <row r="6345" spans="1:11" x14ac:dyDescent="0.2">
      <c r="A6345" s="1" t="s">
        <v>1254</v>
      </c>
      <c r="B6345" s="1" t="s">
        <v>1292</v>
      </c>
      <c r="C6345" s="1" t="str">
        <f>"QF006"</f>
        <v>QF006</v>
      </c>
      <c r="D6345" s="1" t="str">
        <f>"QF006"</f>
        <v>QF006</v>
      </c>
      <c r="E6345" s="1" t="s">
        <v>4566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</row>
    <row r="6346" spans="1:11" x14ac:dyDescent="0.2">
      <c r="A6346" s="1" t="s">
        <v>1254</v>
      </c>
      <c r="B6346" s="1" t="s">
        <v>1293</v>
      </c>
      <c r="C6346" s="1" t="str">
        <f>"66298839350248"</f>
        <v>66298839350248</v>
      </c>
      <c r="D6346" s="1" t="str">
        <f>"80856"</f>
        <v>80856</v>
      </c>
      <c r="E6346" s="1" t="s">
        <v>4566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</row>
    <row r="6347" spans="1:11" x14ac:dyDescent="0.2">
      <c r="A6347" s="1" t="s">
        <v>1254</v>
      </c>
      <c r="B6347" s="1" t="s">
        <v>1294</v>
      </c>
      <c r="C6347" s="1" t="str">
        <f>"66298839391049"</f>
        <v>66298839391049</v>
      </c>
      <c r="D6347" s="1" t="str">
        <f>"80855"</f>
        <v>80855</v>
      </c>
      <c r="E6347" s="1" t="s">
        <v>4566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</row>
    <row r="6348" spans="1:11" x14ac:dyDescent="0.2">
      <c r="A6348" s="1" t="s">
        <v>1254</v>
      </c>
      <c r="B6348" s="1" t="s">
        <v>1295</v>
      </c>
      <c r="C6348" s="1" t="str">
        <f>"66298839429114"</f>
        <v>66298839429114</v>
      </c>
      <c r="D6348" s="1" t="str">
        <f>"80862"</f>
        <v>80862</v>
      </c>
      <c r="E6348" s="1" t="s">
        <v>4566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</row>
    <row r="6349" spans="1:11" x14ac:dyDescent="0.2">
      <c r="A6349" s="1" t="s">
        <v>1254</v>
      </c>
      <c r="B6349" s="1" t="s">
        <v>1296</v>
      </c>
      <c r="C6349" s="1" t="str">
        <f>"66298839468329"</f>
        <v>66298839468329</v>
      </c>
      <c r="D6349" s="1" t="str">
        <f>"JL401400"</f>
        <v>JL401400</v>
      </c>
      <c r="E6349" s="1" t="s">
        <v>4566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</row>
    <row r="6350" spans="1:11" x14ac:dyDescent="0.2">
      <c r="A6350" s="1" t="s">
        <v>1254</v>
      </c>
      <c r="B6350" s="1" t="s">
        <v>1296</v>
      </c>
      <c r="C6350" s="1" t="str">
        <f>"104012-IZ1"</f>
        <v>104012-IZ1</v>
      </c>
      <c r="D6350" s="1" t="str">
        <f>"104012-IZ1"</f>
        <v>104012-IZ1</v>
      </c>
      <c r="E6350" s="1" t="s">
        <v>4566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</row>
    <row r="6351" spans="1:11" x14ac:dyDescent="0.2">
      <c r="A6351" s="1" t="s">
        <v>1254</v>
      </c>
      <c r="B6351" s="1" t="s">
        <v>1296</v>
      </c>
      <c r="C6351" s="1" t="str">
        <f>"104012-IZ2"</f>
        <v>104012-IZ2</v>
      </c>
      <c r="D6351" s="1" t="str">
        <f>"104012-IZ2"</f>
        <v>104012-IZ2</v>
      </c>
      <c r="E6351" s="1" t="s">
        <v>4566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</row>
    <row r="6352" spans="1:11" x14ac:dyDescent="0.2">
      <c r="A6352" s="1" t="s">
        <v>1254</v>
      </c>
      <c r="B6352" s="1" t="s">
        <v>1296</v>
      </c>
      <c r="C6352" s="1" t="str">
        <f>"QF002"</f>
        <v>QF002</v>
      </c>
      <c r="D6352" s="1" t="str">
        <f>"QF002"</f>
        <v>QF002</v>
      </c>
      <c r="E6352" s="1" t="s">
        <v>4566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</row>
    <row r="6353" spans="1:11" x14ac:dyDescent="0.2">
      <c r="A6353" s="1" t="s">
        <v>1254</v>
      </c>
      <c r="B6353" s="1" t="s">
        <v>1296</v>
      </c>
      <c r="C6353" s="1" t="str">
        <f>"QF004"</f>
        <v>QF004</v>
      </c>
      <c r="D6353" s="1" t="str">
        <f>"QF004"</f>
        <v>QF004</v>
      </c>
      <c r="E6353" s="1" t="s">
        <v>4566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</row>
    <row r="6354" spans="1:11" x14ac:dyDescent="0.2">
      <c r="A6354" s="1" t="s">
        <v>1254</v>
      </c>
      <c r="B6354" s="1" t="s">
        <v>1297</v>
      </c>
      <c r="C6354" s="1" t="str">
        <f>"66298839514686"</f>
        <v>66298839514686</v>
      </c>
      <c r="D6354" s="1" t="str">
        <f>"80968"</f>
        <v>80968</v>
      </c>
      <c r="E6354" s="1" t="s">
        <v>4566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</row>
    <row r="6355" spans="1:11" x14ac:dyDescent="0.2">
      <c r="A6355" s="1" t="s">
        <v>1254</v>
      </c>
      <c r="B6355" s="1" t="s">
        <v>1297</v>
      </c>
      <c r="C6355" s="1" t="str">
        <f>"66298839520419"</f>
        <v>66298839520419</v>
      </c>
      <c r="D6355" s="1" t="str">
        <f>"80864"</f>
        <v>80864</v>
      </c>
      <c r="E6355" s="1" t="s">
        <v>4566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</row>
    <row r="6356" spans="1:11" x14ac:dyDescent="0.2">
      <c r="A6356" s="1" t="s">
        <v>1254</v>
      </c>
      <c r="B6356" s="1" t="s">
        <v>1298</v>
      </c>
      <c r="C6356" s="1" t="str">
        <f>"66298839576695"</f>
        <v>66298839576695</v>
      </c>
      <c r="D6356" s="1" t="str">
        <f>"QF020"</f>
        <v>QF020</v>
      </c>
      <c r="E6356" s="1" t="s">
        <v>4566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</row>
    <row r="6357" spans="1:11" x14ac:dyDescent="0.2">
      <c r="A6357" s="1" t="s">
        <v>1254</v>
      </c>
      <c r="B6357" s="1" t="s">
        <v>1299</v>
      </c>
      <c r="C6357" s="1" t="str">
        <f>"66298839616216"</f>
        <v>66298839616216</v>
      </c>
      <c r="D6357" s="1" t="str">
        <f>"80961"</f>
        <v>80961</v>
      </c>
      <c r="E6357" s="1" t="s">
        <v>4566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</row>
    <row r="6358" spans="1:11" x14ac:dyDescent="0.2">
      <c r="A6358" s="1" t="s">
        <v>1254</v>
      </c>
      <c r="B6358" s="1" t="s">
        <v>1300</v>
      </c>
      <c r="C6358" s="1" t="str">
        <f>"66298839657215"</f>
        <v>66298839657215</v>
      </c>
      <c r="D6358" s="1" t="str">
        <f>"400480"</f>
        <v>400480</v>
      </c>
      <c r="E6358" s="1" t="s">
        <v>4566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</row>
    <row r="6359" spans="1:11" x14ac:dyDescent="0.2">
      <c r="A6359" s="1" t="s">
        <v>1254</v>
      </c>
      <c r="B6359" s="1" t="s">
        <v>1301</v>
      </c>
      <c r="C6359" s="1" t="str">
        <f>"QF009-DER"</f>
        <v>QF009-DER</v>
      </c>
      <c r="D6359" s="1" t="str">
        <f>"QF009-DER"</f>
        <v>QF009-DER</v>
      </c>
      <c r="E6359" s="1" t="s">
        <v>4566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</row>
    <row r="6360" spans="1:11" x14ac:dyDescent="0.2">
      <c r="A6360" s="1" t="s">
        <v>1254</v>
      </c>
      <c r="B6360" s="1" t="s">
        <v>1302</v>
      </c>
      <c r="C6360" s="1" t="str">
        <f>"QF009-IZQ"</f>
        <v>QF009-IZQ</v>
      </c>
      <c r="D6360" s="1" t="str">
        <f>"QF009-IZQ"</f>
        <v>QF009-IZQ</v>
      </c>
      <c r="E6360" s="1" t="s">
        <v>4566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</row>
    <row r="6361" spans="1:11" x14ac:dyDescent="0.2">
      <c r="A6361" s="1" t="s">
        <v>1254</v>
      </c>
      <c r="B6361" s="1" t="s">
        <v>1303</v>
      </c>
      <c r="C6361" s="1" t="str">
        <f>"QF010-DER"</f>
        <v>QF010-DER</v>
      </c>
      <c r="D6361" s="1" t="str">
        <f>"QF010-DER"</f>
        <v>QF010-DER</v>
      </c>
      <c r="E6361" s="1" t="s">
        <v>4566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</row>
    <row r="6362" spans="1:11" x14ac:dyDescent="0.2">
      <c r="A6362" s="1" t="s">
        <v>1254</v>
      </c>
      <c r="B6362" s="1" t="s">
        <v>1304</v>
      </c>
      <c r="C6362" s="1" t="str">
        <f>"QF010-IZQ"</f>
        <v>QF010-IZQ</v>
      </c>
      <c r="D6362" s="1" t="str">
        <f>"QF010-IZQ"</f>
        <v>QF010-IZQ</v>
      </c>
      <c r="E6362" s="1" t="s">
        <v>4566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</row>
    <row r="6363" spans="1:11" x14ac:dyDescent="0.2">
      <c r="A6363" s="1" t="s">
        <v>1254</v>
      </c>
      <c r="B6363" s="1" t="s">
        <v>1305</v>
      </c>
      <c r="C6363" s="1" t="str">
        <f>"66298839699038"</f>
        <v>66298839699038</v>
      </c>
      <c r="D6363" s="1" t="str">
        <f>"QG010"</f>
        <v>QG010</v>
      </c>
      <c r="E6363" s="1" t="s">
        <v>4566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</row>
    <row r="6364" spans="1:11" x14ac:dyDescent="0.2">
      <c r="A6364" s="1" t="s">
        <v>1306</v>
      </c>
      <c r="B6364" s="1" t="s">
        <v>1307</v>
      </c>
      <c r="C6364" s="1" t="str">
        <f>"31800-15501JP"</f>
        <v>31800-15501JP</v>
      </c>
      <c r="D6364" s="1" t="str">
        <f>"31800-15501JP"</f>
        <v>31800-15501JP</v>
      </c>
      <c r="E6364" s="1" t="s">
        <v>4566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</row>
    <row r="6365" spans="1:11" x14ac:dyDescent="0.2">
      <c r="A6365" s="1" t="s">
        <v>1306</v>
      </c>
      <c r="B6365" s="1" t="s">
        <v>1308</v>
      </c>
      <c r="C6365" s="1" t="str">
        <f>"VC011"</f>
        <v>VC011</v>
      </c>
      <c r="D6365" s="1" t="str">
        <f>"VC011"</f>
        <v>VC011</v>
      </c>
      <c r="E6365" s="1" t="s">
        <v>4566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</row>
    <row r="6366" spans="1:11" x14ac:dyDescent="0.2">
      <c r="A6366" s="1" t="s">
        <v>1306</v>
      </c>
      <c r="B6366" s="1" t="s">
        <v>1309</v>
      </c>
      <c r="C6366" s="1" t="str">
        <f>"VC001"</f>
        <v>VC001</v>
      </c>
      <c r="D6366" s="1" t="str">
        <f>"VC001"</f>
        <v>VC001</v>
      </c>
      <c r="E6366" s="1" t="s">
        <v>4566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</row>
    <row r="6367" spans="1:11" x14ac:dyDescent="0.2">
      <c r="A6367" s="1" t="s">
        <v>1306</v>
      </c>
      <c r="B6367" s="1" t="s">
        <v>1310</v>
      </c>
      <c r="C6367" s="1" t="str">
        <f>"VC007"</f>
        <v>VC007</v>
      </c>
      <c r="D6367" s="1" t="str">
        <f>"VC007"</f>
        <v>VC007</v>
      </c>
      <c r="E6367" s="1" t="s">
        <v>4566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</row>
    <row r="6368" spans="1:11" x14ac:dyDescent="0.2">
      <c r="A6368" s="1" t="s">
        <v>1306</v>
      </c>
      <c r="B6368" s="1" t="s">
        <v>1311</v>
      </c>
      <c r="C6368" s="1" t="str">
        <f>"66298839735530"</f>
        <v>66298839735530</v>
      </c>
      <c r="D6368" s="1" t="str">
        <f>"83180"</f>
        <v>83180</v>
      </c>
      <c r="E6368" s="1" t="s">
        <v>4566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</row>
    <row r="6369" spans="1:11" x14ac:dyDescent="0.2">
      <c r="A6369" s="1" t="s">
        <v>1306</v>
      </c>
      <c r="B6369" s="1" t="s">
        <v>1312</v>
      </c>
      <c r="C6369" s="1" t="str">
        <f>"CHA-UNIV"</f>
        <v>CHA-UNIV</v>
      </c>
      <c r="D6369" s="1" t="str">
        <f>"CHA-UNIV"</f>
        <v>CHA-UNIV</v>
      </c>
      <c r="E6369" s="1" t="s">
        <v>4566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</row>
    <row r="6370" spans="1:11" x14ac:dyDescent="0.2">
      <c r="A6370" s="1" t="s">
        <v>1306</v>
      </c>
      <c r="B6370" s="1" t="s">
        <v>1313</v>
      </c>
      <c r="C6370" s="1" t="str">
        <f>"2518"</f>
        <v>2518</v>
      </c>
      <c r="D6370" s="1" t="str">
        <f>"2518"</f>
        <v>2518</v>
      </c>
      <c r="E6370" s="1" t="s">
        <v>4566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</row>
    <row r="6371" spans="1:11" x14ac:dyDescent="0.2">
      <c r="A6371" s="1" t="s">
        <v>1306</v>
      </c>
      <c r="B6371" s="1" t="s">
        <v>1314</v>
      </c>
      <c r="C6371" s="1" t="str">
        <f>"66298839778166"</f>
        <v>66298839778166</v>
      </c>
      <c r="D6371" s="1" t="str">
        <f>"400071"</f>
        <v>400071</v>
      </c>
      <c r="E6371" s="1" t="s">
        <v>4566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</row>
    <row r="6372" spans="1:11" x14ac:dyDescent="0.2">
      <c r="A6372" s="1" t="s">
        <v>1306</v>
      </c>
      <c r="B6372" s="1" t="s">
        <v>1315</v>
      </c>
      <c r="C6372" s="1" t="str">
        <f>"66298839822072"</f>
        <v>66298839822072</v>
      </c>
      <c r="D6372" s="1" t="str">
        <f>"400144"</f>
        <v>400144</v>
      </c>
      <c r="E6372" s="1" t="s">
        <v>4566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</row>
    <row r="6373" spans="1:11" x14ac:dyDescent="0.2">
      <c r="A6373" s="1" t="s">
        <v>1306</v>
      </c>
      <c r="B6373" s="1" t="s">
        <v>1316</v>
      </c>
      <c r="C6373" s="1" t="str">
        <f>"66298839862328"</f>
        <v>66298839862328</v>
      </c>
      <c r="D6373" s="1" t="str">
        <f>"AP-2010-29HB"</f>
        <v>AP-2010-29HB</v>
      </c>
      <c r="E6373" s="1" t="s">
        <v>4566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</row>
    <row r="6374" spans="1:11" x14ac:dyDescent="0.2">
      <c r="A6374" s="1" t="s">
        <v>1306</v>
      </c>
      <c r="B6374" s="1" t="s">
        <v>1317</v>
      </c>
      <c r="C6374" s="1" t="str">
        <f>"1052-S"</f>
        <v>1052-S</v>
      </c>
      <c r="D6374" s="1" t="str">
        <f>"1052-S"</f>
        <v>1052-S</v>
      </c>
      <c r="E6374" s="1" t="s">
        <v>4566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</row>
    <row r="6375" spans="1:11" x14ac:dyDescent="0.2">
      <c r="A6375" s="1" t="s">
        <v>1306</v>
      </c>
      <c r="B6375" s="1" t="s">
        <v>1318</v>
      </c>
      <c r="C6375" s="1" t="str">
        <f>"66298839903308"</f>
        <v>66298839903308</v>
      </c>
      <c r="D6375" s="1" t="str">
        <f>"80367"</f>
        <v>80367</v>
      </c>
      <c r="E6375" s="1" t="s">
        <v>4566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</row>
    <row r="6376" spans="1:11" x14ac:dyDescent="0.2">
      <c r="A6376" s="1" t="s">
        <v>1306</v>
      </c>
      <c r="B6376" s="1" t="s">
        <v>1318</v>
      </c>
      <c r="C6376" s="1" t="str">
        <f>"VC006"</f>
        <v>VC006</v>
      </c>
      <c r="D6376" s="1" t="str">
        <f>"VC006"</f>
        <v>VC006</v>
      </c>
      <c r="E6376" s="1" t="s">
        <v>4566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</row>
    <row r="6377" spans="1:11" x14ac:dyDescent="0.2">
      <c r="A6377" s="1" t="s">
        <v>1218</v>
      </c>
      <c r="B6377" s="1" t="s">
        <v>1319</v>
      </c>
      <c r="C6377" s="1" t="str">
        <f>"49CC27"</f>
        <v>49CC27</v>
      </c>
      <c r="D6377" s="1" t="str">
        <f>"49CC27"</f>
        <v>49CC27</v>
      </c>
      <c r="E6377" s="1" t="s">
        <v>4566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</row>
    <row r="6378" spans="1:11" x14ac:dyDescent="0.2">
      <c r="A6378" s="1" t="s">
        <v>1218</v>
      </c>
      <c r="B6378" s="1" t="s">
        <v>1320</v>
      </c>
      <c r="C6378" s="1" t="str">
        <f>"66298839985467"</f>
        <v>66298839985467</v>
      </c>
      <c r="D6378" s="1" t="str">
        <f>"11717"</f>
        <v>11717</v>
      </c>
      <c r="E6378" s="1" t="s">
        <v>4566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</row>
    <row r="6379" spans="1:11" x14ac:dyDescent="0.2">
      <c r="A6379" s="1" t="s">
        <v>1218</v>
      </c>
      <c r="B6379" s="1" t="s">
        <v>1321</v>
      </c>
      <c r="C6379" s="1" t="str">
        <f>"AC007"</f>
        <v>AC007</v>
      </c>
      <c r="D6379" s="1" t="str">
        <f>"AC007"</f>
        <v>AC007</v>
      </c>
      <c r="E6379" s="1" t="s">
        <v>4566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</row>
    <row r="6380" spans="1:11" x14ac:dyDescent="0.2">
      <c r="A6380" s="1" t="s">
        <v>1218</v>
      </c>
      <c r="B6380" s="1" t="s">
        <v>1322</v>
      </c>
      <c r="C6380" s="1" t="str">
        <f>"AC004"</f>
        <v>AC004</v>
      </c>
      <c r="D6380" s="1" t="str">
        <f>"AC004"</f>
        <v>AC004</v>
      </c>
      <c r="E6380" s="1" t="s">
        <v>4566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</row>
    <row r="6381" spans="1:11" x14ac:dyDescent="0.2">
      <c r="A6381" s="1" t="s">
        <v>1218</v>
      </c>
      <c r="B6381" s="1" t="s">
        <v>1323</v>
      </c>
      <c r="C6381" s="1" t="str">
        <f>"66298840028405"</f>
        <v>66298840028405</v>
      </c>
      <c r="D6381" s="1" t="str">
        <f>"M109"</f>
        <v>M109</v>
      </c>
      <c r="E6381" s="1" t="s">
        <v>4566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</row>
    <row r="6382" spans="1:11" x14ac:dyDescent="0.2">
      <c r="A6382" s="1" t="s">
        <v>1218</v>
      </c>
      <c r="B6382" s="1" t="s">
        <v>1324</v>
      </c>
      <c r="C6382" s="1" t="str">
        <f>"AC011"</f>
        <v>AC011</v>
      </c>
      <c r="D6382" s="1" t="str">
        <f>"AC011"</f>
        <v>AC011</v>
      </c>
      <c r="E6382" s="1" t="s">
        <v>4566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</row>
    <row r="6383" spans="1:11" x14ac:dyDescent="0.2">
      <c r="A6383" s="1" t="s">
        <v>1218</v>
      </c>
      <c r="B6383" s="1" t="s">
        <v>1325</v>
      </c>
      <c r="C6383" s="1" t="str">
        <f>"AB020"</f>
        <v>AB020</v>
      </c>
      <c r="D6383" s="1" t="str">
        <f>"AB020"</f>
        <v>AB020</v>
      </c>
      <c r="E6383" s="1" t="s">
        <v>4566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</row>
    <row r="6384" spans="1:11" x14ac:dyDescent="0.2">
      <c r="A6384" s="1" t="s">
        <v>1218</v>
      </c>
      <c r="B6384" s="1" t="s">
        <v>1326</v>
      </c>
      <c r="C6384" s="1" t="str">
        <f>"66298840067193"</f>
        <v>66298840067193</v>
      </c>
      <c r="D6384" s="1" t="str">
        <f>"37000-34860"</f>
        <v>37000-34860</v>
      </c>
      <c r="E6384" s="1" t="s">
        <v>4566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</row>
    <row r="6385" spans="1:11" x14ac:dyDescent="0.2">
      <c r="A6385" s="1" t="s">
        <v>1218</v>
      </c>
      <c r="B6385" s="1" t="s">
        <v>1327</v>
      </c>
      <c r="C6385" s="1" t="str">
        <f>"66298840105724"</f>
        <v>66298840105724</v>
      </c>
      <c r="D6385" s="1" t="str">
        <f>"AC003"</f>
        <v>AC003</v>
      </c>
      <c r="E6385" s="1" t="s">
        <v>4566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</row>
    <row r="6386" spans="1:11" x14ac:dyDescent="0.2">
      <c r="A6386" s="1" t="s">
        <v>1218</v>
      </c>
      <c r="B6386" s="1" t="s">
        <v>1328</v>
      </c>
      <c r="C6386" s="1" t="str">
        <f>"66298840144771"</f>
        <v>66298840144771</v>
      </c>
      <c r="D6386" s="1" t="str">
        <f>"37011H2F00BH000"</f>
        <v>37011H2F00BH000</v>
      </c>
      <c r="E6386" s="1" t="s">
        <v>4566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</row>
    <row r="6387" spans="1:11" x14ac:dyDescent="0.2">
      <c r="A6387" s="1" t="s">
        <v>1218</v>
      </c>
      <c r="B6387" s="1" t="s">
        <v>1329</v>
      </c>
      <c r="C6387" s="1" t="str">
        <f>"KT-2152KZ"</f>
        <v>KT-2152KZ</v>
      </c>
      <c r="D6387" s="1" t="str">
        <f>"KT-2152KZ"</f>
        <v>KT-2152KZ</v>
      </c>
      <c r="E6387" s="1" t="s">
        <v>4566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</row>
    <row r="6388" spans="1:11" x14ac:dyDescent="0.2">
      <c r="A6388" s="1" t="s">
        <v>1218</v>
      </c>
      <c r="B6388" s="1" t="s">
        <v>1330</v>
      </c>
      <c r="C6388" s="1" t="str">
        <f>"AC009"</f>
        <v>AC009</v>
      </c>
      <c r="D6388" s="1" t="str">
        <f>"AC009"</f>
        <v>AC009</v>
      </c>
      <c r="E6388" s="1" t="s">
        <v>4566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</row>
    <row r="6389" spans="1:11" x14ac:dyDescent="0.2">
      <c r="A6389" s="1" t="s">
        <v>1218</v>
      </c>
      <c r="B6389" s="1" t="s">
        <v>1331</v>
      </c>
      <c r="C6389" s="1" t="str">
        <f>"66298840222925"</f>
        <v>66298840222925</v>
      </c>
      <c r="D6389" s="1" t="str">
        <f>"84595"</f>
        <v>84595</v>
      </c>
      <c r="E6389" s="1" t="s">
        <v>4566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</row>
    <row r="6390" spans="1:11" x14ac:dyDescent="0.2">
      <c r="A6390" s="1" t="s">
        <v>1218</v>
      </c>
      <c r="B6390" s="1" t="s">
        <v>1332</v>
      </c>
      <c r="C6390" s="1" t="str">
        <f>"66298840183132"</f>
        <v>66298840183132</v>
      </c>
      <c r="D6390" s="1" t="str">
        <f>"AC005"</f>
        <v>AC005</v>
      </c>
      <c r="E6390" s="1" t="s">
        <v>4566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</row>
    <row r="6391" spans="1:11" x14ac:dyDescent="0.2">
      <c r="A6391" s="1" t="s">
        <v>1333</v>
      </c>
      <c r="B6391" s="1" t="s">
        <v>1334</v>
      </c>
      <c r="C6391" s="1" t="str">
        <f>"AC002"</f>
        <v>AC002</v>
      </c>
      <c r="D6391" s="1" t="str">
        <f>"AC002"</f>
        <v>AC002</v>
      </c>
      <c r="E6391" s="1" t="s">
        <v>4566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</row>
    <row r="6392" spans="1:11" x14ac:dyDescent="0.2">
      <c r="A6392" s="1" t="s">
        <v>1218</v>
      </c>
      <c r="B6392" s="1" t="s">
        <v>1335</v>
      </c>
      <c r="C6392" s="1" t="str">
        <f>"11183"</f>
        <v>11183</v>
      </c>
      <c r="D6392" s="1" t="str">
        <f>"11183"</f>
        <v>11183</v>
      </c>
      <c r="E6392" s="1" t="s">
        <v>4566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</row>
    <row r="6393" spans="1:11" x14ac:dyDescent="0.2">
      <c r="A6393" s="1" t="s">
        <v>1218</v>
      </c>
      <c r="B6393" s="1" t="s">
        <v>1336</v>
      </c>
      <c r="C6393" s="1" t="str">
        <f>"AC010"</f>
        <v>AC010</v>
      </c>
      <c r="D6393" s="1" t="str">
        <f>"AC010"</f>
        <v>AC010</v>
      </c>
      <c r="E6393" s="1" t="s">
        <v>4566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</row>
    <row r="6394" spans="1:11" x14ac:dyDescent="0.2">
      <c r="A6394" s="1" t="s">
        <v>1337</v>
      </c>
      <c r="B6394" s="1" t="s">
        <v>1338</v>
      </c>
      <c r="C6394" s="1" t="str">
        <f>"66298840263719"</f>
        <v>66298840263719</v>
      </c>
      <c r="D6394" s="1" t="str">
        <f>"B096"</f>
        <v>B096</v>
      </c>
      <c r="E6394" s="1" t="s">
        <v>4566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</row>
    <row r="6395" spans="1:11" x14ac:dyDescent="0.2">
      <c r="A6395" s="1" t="s">
        <v>98</v>
      </c>
      <c r="B6395" s="1" t="s">
        <v>1339</v>
      </c>
      <c r="C6395" s="1" t="str">
        <f>"66298840314866"</f>
        <v>66298840314866</v>
      </c>
      <c r="D6395" s="1" t="str">
        <f>"H221"</f>
        <v>H221</v>
      </c>
      <c r="E6395" s="1" t="s">
        <v>4566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</row>
    <row r="6396" spans="1:11" x14ac:dyDescent="0.2">
      <c r="A6396" s="1" t="s">
        <v>1337</v>
      </c>
      <c r="B6396" s="1" t="s">
        <v>1340</v>
      </c>
      <c r="C6396" s="1" t="str">
        <f>"DG009"</f>
        <v>DG009</v>
      </c>
      <c r="D6396" s="1" t="str">
        <f>"DG009"</f>
        <v>DG009</v>
      </c>
      <c r="E6396" s="1" t="s">
        <v>4566</v>
      </c>
      <c r="F6396" s="1">
        <v>1</v>
      </c>
      <c r="G6396" s="1">
        <v>23822.99</v>
      </c>
      <c r="H6396" s="1">
        <v>23823</v>
      </c>
      <c r="I6396" s="1">
        <v>0</v>
      </c>
      <c r="J6396" s="1">
        <v>1</v>
      </c>
      <c r="K6396" s="1">
        <v>0</v>
      </c>
    </row>
    <row r="6397" spans="1:11" x14ac:dyDescent="0.2">
      <c r="A6397" s="1" t="s">
        <v>1337</v>
      </c>
      <c r="B6397" s="1" t="s">
        <v>1341</v>
      </c>
      <c r="C6397" s="1" t="str">
        <f>"66298840352827"</f>
        <v>66298840352827</v>
      </c>
      <c r="D6397" s="1" t="str">
        <f>"DG007"</f>
        <v>DG007</v>
      </c>
      <c r="E6397" s="1" t="s">
        <v>4566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</row>
    <row r="6398" spans="1:11" x14ac:dyDescent="0.2">
      <c r="A6398" s="1" t="s">
        <v>1337</v>
      </c>
      <c r="B6398" s="1" t="s">
        <v>1342</v>
      </c>
      <c r="C6398" s="1" t="str">
        <f>"66298840391916"</f>
        <v>66298840391916</v>
      </c>
      <c r="D6398" s="1" t="str">
        <f>"83976"</f>
        <v>83976</v>
      </c>
      <c r="E6398" s="1" t="s">
        <v>4566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</row>
    <row r="6399" spans="1:11" x14ac:dyDescent="0.2">
      <c r="A6399" s="1" t="s">
        <v>1337</v>
      </c>
      <c r="B6399" s="1" t="s">
        <v>1343</v>
      </c>
      <c r="C6399" s="1" t="str">
        <f>"DG011"</f>
        <v>DG011</v>
      </c>
      <c r="D6399" s="1" t="str">
        <f>"DG011"</f>
        <v>DG011</v>
      </c>
      <c r="E6399" s="1" t="s">
        <v>4566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</row>
    <row r="6400" spans="1:11" x14ac:dyDescent="0.2">
      <c r="A6400" s="1" t="s">
        <v>1337</v>
      </c>
      <c r="B6400" s="1" t="s">
        <v>1344</v>
      </c>
      <c r="C6400" s="1" t="str">
        <f>"DG013"</f>
        <v>DG013</v>
      </c>
      <c r="D6400" s="1" t="str">
        <f>"DG013"</f>
        <v>DG013</v>
      </c>
      <c r="E6400" s="1" t="s">
        <v>4566</v>
      </c>
      <c r="F6400" s="1">
        <v>1</v>
      </c>
      <c r="G6400" s="1">
        <v>33075.01</v>
      </c>
      <c r="H6400" s="1">
        <v>33075</v>
      </c>
      <c r="I6400" s="1">
        <v>0</v>
      </c>
      <c r="J6400" s="1">
        <v>1</v>
      </c>
      <c r="K6400" s="1">
        <v>0</v>
      </c>
    </row>
    <row r="6401" spans="1:11" x14ac:dyDescent="0.2">
      <c r="A6401" s="1" t="s">
        <v>1337</v>
      </c>
      <c r="B6401" s="1" t="s">
        <v>1345</v>
      </c>
      <c r="C6401" s="1" t="str">
        <f>"66298840432572"</f>
        <v>66298840432572</v>
      </c>
      <c r="D6401" s="1" t="str">
        <f>"DG003"</f>
        <v>DG003</v>
      </c>
      <c r="E6401" s="1" t="s">
        <v>4566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</row>
    <row r="6402" spans="1:11" x14ac:dyDescent="0.2">
      <c r="A6402" s="1" t="s">
        <v>1337</v>
      </c>
      <c r="B6402" s="1" t="s">
        <v>1346</v>
      </c>
      <c r="C6402" s="1" t="str">
        <f>"DG008"</f>
        <v>DG008</v>
      </c>
      <c r="D6402" s="1" t="str">
        <f>"DG008"</f>
        <v>DG008</v>
      </c>
      <c r="E6402" s="1" t="s">
        <v>4566</v>
      </c>
      <c r="F6402" s="1">
        <v>1</v>
      </c>
      <c r="G6402" s="1">
        <v>37260.019999999997</v>
      </c>
      <c r="H6402" s="1">
        <v>37260</v>
      </c>
      <c r="I6402" s="1">
        <v>0</v>
      </c>
      <c r="J6402" s="1">
        <v>1</v>
      </c>
      <c r="K6402" s="1">
        <v>0</v>
      </c>
    </row>
    <row r="6403" spans="1:11" x14ac:dyDescent="0.2">
      <c r="A6403" s="1" t="s">
        <v>1337</v>
      </c>
      <c r="B6403" s="1" t="s">
        <v>1347</v>
      </c>
      <c r="C6403" s="1" t="str">
        <f>"DG006"</f>
        <v>DG006</v>
      </c>
      <c r="D6403" s="1" t="str">
        <f>"DG006"</f>
        <v>DG006</v>
      </c>
      <c r="E6403" s="1" t="s">
        <v>4566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</row>
    <row r="6404" spans="1:11" x14ac:dyDescent="0.2">
      <c r="A6404" s="1" t="s">
        <v>1348</v>
      </c>
      <c r="B6404" s="1" t="s">
        <v>1349</v>
      </c>
      <c r="C6404" s="1" t="str">
        <f>"66298840481598"</f>
        <v>66298840481598</v>
      </c>
      <c r="D6404" s="1" t="str">
        <f>"80267"</f>
        <v>80267</v>
      </c>
      <c r="E6404" s="1" t="s">
        <v>4566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</row>
    <row r="6405" spans="1:11" x14ac:dyDescent="0.2">
      <c r="A6405" s="1" t="s">
        <v>1348</v>
      </c>
      <c r="B6405" s="1" t="s">
        <v>1350</v>
      </c>
      <c r="C6405" s="1" t="str">
        <f>"66298840520747"</f>
        <v>66298840520747</v>
      </c>
      <c r="D6405" s="1" t="str">
        <f>"80271"</f>
        <v>80271</v>
      </c>
      <c r="E6405" s="1" t="s">
        <v>4566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</row>
    <row r="6406" spans="1:11" x14ac:dyDescent="0.2">
      <c r="A6406" s="1" t="s">
        <v>1351</v>
      </c>
      <c r="B6406" s="1" t="s">
        <v>1352</v>
      </c>
      <c r="C6406" s="1" t="str">
        <f>"66298840563231"</f>
        <v>66298840563231</v>
      </c>
      <c r="D6406" s="1" t="str">
        <f>"TB004-AMARILLO"</f>
        <v>TB004-AMARILLO</v>
      </c>
      <c r="E6406" s="1" t="s">
        <v>4566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</row>
    <row r="6407" spans="1:11" x14ac:dyDescent="0.2">
      <c r="A6407" s="1" t="s">
        <v>1351</v>
      </c>
      <c r="B6407" s="1" t="s">
        <v>1353</v>
      </c>
      <c r="C6407" s="1" t="str">
        <f>"66298840602495"</f>
        <v>66298840602495</v>
      </c>
      <c r="D6407" s="1" t="str">
        <f>"TB004-AZUL"</f>
        <v>TB004-AZUL</v>
      </c>
      <c r="E6407" s="1" t="s">
        <v>4566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</row>
    <row r="6408" spans="1:11" x14ac:dyDescent="0.2">
      <c r="A6408" s="1" t="s">
        <v>1351</v>
      </c>
      <c r="B6408" s="1" t="s">
        <v>1354</v>
      </c>
      <c r="C6408" s="1" t="str">
        <f>"66298840641803"</f>
        <v>66298840641803</v>
      </c>
      <c r="D6408" s="1" t="str">
        <f>"TB001-A-BEIGE"</f>
        <v>TB001-A-BEIGE</v>
      </c>
      <c r="E6408" s="1" t="s">
        <v>4566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</row>
    <row r="6409" spans="1:11" x14ac:dyDescent="0.2">
      <c r="A6409" s="1" t="s">
        <v>1351</v>
      </c>
      <c r="B6409" s="1" t="s">
        <v>1355</v>
      </c>
      <c r="C6409" s="1" t="str">
        <f>"66298840681107"</f>
        <v>66298840681107</v>
      </c>
      <c r="D6409" s="1" t="str">
        <f>"TB004-BLANCO"</f>
        <v>TB004-BLANCO</v>
      </c>
      <c r="E6409" s="1" t="s">
        <v>4566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</row>
    <row r="6410" spans="1:11" x14ac:dyDescent="0.2">
      <c r="A6410" s="1" t="s">
        <v>1351</v>
      </c>
      <c r="B6410" s="1" t="s">
        <v>1356</v>
      </c>
      <c r="C6410" s="1" t="str">
        <f>"66298840723726"</f>
        <v>66298840723726</v>
      </c>
      <c r="D6410" s="1" t="str">
        <f>"TB004-ROJO"</f>
        <v>TB004-ROJO</v>
      </c>
      <c r="E6410" s="1" t="s">
        <v>4566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</row>
    <row r="6411" spans="1:11" x14ac:dyDescent="0.2">
      <c r="A6411" s="1" t="s">
        <v>18</v>
      </c>
      <c r="B6411" s="1" t="s">
        <v>1357</v>
      </c>
      <c r="C6411" s="1" t="str">
        <f>"TB004"</f>
        <v>TB004</v>
      </c>
      <c r="D6411" s="1" t="str">
        <f>"TB004"</f>
        <v>TB004</v>
      </c>
      <c r="E6411" s="1" t="s">
        <v>4566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</row>
    <row r="6412" spans="1:11" x14ac:dyDescent="0.2">
      <c r="A6412" s="1" t="s">
        <v>1351</v>
      </c>
      <c r="B6412" s="1" t="s">
        <v>1358</v>
      </c>
      <c r="C6412" s="1" t="str">
        <f>"66298840763610"</f>
        <v>66298840763610</v>
      </c>
      <c r="D6412" s="1" t="str">
        <f>"18233-437-000BR"</f>
        <v>18233-437-000BR</v>
      </c>
      <c r="E6412" s="1" t="s">
        <v>4566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</row>
    <row r="6413" spans="1:11" x14ac:dyDescent="0.2">
      <c r="A6413" s="1" t="s">
        <v>1359</v>
      </c>
      <c r="B6413" s="1" t="s">
        <v>1360</v>
      </c>
      <c r="C6413" s="1" t="str">
        <f>"66298840804671"</f>
        <v>66298840804671</v>
      </c>
      <c r="D6413" s="1" t="str">
        <f>"BH007"</f>
        <v>BH007</v>
      </c>
      <c r="E6413" s="1" t="s">
        <v>4566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</row>
    <row r="6414" spans="1:11" x14ac:dyDescent="0.2">
      <c r="A6414" s="1" t="s">
        <v>1361</v>
      </c>
      <c r="B6414" s="1" t="s">
        <v>1362</v>
      </c>
      <c r="C6414" s="1" t="str">
        <f>"BH003"</f>
        <v>BH003</v>
      </c>
      <c r="D6414" s="1" t="str">
        <f>"BH003"</f>
        <v>BH003</v>
      </c>
      <c r="E6414" s="1" t="s">
        <v>4566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</row>
    <row r="6415" spans="1:11" x14ac:dyDescent="0.2">
      <c r="A6415" s="1" t="s">
        <v>1359</v>
      </c>
      <c r="B6415" s="1" t="s">
        <v>1363</v>
      </c>
      <c r="C6415" s="1" t="str">
        <f>"66298840844927"</f>
        <v>66298840844927</v>
      </c>
      <c r="D6415" s="1" t="str">
        <f>"BH010"</f>
        <v>BH010</v>
      </c>
      <c r="E6415" s="1" t="s">
        <v>4566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</row>
    <row r="6416" spans="1:11" x14ac:dyDescent="0.2">
      <c r="A6416" s="1" t="s">
        <v>1359</v>
      </c>
      <c r="B6416" s="1" t="s">
        <v>1364</v>
      </c>
      <c r="C6416" s="1" t="str">
        <f>"66298840887030"</f>
        <v>66298840887030</v>
      </c>
      <c r="D6416" s="1" t="str">
        <f>"BH005"</f>
        <v>BH005</v>
      </c>
      <c r="E6416" s="1" t="s">
        <v>4566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</row>
    <row r="6417" spans="1:11" x14ac:dyDescent="0.2">
      <c r="A6417" s="1" t="s">
        <v>1359</v>
      </c>
      <c r="B6417" s="1" t="s">
        <v>1365</v>
      </c>
      <c r="C6417" s="1" t="str">
        <f>"66298840928723"</f>
        <v>66298840928723</v>
      </c>
      <c r="D6417" s="1" t="str">
        <f>"HH030"</f>
        <v>HH030</v>
      </c>
      <c r="E6417" s="1" t="s">
        <v>4566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</row>
    <row r="6418" spans="1:11" x14ac:dyDescent="0.2">
      <c r="A6418" s="1" t="s">
        <v>18</v>
      </c>
      <c r="B6418" s="1" t="s">
        <v>1366</v>
      </c>
      <c r="C6418" s="1" t="str">
        <f>"2402"</f>
        <v>2402</v>
      </c>
      <c r="D6418" s="1" t="str">
        <f>"2402"</f>
        <v>2402</v>
      </c>
      <c r="E6418" s="1" t="s">
        <v>4566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</row>
    <row r="6419" spans="1:11" ht="30" x14ac:dyDescent="0.2">
      <c r="A6419" s="1" t="s">
        <v>1367</v>
      </c>
      <c r="B6419" s="1" t="s">
        <v>1368</v>
      </c>
      <c r="C6419" s="1" t="str">
        <f>"66298841010613"</f>
        <v>66298841010613</v>
      </c>
      <c r="D6419" s="1" t="str">
        <f>"400034"</f>
        <v>400034</v>
      </c>
      <c r="E6419" s="1" t="s">
        <v>4566</v>
      </c>
      <c r="F6419" s="1">
        <v>75</v>
      </c>
      <c r="G6419" s="1">
        <v>2266</v>
      </c>
      <c r="H6419" s="1">
        <v>169950</v>
      </c>
      <c r="I6419" s="1">
        <v>0</v>
      </c>
      <c r="J6419" s="1">
        <v>75</v>
      </c>
      <c r="K6419" s="1">
        <v>0</v>
      </c>
    </row>
    <row r="6420" spans="1:11" ht="30" x14ac:dyDescent="0.2">
      <c r="A6420" s="1" t="s">
        <v>1367</v>
      </c>
      <c r="B6420" s="1" t="s">
        <v>1369</v>
      </c>
      <c r="C6420" s="1" t="str">
        <f>"66298840971812"</f>
        <v>66298840971812</v>
      </c>
      <c r="D6420" s="1" t="str">
        <f>"ND002"</f>
        <v>ND002</v>
      </c>
      <c r="E6420" s="1" t="s">
        <v>4566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</row>
    <row r="6421" spans="1:11" ht="30" x14ac:dyDescent="0.2">
      <c r="A6421" s="1" t="s">
        <v>1367</v>
      </c>
      <c r="B6421" s="1" t="s">
        <v>1369</v>
      </c>
      <c r="C6421" s="1" t="str">
        <f>"743-20-30JP"</f>
        <v>743-20-30JP</v>
      </c>
      <c r="D6421" s="1" t="str">
        <f>"743-20-30JP"</f>
        <v>743-20-30JP</v>
      </c>
      <c r="E6421" s="1" t="s">
        <v>4566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</row>
    <row r="6422" spans="1:11" ht="30" x14ac:dyDescent="0.2">
      <c r="A6422" s="1" t="s">
        <v>1367</v>
      </c>
      <c r="B6422" s="1" t="s">
        <v>1370</v>
      </c>
      <c r="C6422" s="1" t="str">
        <f>"66298841350918"</f>
        <v>66298841350918</v>
      </c>
      <c r="D6422" s="1" t="str">
        <f>"4VP-17641-00JP"</f>
        <v>4VP-17641-00JP</v>
      </c>
      <c r="E6422" s="1" t="s">
        <v>4566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</row>
    <row r="6423" spans="1:11" ht="30" x14ac:dyDescent="0.2">
      <c r="A6423" s="1" t="s">
        <v>1367</v>
      </c>
      <c r="B6423" s="1" t="s">
        <v>1371</v>
      </c>
      <c r="C6423" s="1" t="str">
        <f>"66298841055209"</f>
        <v>66298841055209</v>
      </c>
      <c r="D6423" s="1" t="str">
        <f>"23100-KEC4-900JP"</f>
        <v>23100-KEC4-900JP</v>
      </c>
      <c r="E6423" s="1" t="s">
        <v>4566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</row>
    <row r="6424" spans="1:11" ht="30" x14ac:dyDescent="0.2">
      <c r="A6424" s="1" t="s">
        <v>1367</v>
      </c>
      <c r="B6424" s="1" t="s">
        <v>1372</v>
      </c>
      <c r="C6424" s="1" t="str">
        <f>"66298841523617"</f>
        <v>66298841523617</v>
      </c>
      <c r="D6424" s="1" t="str">
        <f>"5S9-E7641-00JP"</f>
        <v>5S9-E7641-00JP</v>
      </c>
      <c r="E6424" s="1" t="s">
        <v>4566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</row>
    <row r="6425" spans="1:11" ht="30" x14ac:dyDescent="0.2">
      <c r="A6425" s="1" t="s">
        <v>1367</v>
      </c>
      <c r="B6425" s="1" t="s">
        <v>1373</v>
      </c>
      <c r="C6425" s="1" t="str">
        <f>"66298841272975"</f>
        <v>66298841272975</v>
      </c>
      <c r="D6425" s="1" t="str">
        <f>"5TL-E7641-01JP"</f>
        <v>5TL-E7641-01JP</v>
      </c>
      <c r="E6425" s="1" t="s">
        <v>4566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</row>
    <row r="6426" spans="1:11" ht="30" x14ac:dyDescent="0.2">
      <c r="A6426" s="1" t="s">
        <v>1367</v>
      </c>
      <c r="B6426" s="1" t="s">
        <v>1374</v>
      </c>
      <c r="C6426" s="1" t="str">
        <f>"66298841093672"</f>
        <v>66298841093672</v>
      </c>
      <c r="D6426" s="1" t="str">
        <f>"400035"</f>
        <v>400035</v>
      </c>
      <c r="E6426" s="1" t="s">
        <v>4566</v>
      </c>
      <c r="F6426" s="1">
        <v>81</v>
      </c>
      <c r="G6426" s="1">
        <v>2227</v>
      </c>
      <c r="H6426" s="1">
        <v>180387</v>
      </c>
      <c r="I6426" s="1">
        <v>0</v>
      </c>
      <c r="J6426" s="1">
        <v>81</v>
      </c>
      <c r="K6426" s="1">
        <v>0</v>
      </c>
    </row>
    <row r="6427" spans="1:11" ht="30" x14ac:dyDescent="0.2">
      <c r="A6427" s="1" t="s">
        <v>1367</v>
      </c>
      <c r="B6427" s="1" t="s">
        <v>1375</v>
      </c>
      <c r="C6427" s="1" t="str">
        <f>"835-20-30JPNPC"</f>
        <v>835-20-30JPNPC</v>
      </c>
      <c r="D6427" s="1" t="str">
        <f>"835-20-30JPNPC"</f>
        <v>835-20-30JPNPC</v>
      </c>
      <c r="E6427" s="1" t="s">
        <v>4566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</row>
    <row r="6428" spans="1:11" ht="30" x14ac:dyDescent="0.2">
      <c r="A6428" s="1" t="s">
        <v>1367</v>
      </c>
      <c r="B6428" s="1" t="s">
        <v>1376</v>
      </c>
      <c r="C6428" s="1" t="str">
        <f>"66298841198249"</f>
        <v>66298841198249</v>
      </c>
      <c r="D6428" s="1" t="str">
        <f>"400036"</f>
        <v>400036</v>
      </c>
      <c r="E6428" s="1" t="s">
        <v>4566</v>
      </c>
      <c r="F6428" s="1">
        <v>21</v>
      </c>
      <c r="G6428" s="1">
        <v>2989</v>
      </c>
      <c r="H6428" s="1">
        <v>62769</v>
      </c>
      <c r="I6428" s="1">
        <v>0</v>
      </c>
      <c r="J6428" s="1">
        <v>21</v>
      </c>
      <c r="K6428" s="1">
        <v>0</v>
      </c>
    </row>
    <row r="6429" spans="1:11" ht="30" x14ac:dyDescent="0.2">
      <c r="A6429" s="1" t="s">
        <v>1367</v>
      </c>
      <c r="B6429" s="1" t="s">
        <v>1377</v>
      </c>
      <c r="C6429" s="1" t="str">
        <f>"66298841137489"</f>
        <v>66298841137489</v>
      </c>
      <c r="D6429" s="1" t="str">
        <f>"842-20-30JP"</f>
        <v>842-20-30JP</v>
      </c>
      <c r="E6429" s="1" t="s">
        <v>4566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</row>
    <row r="6430" spans="1:11" ht="30" x14ac:dyDescent="0.2">
      <c r="A6430" s="1" t="s">
        <v>1367</v>
      </c>
      <c r="B6430" s="1" t="s">
        <v>1377</v>
      </c>
      <c r="C6430" s="1" t="str">
        <f>"66298841145150"</f>
        <v>66298841145150</v>
      </c>
      <c r="D6430" s="1" t="str">
        <f>"ND001"</f>
        <v>ND001</v>
      </c>
      <c r="E6430" s="1" t="s">
        <v>4566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</row>
    <row r="6431" spans="1:11" ht="30" x14ac:dyDescent="0.2">
      <c r="A6431" s="1" t="s">
        <v>1367</v>
      </c>
      <c r="B6431" s="1" t="s">
        <v>1378</v>
      </c>
      <c r="C6431" s="1" t="str">
        <f>"ND006"</f>
        <v>ND006</v>
      </c>
      <c r="D6431" s="1" t="str">
        <f>"ND006"</f>
        <v>ND006</v>
      </c>
      <c r="E6431" s="1" t="s">
        <v>4566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</row>
    <row r="6432" spans="1:11" ht="30" x14ac:dyDescent="0.2">
      <c r="A6432" s="1" t="s">
        <v>1367</v>
      </c>
      <c r="B6432" s="1" t="s">
        <v>1379</v>
      </c>
      <c r="C6432" s="1" t="str">
        <f>"66298841234708"</f>
        <v>66298841234708</v>
      </c>
      <c r="D6432" s="1" t="str">
        <f>"400099"</f>
        <v>400099</v>
      </c>
      <c r="E6432" s="1" t="s">
        <v>4566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</row>
    <row r="6433" spans="1:11" ht="30" x14ac:dyDescent="0.2">
      <c r="A6433" s="1" t="s">
        <v>1367</v>
      </c>
      <c r="B6433" s="1" t="s">
        <v>1380</v>
      </c>
      <c r="C6433" s="1" t="str">
        <f>"12787"</f>
        <v>12787</v>
      </c>
      <c r="D6433" s="1" t="str">
        <f>"12787"</f>
        <v>12787</v>
      </c>
      <c r="E6433" s="1" t="s">
        <v>4566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</row>
    <row r="6434" spans="1:11" ht="30" x14ac:dyDescent="0.2">
      <c r="A6434" s="1" t="s">
        <v>1367</v>
      </c>
      <c r="B6434" s="1" t="s">
        <v>1381</v>
      </c>
      <c r="C6434" s="1" t="str">
        <f>"66298841312524"</f>
        <v>66298841312524</v>
      </c>
      <c r="D6434" s="1" t="str">
        <f>"27601-21J10-000"</f>
        <v>27601-21J10-000</v>
      </c>
      <c r="E6434" s="1" t="s">
        <v>4566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</row>
    <row r="6435" spans="1:11" ht="30" x14ac:dyDescent="0.2">
      <c r="A6435" s="1" t="s">
        <v>1367</v>
      </c>
      <c r="B6435" s="1" t="s">
        <v>1382</v>
      </c>
      <c r="C6435" s="1" t="str">
        <f>"66298841470841"</f>
        <v>66298841470841</v>
      </c>
      <c r="D6435" s="1" t="str">
        <f>"400754"</f>
        <v>400754</v>
      </c>
      <c r="E6435" s="1" t="s">
        <v>4566</v>
      </c>
      <c r="F6435" s="1">
        <v>40</v>
      </c>
      <c r="G6435" s="1">
        <v>2839</v>
      </c>
      <c r="H6435" s="1">
        <v>113560</v>
      </c>
      <c r="I6435" s="1">
        <v>0</v>
      </c>
      <c r="J6435" s="1">
        <v>40</v>
      </c>
      <c r="K6435" s="1">
        <v>0</v>
      </c>
    </row>
    <row r="6436" spans="1:11" ht="30" x14ac:dyDescent="0.2">
      <c r="A6436" s="1" t="s">
        <v>1367</v>
      </c>
      <c r="B6436" s="1" t="s">
        <v>1383</v>
      </c>
      <c r="C6436" s="1" t="str">
        <f>"66298841397852"</f>
        <v>66298841397852</v>
      </c>
      <c r="D6436" s="1" t="str">
        <f>"ND005"</f>
        <v>ND005</v>
      </c>
      <c r="E6436" s="1" t="s">
        <v>4566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</row>
    <row r="6437" spans="1:11" x14ac:dyDescent="0.2">
      <c r="A6437" s="1" t="s">
        <v>1384</v>
      </c>
      <c r="B6437" s="1" t="s">
        <v>1385</v>
      </c>
      <c r="C6437" s="1" t="str">
        <f>"2354"</f>
        <v>2354</v>
      </c>
      <c r="D6437" s="1" t="str">
        <f>"2354"</f>
        <v>2354</v>
      </c>
      <c r="E6437" s="1" t="s">
        <v>4566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</row>
    <row r="6438" spans="1:11" x14ac:dyDescent="0.2">
      <c r="A6438" s="1" t="s">
        <v>1384</v>
      </c>
      <c r="B6438" s="1" t="s">
        <v>1386</v>
      </c>
      <c r="C6438" s="1" t="str">
        <f>"66298841562461"</f>
        <v>66298841562461</v>
      </c>
      <c r="D6438" s="1" t="str">
        <f>"400649"</f>
        <v>400649</v>
      </c>
      <c r="E6438" s="1" t="s">
        <v>4566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</row>
    <row r="6439" spans="1:11" x14ac:dyDescent="0.2">
      <c r="A6439" s="1" t="s">
        <v>1384</v>
      </c>
      <c r="B6439" s="1" t="s">
        <v>1387</v>
      </c>
      <c r="C6439" s="1" t="str">
        <f>"CE012"</f>
        <v>CE012</v>
      </c>
      <c r="D6439" s="1" t="str">
        <f>"CE012"</f>
        <v>CE012</v>
      </c>
      <c r="E6439" s="1" t="s">
        <v>4566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</row>
    <row r="6440" spans="1:11" x14ac:dyDescent="0.2">
      <c r="A6440" s="1" t="s">
        <v>1384</v>
      </c>
      <c r="B6440" s="1" t="s">
        <v>1388</v>
      </c>
      <c r="C6440" s="1" t="str">
        <f>"BR050.07"</f>
        <v>BR050.07</v>
      </c>
      <c r="D6440" s="1" t="str">
        <f>"BR050.07"</f>
        <v>BR050.07</v>
      </c>
      <c r="E6440" s="1" t="s">
        <v>4566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</row>
    <row r="6441" spans="1:11" x14ac:dyDescent="0.2">
      <c r="A6441" s="1" t="s">
        <v>1384</v>
      </c>
      <c r="B6441" s="1" t="s">
        <v>1388</v>
      </c>
      <c r="C6441" s="1" t="str">
        <f>"25K170S"</f>
        <v>25K170S</v>
      </c>
      <c r="D6441" s="1" t="str">
        <f>"25K170S"</f>
        <v>25K170S</v>
      </c>
      <c r="E6441" s="1" t="s">
        <v>4566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</row>
    <row r="6442" spans="1:11" ht="30" x14ac:dyDescent="0.2">
      <c r="A6442" s="1" t="s">
        <v>1384</v>
      </c>
      <c r="B6442" s="1" t="s">
        <v>1389</v>
      </c>
      <c r="C6442" s="1" t="str">
        <f>"66298841614379"</f>
        <v>66298841614379</v>
      </c>
      <c r="D6442" s="1" t="str">
        <f>"400650"</f>
        <v>400650</v>
      </c>
      <c r="E6442" s="1" t="s">
        <v>4566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</row>
    <row r="6443" spans="1:11" x14ac:dyDescent="0.2">
      <c r="A6443" s="1" t="s">
        <v>1384</v>
      </c>
      <c r="B6443" s="1" t="s">
        <v>1390</v>
      </c>
      <c r="C6443" s="1" t="str">
        <f>"66298841654643"</f>
        <v>66298841654643</v>
      </c>
      <c r="D6443" s="1" t="str">
        <f>"BR0101-4531WGK"</f>
        <v>BR0101-4531WGK</v>
      </c>
      <c r="E6443" s="1" t="s">
        <v>4566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</row>
    <row r="6444" spans="1:11" x14ac:dyDescent="0.2">
      <c r="A6444" s="1" t="s">
        <v>1384</v>
      </c>
      <c r="B6444" s="1" t="s">
        <v>1390</v>
      </c>
      <c r="C6444" s="1" t="str">
        <f>"CE016"</f>
        <v>CE016</v>
      </c>
      <c r="D6444" s="1" t="str">
        <f>"CE016"</f>
        <v>CE016</v>
      </c>
      <c r="E6444" s="1" t="s">
        <v>4566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</row>
    <row r="6445" spans="1:11" x14ac:dyDescent="0.2">
      <c r="A6445" s="1" t="s">
        <v>1384</v>
      </c>
      <c r="B6445" s="1" t="s">
        <v>1391</v>
      </c>
      <c r="C6445" s="1" t="str">
        <f>"66298841693814"</f>
        <v>66298841693814</v>
      </c>
      <c r="D6445" s="1" t="str">
        <f>"CE011"</f>
        <v>CE011</v>
      </c>
      <c r="E6445" s="1" t="s">
        <v>4566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</row>
    <row r="6446" spans="1:11" x14ac:dyDescent="0.2">
      <c r="A6446" s="1" t="s">
        <v>1384</v>
      </c>
      <c r="B6446" s="1" t="s">
        <v>1392</v>
      </c>
      <c r="C6446" s="1" t="str">
        <f>"66298841732937"</f>
        <v>66298841732937</v>
      </c>
      <c r="D6446" s="1" t="str">
        <f>"CE002"</f>
        <v>CE002</v>
      </c>
      <c r="E6446" s="1" t="s">
        <v>4566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</row>
    <row r="6447" spans="1:11" x14ac:dyDescent="0.2">
      <c r="A6447" s="1" t="s">
        <v>1384</v>
      </c>
      <c r="B6447" s="1" t="s">
        <v>1393</v>
      </c>
      <c r="C6447" s="1" t="str">
        <f>"CE013"</f>
        <v>CE013</v>
      </c>
      <c r="D6447" s="1" t="str">
        <f>"CE013"</f>
        <v>CE013</v>
      </c>
      <c r="E6447" s="1" t="s">
        <v>4566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</row>
    <row r="6448" spans="1:11" x14ac:dyDescent="0.2">
      <c r="A6448" s="1" t="s">
        <v>1384</v>
      </c>
      <c r="B6448" s="1" t="s">
        <v>1394</v>
      </c>
      <c r="C6448" s="1" t="str">
        <f>"CE015"</f>
        <v>CE015</v>
      </c>
      <c r="D6448" s="1" t="str">
        <f>"CE015"</f>
        <v>CE015</v>
      </c>
      <c r="E6448" s="1" t="s">
        <v>4566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</row>
    <row r="6449" spans="1:11" x14ac:dyDescent="0.2">
      <c r="A6449" s="1" t="s">
        <v>1384</v>
      </c>
      <c r="B6449" s="1" t="s">
        <v>1395</v>
      </c>
      <c r="C6449" s="1" t="str">
        <f>"CE004"</f>
        <v>CE004</v>
      </c>
      <c r="D6449" s="1" t="str">
        <f>"CE004"</f>
        <v>CE004</v>
      </c>
      <c r="E6449" s="1" t="s">
        <v>4566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</row>
    <row r="6450" spans="1:11" ht="30" x14ac:dyDescent="0.2">
      <c r="A6450" s="1" t="s">
        <v>1384</v>
      </c>
      <c r="B6450" s="1" t="s">
        <v>1396</v>
      </c>
      <c r="C6450" s="1" t="str">
        <f>"66298841772454"</f>
        <v>66298841772454</v>
      </c>
      <c r="D6450" s="1" t="str">
        <f>"400916"</f>
        <v>400916</v>
      </c>
      <c r="E6450" s="1" t="s">
        <v>4566</v>
      </c>
      <c r="F6450" s="1">
        <v>60</v>
      </c>
      <c r="G6450" s="1">
        <v>1149</v>
      </c>
      <c r="H6450" s="1">
        <v>68940</v>
      </c>
      <c r="I6450" s="1">
        <v>0</v>
      </c>
      <c r="J6450" s="1">
        <v>60</v>
      </c>
      <c r="K6450" s="1">
        <v>0</v>
      </c>
    </row>
    <row r="6451" spans="1:11" x14ac:dyDescent="0.2">
      <c r="A6451" s="1" t="s">
        <v>1384</v>
      </c>
      <c r="B6451" s="1" t="s">
        <v>1397</v>
      </c>
      <c r="C6451" s="1" t="str">
        <f>"66298841815997"</f>
        <v>66298841815997</v>
      </c>
      <c r="D6451" s="1" t="str">
        <f>"51643-25010-K"</f>
        <v>51643-25010-K</v>
      </c>
      <c r="E6451" s="1" t="s">
        <v>4566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</row>
    <row r="6452" spans="1:11" ht="30" x14ac:dyDescent="0.2">
      <c r="A6452" s="1" t="s">
        <v>1384</v>
      </c>
      <c r="B6452" s="1" t="s">
        <v>1398</v>
      </c>
      <c r="C6452" s="1" t="str">
        <f>"66298940746551"</f>
        <v>66298940746551</v>
      </c>
      <c r="D6452" s="1" t="str">
        <f>"CE010"</f>
        <v>CE010</v>
      </c>
      <c r="E6452" s="1" t="s">
        <v>4566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</row>
    <row r="6453" spans="1:11" x14ac:dyDescent="0.2">
      <c r="A6453" s="1" t="s">
        <v>1384</v>
      </c>
      <c r="B6453" s="1" t="s">
        <v>1399</v>
      </c>
      <c r="C6453" s="1" t="str">
        <f>"CE018"</f>
        <v>CE018</v>
      </c>
      <c r="D6453" s="1" t="str">
        <f>"CE018"</f>
        <v>CE018</v>
      </c>
      <c r="E6453" s="1" t="s">
        <v>4566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</row>
    <row r="6454" spans="1:11" ht="30" x14ac:dyDescent="0.2">
      <c r="A6454" s="1" t="s">
        <v>1384</v>
      </c>
      <c r="B6454" s="1" t="s">
        <v>1400</v>
      </c>
      <c r="C6454" s="1" t="str">
        <f>"100712"</f>
        <v>100712</v>
      </c>
      <c r="D6454" s="1" t="str">
        <f>"100712"</f>
        <v>100712</v>
      </c>
      <c r="E6454" s="1" t="s">
        <v>4566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</row>
    <row r="6455" spans="1:11" x14ac:dyDescent="0.2">
      <c r="A6455" s="1" t="s">
        <v>1384</v>
      </c>
      <c r="B6455" s="1" t="s">
        <v>1401</v>
      </c>
      <c r="C6455" s="1" t="str">
        <f>"66298841892129"</f>
        <v>66298841892129</v>
      </c>
      <c r="D6455" s="1" t="str">
        <f>"400648"</f>
        <v>400648</v>
      </c>
      <c r="E6455" s="1" t="s">
        <v>4566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</row>
    <row r="6456" spans="1:11" x14ac:dyDescent="0.2">
      <c r="A6456" s="1" t="s">
        <v>1384</v>
      </c>
      <c r="B6456" s="1" t="s">
        <v>1402</v>
      </c>
      <c r="C6456" s="1" t="str">
        <f>"66298841853471"</f>
        <v>66298841853471</v>
      </c>
      <c r="D6456" s="1" t="str">
        <f>"BR1011-0041WGK"</f>
        <v>BR1011-0041WGK</v>
      </c>
      <c r="E6456" s="1" t="s">
        <v>4566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</row>
    <row r="6457" spans="1:11" x14ac:dyDescent="0.2">
      <c r="A6457" s="1" t="s">
        <v>1384</v>
      </c>
      <c r="B6457" s="1" t="s">
        <v>1402</v>
      </c>
      <c r="C6457" s="1" t="str">
        <f>"CE017"</f>
        <v>CE017</v>
      </c>
      <c r="D6457" s="1" t="str">
        <f>"CE017"</f>
        <v>CE017</v>
      </c>
      <c r="E6457" s="1" t="s">
        <v>4566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</row>
    <row r="6458" spans="1:11" x14ac:dyDescent="0.2">
      <c r="A6458" s="1" t="s">
        <v>1384</v>
      </c>
      <c r="B6458" s="1" t="s">
        <v>1403</v>
      </c>
      <c r="C6458" s="1" t="str">
        <f>"100743"</f>
        <v>100743</v>
      </c>
      <c r="D6458" s="1" t="str">
        <f>"100743"</f>
        <v>100743</v>
      </c>
      <c r="E6458" s="1" t="s">
        <v>4566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</row>
    <row r="6459" spans="1:11" x14ac:dyDescent="0.2">
      <c r="A6459" s="1" t="s">
        <v>1384</v>
      </c>
      <c r="B6459" s="1" t="s">
        <v>1404</v>
      </c>
      <c r="C6459" s="1" t="str">
        <f>"5KA-F3411-00-K"</f>
        <v>5KA-F3411-00-K</v>
      </c>
      <c r="D6459" s="1" t="str">
        <f>"5KA-F3411-00-K"</f>
        <v>5KA-F3411-00-K</v>
      </c>
      <c r="E6459" s="1" t="s">
        <v>4566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</row>
    <row r="6460" spans="1:11" ht="30" x14ac:dyDescent="0.2">
      <c r="A6460" s="1" t="s">
        <v>1384</v>
      </c>
      <c r="B6460" s="1" t="s">
        <v>1405</v>
      </c>
      <c r="C6460" s="1" t="str">
        <f>"66298841971346"</f>
        <v>66298841971346</v>
      </c>
      <c r="D6460" s="1" t="str">
        <f>"400918"</f>
        <v>400918</v>
      </c>
      <c r="E6460" s="1" t="s">
        <v>4566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</row>
    <row r="6461" spans="1:11" x14ac:dyDescent="0.2">
      <c r="A6461" s="1" t="s">
        <v>1384</v>
      </c>
      <c r="B6461" s="1" t="s">
        <v>1406</v>
      </c>
      <c r="C6461" s="1" t="str">
        <f>"66298842013066"</f>
        <v>66298842013066</v>
      </c>
      <c r="D6461" s="1" t="str">
        <f>"400915"</f>
        <v>400915</v>
      </c>
      <c r="E6461" s="1" t="s">
        <v>4566</v>
      </c>
      <c r="F6461" s="1">
        <v>100</v>
      </c>
      <c r="G6461" s="1">
        <v>1393</v>
      </c>
      <c r="H6461" s="1">
        <v>139300</v>
      </c>
      <c r="I6461" s="1">
        <v>0</v>
      </c>
      <c r="J6461" s="1">
        <v>100</v>
      </c>
      <c r="K6461" s="1">
        <v>0</v>
      </c>
    </row>
    <row r="6462" spans="1:11" x14ac:dyDescent="0.2">
      <c r="A6462" s="1" t="s">
        <v>1384</v>
      </c>
      <c r="B6462" s="1" t="s">
        <v>1407</v>
      </c>
      <c r="C6462" s="1" t="str">
        <f>"5BP-F3873-01-K"</f>
        <v>5BP-F3873-01-K</v>
      </c>
      <c r="D6462" s="1" t="str">
        <f>"5BP-F3873-01-K"</f>
        <v>5BP-F3873-01-K</v>
      </c>
      <c r="E6462" s="1" t="s">
        <v>4566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</row>
    <row r="6463" spans="1:11" x14ac:dyDescent="0.2">
      <c r="A6463" s="1" t="s">
        <v>18</v>
      </c>
      <c r="B6463" s="1" t="s">
        <v>1408</v>
      </c>
      <c r="C6463" s="1" t="str">
        <f>"66298842053856"</f>
        <v>66298842053856</v>
      </c>
      <c r="D6463" s="1" t="str">
        <f>"ZZE010"</f>
        <v>ZZE010</v>
      </c>
      <c r="E6463" s="1" t="s">
        <v>4566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</row>
    <row r="6464" spans="1:11" x14ac:dyDescent="0.2">
      <c r="A6464" s="1" t="s">
        <v>1359</v>
      </c>
      <c r="B6464" s="1" t="s">
        <v>1409</v>
      </c>
      <c r="C6464" s="1" t="str">
        <f>"66298842093477"</f>
        <v>66298842093477</v>
      </c>
      <c r="D6464" s="1" t="str">
        <f>"H137"</f>
        <v>H137</v>
      </c>
      <c r="E6464" s="1" t="s">
        <v>4566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</row>
    <row r="6465" spans="1:11" x14ac:dyDescent="0.2">
      <c r="A6465" s="1" t="s">
        <v>1359</v>
      </c>
      <c r="B6465" s="1" t="s">
        <v>1409</v>
      </c>
      <c r="C6465" s="1" t="str">
        <f>"66298842136499"</f>
        <v>66298842136499</v>
      </c>
      <c r="D6465" s="1" t="str">
        <f>"HH045"</f>
        <v>HH045</v>
      </c>
      <c r="E6465" s="1" t="s">
        <v>4566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</row>
    <row r="6466" spans="1:11" x14ac:dyDescent="0.2">
      <c r="A6466" s="1" t="s">
        <v>1359</v>
      </c>
      <c r="B6466" s="1" t="s">
        <v>1410</v>
      </c>
      <c r="C6466" s="1" t="str">
        <f>"66298842180875"</f>
        <v>66298842180875</v>
      </c>
      <c r="D6466" s="1" t="str">
        <f>"H139"</f>
        <v>H139</v>
      </c>
      <c r="E6466" s="1" t="s">
        <v>4566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</row>
    <row r="6467" spans="1:11" x14ac:dyDescent="0.2">
      <c r="A6467" s="1" t="s">
        <v>1359</v>
      </c>
      <c r="B6467" s="1" t="s">
        <v>1411</v>
      </c>
      <c r="C6467" s="1" t="str">
        <f>"66298842226962"</f>
        <v>66298842226962</v>
      </c>
      <c r="D6467" s="1" t="str">
        <f>"HH041"</f>
        <v>HH041</v>
      </c>
      <c r="E6467" s="1" t="s">
        <v>4566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</row>
    <row r="6468" spans="1:11" x14ac:dyDescent="0.2">
      <c r="A6468" s="1" t="s">
        <v>1359</v>
      </c>
      <c r="B6468" s="1" t="s">
        <v>1412</v>
      </c>
      <c r="C6468" s="1" t="str">
        <f>"66298842267034"</f>
        <v>66298842267034</v>
      </c>
      <c r="D6468" s="1" t="str">
        <f>"HH044"</f>
        <v>HH044</v>
      </c>
      <c r="E6468" s="1" t="s">
        <v>4566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</row>
    <row r="6469" spans="1:11" x14ac:dyDescent="0.2">
      <c r="A6469" s="1" t="s">
        <v>1413</v>
      </c>
      <c r="B6469" s="1" t="s">
        <v>1414</v>
      </c>
      <c r="C6469" s="1" t="str">
        <f>"66298842306565"</f>
        <v>66298842306565</v>
      </c>
      <c r="D6469" s="1" t="str">
        <f>"21C-F1650-00"</f>
        <v>21C-F1650-00</v>
      </c>
      <c r="E6469" s="1" t="s">
        <v>4566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</row>
    <row r="6470" spans="1:11" x14ac:dyDescent="0.2">
      <c r="A6470" s="1" t="s">
        <v>18</v>
      </c>
      <c r="B6470" s="1" t="s">
        <v>1415</v>
      </c>
      <c r="C6470" s="1" t="str">
        <f>"66298842348316"</f>
        <v>66298842348316</v>
      </c>
      <c r="D6470" s="1" t="str">
        <f>"2787-L"</f>
        <v>2787-L</v>
      </c>
      <c r="E6470" s="1" t="s">
        <v>4566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</row>
    <row r="6471" spans="1:11" x14ac:dyDescent="0.2">
      <c r="A6471" s="1" t="s">
        <v>18</v>
      </c>
      <c r="B6471" s="1" t="s">
        <v>1416</v>
      </c>
      <c r="C6471" s="1" t="str">
        <f>"66298842391840"</f>
        <v>66298842391840</v>
      </c>
      <c r="D6471" s="1" t="str">
        <f>"2787-XL"</f>
        <v>2787-XL</v>
      </c>
      <c r="E6471" s="1" t="s">
        <v>4566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</row>
    <row r="6472" spans="1:11" x14ac:dyDescent="0.2">
      <c r="A6472" s="1" t="s">
        <v>18</v>
      </c>
      <c r="B6472" s="1" t="s">
        <v>1417</v>
      </c>
      <c r="C6472" s="1" t="str">
        <f>"66298842431647"</f>
        <v>66298842431647</v>
      </c>
      <c r="D6472" s="1" t="str">
        <f>"WC017"</f>
        <v>WC017</v>
      </c>
      <c r="E6472" s="1" t="s">
        <v>4566</v>
      </c>
      <c r="F6472" s="1">
        <v>5</v>
      </c>
      <c r="G6472" s="1">
        <v>8212</v>
      </c>
      <c r="H6472" s="1">
        <v>41060</v>
      </c>
      <c r="I6472" s="1">
        <v>0</v>
      </c>
      <c r="J6472" s="1">
        <v>5</v>
      </c>
      <c r="K6472" s="1">
        <v>0</v>
      </c>
    </row>
    <row r="6473" spans="1:11" x14ac:dyDescent="0.2">
      <c r="A6473" s="1" t="s">
        <v>18</v>
      </c>
      <c r="B6473" s="1" t="s">
        <v>1418</v>
      </c>
      <c r="C6473" s="1" t="str">
        <f>"66298842553335"</f>
        <v>66298842553335</v>
      </c>
      <c r="D6473" s="1" t="str">
        <f>"CU-MANI-MORADO"</f>
        <v>CU-MANI-MORADO</v>
      </c>
      <c r="E6473" s="1" t="s">
        <v>4566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</row>
    <row r="6474" spans="1:11" x14ac:dyDescent="0.2">
      <c r="A6474" s="1" t="s">
        <v>18</v>
      </c>
      <c r="B6474" s="1" t="s">
        <v>1419</v>
      </c>
      <c r="C6474" s="1" t="str">
        <f>"66298842595410"</f>
        <v>66298842595410</v>
      </c>
      <c r="D6474" s="1" t="str">
        <f>"CU-MANI-NARANJA"</f>
        <v>CU-MANI-NARANJA</v>
      </c>
      <c r="E6474" s="1" t="s">
        <v>4566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</row>
    <row r="6475" spans="1:11" x14ac:dyDescent="0.2">
      <c r="A6475" s="1" t="s">
        <v>18</v>
      </c>
      <c r="B6475" s="1" t="s">
        <v>1420</v>
      </c>
      <c r="C6475" s="1" t="str">
        <f>"66298842636974"</f>
        <v>66298842636974</v>
      </c>
      <c r="D6475" s="1" t="str">
        <f>"R032"</f>
        <v>R032</v>
      </c>
      <c r="E6475" s="1" t="s">
        <v>4566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</row>
    <row r="6476" spans="1:11" x14ac:dyDescent="0.2">
      <c r="A6476" s="1" t="s">
        <v>18</v>
      </c>
      <c r="B6476" s="1" t="s">
        <v>1421</v>
      </c>
      <c r="C6476" s="1" t="str">
        <f>"66298842681437"</f>
        <v>66298842681437</v>
      </c>
      <c r="D6476" s="1" t="str">
        <f>"1267"</f>
        <v>1267</v>
      </c>
      <c r="E6476" s="1" t="s">
        <v>4566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</row>
    <row r="6477" spans="1:11" x14ac:dyDescent="0.2">
      <c r="A6477" s="1" t="s">
        <v>18</v>
      </c>
      <c r="B6477" s="1" t="s">
        <v>1422</v>
      </c>
      <c r="C6477" s="1" t="str">
        <f>"CUBRE-P"</f>
        <v>CUBRE-P</v>
      </c>
      <c r="D6477" s="1" t="str">
        <f>"CUBRE-P"</f>
        <v>CUBRE-P</v>
      </c>
      <c r="E6477" s="1" t="s">
        <v>4566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</row>
    <row r="6478" spans="1:11" x14ac:dyDescent="0.2">
      <c r="A6478" s="1" t="s">
        <v>18</v>
      </c>
      <c r="B6478" s="1" t="s">
        <v>1422</v>
      </c>
      <c r="C6478" s="1" t="str">
        <f>"2653"</f>
        <v>2653</v>
      </c>
      <c r="D6478" s="1" t="str">
        <f>"2653"</f>
        <v>2653</v>
      </c>
      <c r="E6478" s="1" t="s">
        <v>4566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</row>
    <row r="6479" spans="1:11" x14ac:dyDescent="0.2">
      <c r="A6479" s="1" t="s">
        <v>18</v>
      </c>
      <c r="B6479" s="1" t="s">
        <v>1423</v>
      </c>
      <c r="C6479" s="1" t="str">
        <f>"66298842725932"</f>
        <v>66298842725932</v>
      </c>
      <c r="D6479" s="1" t="str">
        <f>"R027-VERDE"</f>
        <v>R027-VERDE</v>
      </c>
      <c r="E6479" s="1" t="s">
        <v>4566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</row>
    <row r="6480" spans="1:11" x14ac:dyDescent="0.2">
      <c r="A6480" s="1" t="s">
        <v>18</v>
      </c>
      <c r="B6480" s="1" t="s">
        <v>1423</v>
      </c>
      <c r="C6480" s="1" t="str">
        <f>"66298842731316"</f>
        <v>66298842731316</v>
      </c>
      <c r="D6480" s="1" t="str">
        <f>"R027-AMARILLO"</f>
        <v>R027-AMARILLO</v>
      </c>
      <c r="E6480" s="1" t="s">
        <v>4566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</row>
    <row r="6481" spans="1:11" x14ac:dyDescent="0.2">
      <c r="A6481" s="1" t="s">
        <v>18</v>
      </c>
      <c r="B6481" s="1" t="s">
        <v>1424</v>
      </c>
      <c r="C6481" s="1" t="str">
        <f>"66298842790284"</f>
        <v>66298842790284</v>
      </c>
      <c r="D6481" s="1" t="str">
        <f>"1155"</f>
        <v>1155</v>
      </c>
      <c r="E6481" s="1" t="s">
        <v>4566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</row>
    <row r="6482" spans="1:11" x14ac:dyDescent="0.2">
      <c r="A6482" s="1" t="s">
        <v>1425</v>
      </c>
      <c r="B6482" s="1" t="s">
        <v>1426</v>
      </c>
      <c r="C6482" s="1" t="str">
        <f>"D010"</f>
        <v>D010</v>
      </c>
      <c r="D6482" s="1" t="str">
        <f>"D010"</f>
        <v>D010</v>
      </c>
      <c r="E6482" s="1" t="s">
        <v>4566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</row>
    <row r="6483" spans="1:11" x14ac:dyDescent="0.2">
      <c r="A6483" s="1" t="s">
        <v>1425</v>
      </c>
      <c r="B6483" s="1" t="s">
        <v>1427</v>
      </c>
      <c r="C6483" s="1" t="str">
        <f>"D001-A"</f>
        <v>D001-A</v>
      </c>
      <c r="D6483" s="1" t="str">
        <f>"D001-A"</f>
        <v>D001-A</v>
      </c>
      <c r="E6483" s="1" t="s">
        <v>4566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</row>
    <row r="6484" spans="1:11" x14ac:dyDescent="0.2">
      <c r="A6484" s="1" t="s">
        <v>1425</v>
      </c>
      <c r="B6484" s="1" t="s">
        <v>1428</v>
      </c>
      <c r="C6484" s="1" t="str">
        <f>"D012"</f>
        <v>D012</v>
      </c>
      <c r="D6484" s="1" t="str">
        <f>"D012"</f>
        <v>D012</v>
      </c>
      <c r="E6484" s="1" t="s">
        <v>4566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</row>
    <row r="6485" spans="1:11" ht="30" x14ac:dyDescent="0.2">
      <c r="A6485" s="1" t="s">
        <v>15</v>
      </c>
      <c r="B6485" s="1" t="s">
        <v>1429</v>
      </c>
      <c r="C6485" s="1" t="str">
        <f>"1563"</f>
        <v>1563</v>
      </c>
      <c r="D6485" s="1" t="str">
        <f>"1563"</f>
        <v>1563</v>
      </c>
      <c r="E6485" s="1" t="s">
        <v>4566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</row>
    <row r="6486" spans="1:11" ht="30" x14ac:dyDescent="0.2">
      <c r="A6486" s="1" t="s">
        <v>15</v>
      </c>
      <c r="B6486" s="1" t="s">
        <v>1430</v>
      </c>
      <c r="C6486" s="1" t="str">
        <f>"1561"</f>
        <v>1561</v>
      </c>
      <c r="D6486" s="1" t="str">
        <f>"1561"</f>
        <v>1561</v>
      </c>
      <c r="E6486" s="1" t="s">
        <v>4566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</row>
    <row r="6487" spans="1:11" x14ac:dyDescent="0.2">
      <c r="A6487" s="1" t="s">
        <v>98</v>
      </c>
      <c r="B6487" s="1" t="s">
        <v>1431</v>
      </c>
      <c r="C6487" s="1" t="str">
        <f>"66298842835467"</f>
        <v>66298842835467</v>
      </c>
      <c r="D6487" s="1" t="str">
        <f>"H125"</f>
        <v>H125</v>
      </c>
      <c r="E6487" s="1" t="s">
        <v>4566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</row>
    <row r="6488" spans="1:11" x14ac:dyDescent="0.2">
      <c r="A6488" s="1" t="s">
        <v>1432</v>
      </c>
      <c r="B6488" s="1" t="s">
        <v>1433</v>
      </c>
      <c r="C6488" s="1" t="str">
        <f>"66298842874642"</f>
        <v>66298842874642</v>
      </c>
      <c r="D6488" s="1" t="str">
        <f>"30151076"</f>
        <v>30151076</v>
      </c>
      <c r="E6488" s="1" t="s">
        <v>4566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</row>
    <row r="6489" spans="1:11" ht="30" x14ac:dyDescent="0.2">
      <c r="A6489" s="1" t="s">
        <v>1432</v>
      </c>
      <c r="B6489" s="1" t="s">
        <v>1434</v>
      </c>
      <c r="C6489" s="1" t="str">
        <f>"66298843051257"</f>
        <v>66298843051257</v>
      </c>
      <c r="D6489" s="1" t="str">
        <f>"83155"</f>
        <v>83155</v>
      </c>
      <c r="E6489" s="1" t="s">
        <v>4566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</row>
    <row r="6490" spans="1:11" ht="30" x14ac:dyDescent="0.2">
      <c r="A6490" s="1" t="s">
        <v>1432</v>
      </c>
      <c r="B6490" s="1" t="s">
        <v>1435</v>
      </c>
      <c r="C6490" s="1" t="str">
        <f>"66298843044975"</f>
        <v>66298843044975</v>
      </c>
      <c r="D6490" s="1" t="str">
        <f>"400017"</f>
        <v>400017</v>
      </c>
      <c r="E6490" s="1" t="s">
        <v>4566</v>
      </c>
      <c r="F6490" s="1">
        <v>310</v>
      </c>
      <c r="G6490" s="1">
        <v>634</v>
      </c>
      <c r="H6490" s="1">
        <v>196540</v>
      </c>
      <c r="I6490" s="1">
        <v>0</v>
      </c>
      <c r="J6490" s="1">
        <v>310</v>
      </c>
      <c r="K6490" s="1">
        <v>0</v>
      </c>
    </row>
    <row r="6491" spans="1:11" ht="30" x14ac:dyDescent="0.2">
      <c r="A6491" s="1" t="s">
        <v>1432</v>
      </c>
      <c r="B6491" s="1" t="s">
        <v>1436</v>
      </c>
      <c r="C6491" s="1" t="str">
        <f>"06410-KSP-900JP"</f>
        <v>06410-KSP-900JP</v>
      </c>
      <c r="D6491" s="1" t="str">
        <f>"06410-KSP-900JP"</f>
        <v>06410-KSP-900JP</v>
      </c>
      <c r="E6491" s="1" t="s">
        <v>4566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</row>
    <row r="6492" spans="1:11" ht="30" x14ac:dyDescent="0.2">
      <c r="A6492" s="1" t="s">
        <v>1432</v>
      </c>
      <c r="B6492" s="1" t="s">
        <v>1436</v>
      </c>
      <c r="C6492" s="1" t="str">
        <f>"66298843107227"</f>
        <v>66298843107227</v>
      </c>
      <c r="D6492" s="1" t="str">
        <f>"NE009"</f>
        <v>NE009</v>
      </c>
      <c r="E6492" s="1" t="s">
        <v>4566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</row>
    <row r="6493" spans="1:11" ht="30" x14ac:dyDescent="0.2">
      <c r="A6493" s="1" t="s">
        <v>1432</v>
      </c>
      <c r="B6493" s="1" t="s">
        <v>1436</v>
      </c>
      <c r="C6493" s="1" t="str">
        <f>"06410-KTE-910HB"</f>
        <v>06410-KTE-910HB</v>
      </c>
      <c r="D6493" s="1" t="str">
        <f>"06410-KTE-910HB"</f>
        <v>06410-KTE-910HB</v>
      </c>
      <c r="E6493" s="1" t="s">
        <v>4566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</row>
    <row r="6494" spans="1:11" x14ac:dyDescent="0.2">
      <c r="A6494" s="1" t="s">
        <v>1432</v>
      </c>
      <c r="B6494" s="1" t="s">
        <v>1437</v>
      </c>
      <c r="C6494" s="1" t="str">
        <f>"B119"</f>
        <v>B119</v>
      </c>
      <c r="D6494" s="1" t="str">
        <f>"B119"</f>
        <v>B119</v>
      </c>
      <c r="E6494" s="1" t="s">
        <v>4566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</row>
    <row r="6495" spans="1:11" x14ac:dyDescent="0.2">
      <c r="A6495" s="1" t="s">
        <v>1432</v>
      </c>
      <c r="B6495" s="1" t="s">
        <v>1438</v>
      </c>
      <c r="C6495" s="1" t="str">
        <f>"DAM-CG125"</f>
        <v>DAM-CG125</v>
      </c>
      <c r="D6495" s="1" t="str">
        <f>"DAM-CG125"</f>
        <v>DAM-CG125</v>
      </c>
      <c r="E6495" s="1" t="s">
        <v>4566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</row>
    <row r="6496" spans="1:11" x14ac:dyDescent="0.2">
      <c r="A6496" s="1" t="s">
        <v>1432</v>
      </c>
      <c r="B6496" s="1" t="s">
        <v>1439</v>
      </c>
      <c r="C6496" s="1" t="str">
        <f>"66298843147772"</f>
        <v>66298843147772</v>
      </c>
      <c r="D6496" s="1" t="str">
        <f>"06410-KRF-S00ICH"</f>
        <v>06410-KRF-S00ICH</v>
      </c>
      <c r="E6496" s="1" t="s">
        <v>4566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</row>
    <row r="6497" spans="1:11" x14ac:dyDescent="0.2">
      <c r="A6497" s="1" t="s">
        <v>1432</v>
      </c>
      <c r="B6497" s="1" t="s">
        <v>1440</v>
      </c>
      <c r="C6497" s="1" t="str">
        <f>"66298843192149"</f>
        <v>66298843192149</v>
      </c>
      <c r="D6497" s="1" t="str">
        <f>"400018"</f>
        <v>400018</v>
      </c>
      <c r="E6497" s="1" t="s">
        <v>4566</v>
      </c>
      <c r="F6497" s="1">
        <v>80</v>
      </c>
      <c r="G6497" s="1">
        <v>652</v>
      </c>
      <c r="H6497" s="1">
        <v>52160</v>
      </c>
      <c r="I6497" s="1">
        <v>0</v>
      </c>
      <c r="J6497" s="1">
        <v>80</v>
      </c>
      <c r="K6497" s="1">
        <v>0</v>
      </c>
    </row>
    <row r="6498" spans="1:11" x14ac:dyDescent="0.2">
      <c r="A6498" s="1" t="s">
        <v>1432</v>
      </c>
      <c r="B6498" s="1" t="s">
        <v>1441</v>
      </c>
      <c r="C6498" s="1" t="str">
        <f>"2836"</f>
        <v>2836</v>
      </c>
      <c r="D6498" s="1" t="str">
        <f>"2836"</f>
        <v>2836</v>
      </c>
      <c r="E6498" s="1" t="s">
        <v>4566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</row>
    <row r="6499" spans="1:11" x14ac:dyDescent="0.2">
      <c r="A6499" s="1" t="s">
        <v>1432</v>
      </c>
      <c r="B6499" s="1" t="s">
        <v>1442</v>
      </c>
      <c r="C6499" s="1" t="str">
        <f>"C012"</f>
        <v>C012</v>
      </c>
      <c r="D6499" s="1" t="str">
        <f>"C012"</f>
        <v>C012</v>
      </c>
      <c r="E6499" s="1" t="s">
        <v>4566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</row>
    <row r="6500" spans="1:11" x14ac:dyDescent="0.2">
      <c r="A6500" s="1" t="s">
        <v>1432</v>
      </c>
      <c r="B6500" s="1" t="s">
        <v>1443</v>
      </c>
      <c r="C6500" s="1" t="str">
        <f>"NE003"</f>
        <v>NE003</v>
      </c>
      <c r="D6500" s="1" t="str">
        <f>"NE003"</f>
        <v>NE003</v>
      </c>
      <c r="E6500" s="1" t="s">
        <v>4566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</row>
    <row r="6501" spans="1:11" x14ac:dyDescent="0.2">
      <c r="A6501" s="1" t="s">
        <v>1432</v>
      </c>
      <c r="B6501" s="1" t="s">
        <v>1443</v>
      </c>
      <c r="C6501" s="1" t="str">
        <f>"64651-45F00"</f>
        <v>64651-45F00</v>
      </c>
      <c r="D6501" s="1" t="str">
        <f>"64651-45F00"</f>
        <v>64651-45F00</v>
      </c>
      <c r="E6501" s="1" t="s">
        <v>4566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</row>
    <row r="6502" spans="1:11" x14ac:dyDescent="0.2">
      <c r="A6502" s="1" t="s">
        <v>1432</v>
      </c>
      <c r="B6502" s="1" t="s">
        <v>1444</v>
      </c>
      <c r="C6502" s="1" t="str">
        <f>"NE001"</f>
        <v>NE001</v>
      </c>
      <c r="D6502" s="1" t="str">
        <f>"NE001"</f>
        <v>NE001</v>
      </c>
      <c r="E6502" s="1" t="s">
        <v>4566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</row>
    <row r="6503" spans="1:11" x14ac:dyDescent="0.2">
      <c r="A6503" s="1" t="s">
        <v>1432</v>
      </c>
      <c r="B6503" s="1" t="s">
        <v>1444</v>
      </c>
      <c r="C6503" s="1" t="str">
        <f>"82444"</f>
        <v>82444</v>
      </c>
      <c r="D6503" s="1" t="str">
        <f>"82444"</f>
        <v>82444</v>
      </c>
      <c r="E6503" s="1" t="s">
        <v>4566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</row>
    <row r="6504" spans="1:11" x14ac:dyDescent="0.2">
      <c r="A6504" s="1" t="s">
        <v>1432</v>
      </c>
      <c r="B6504" s="1" t="s">
        <v>1445</v>
      </c>
      <c r="C6504" s="1" t="str">
        <f>"12881"</f>
        <v>12881</v>
      </c>
      <c r="D6504" s="1" t="str">
        <f>"12881"</f>
        <v>12881</v>
      </c>
      <c r="E6504" s="1" t="s">
        <v>4566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</row>
    <row r="6505" spans="1:11" x14ac:dyDescent="0.2">
      <c r="A6505" s="1" t="s">
        <v>1432</v>
      </c>
      <c r="B6505" s="1" t="s">
        <v>1446</v>
      </c>
      <c r="C6505" s="1" t="str">
        <f>"11704"</f>
        <v>11704</v>
      </c>
      <c r="D6505" s="1" t="str">
        <f>"11704"</f>
        <v>11704</v>
      </c>
      <c r="E6505" s="1" t="s">
        <v>4566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</row>
    <row r="6506" spans="1:11" ht="30" x14ac:dyDescent="0.2">
      <c r="A6506" s="1" t="s">
        <v>1432</v>
      </c>
      <c r="B6506" s="1" t="s">
        <v>1447</v>
      </c>
      <c r="C6506" s="1" t="str">
        <f>"66298843233925"</f>
        <v>66298843233925</v>
      </c>
      <c r="D6506" s="1" t="str">
        <f>"400019"</f>
        <v>400019</v>
      </c>
      <c r="E6506" s="1" t="s">
        <v>4566</v>
      </c>
      <c r="F6506" s="1">
        <v>190</v>
      </c>
      <c r="G6506" s="1">
        <v>601</v>
      </c>
      <c r="H6506" s="1">
        <v>114190</v>
      </c>
      <c r="I6506" s="1">
        <v>0</v>
      </c>
      <c r="J6506" s="1">
        <v>190</v>
      </c>
      <c r="K6506" s="1">
        <v>0</v>
      </c>
    </row>
    <row r="6507" spans="1:11" x14ac:dyDescent="0.2">
      <c r="A6507" s="1" t="s">
        <v>1432</v>
      </c>
      <c r="B6507" s="1" t="s">
        <v>1448</v>
      </c>
      <c r="C6507" s="1" t="str">
        <f>"18CC002"</f>
        <v>18CC002</v>
      </c>
      <c r="D6507" s="1" t="str">
        <f>"18CC002"</f>
        <v>18CC002</v>
      </c>
      <c r="E6507" s="1" t="s">
        <v>4566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</row>
    <row r="6508" spans="1:11" x14ac:dyDescent="0.2">
      <c r="A6508" s="1" t="s">
        <v>1432</v>
      </c>
      <c r="B6508" s="1" t="s">
        <v>1449</v>
      </c>
      <c r="C6508" s="1" t="str">
        <f>"66298843276252"</f>
        <v>66298843276252</v>
      </c>
      <c r="D6508" s="1" t="str">
        <f>"82327"</f>
        <v>82327</v>
      </c>
      <c r="E6508" s="1" t="s">
        <v>4566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</row>
    <row r="6509" spans="1:11" x14ac:dyDescent="0.2">
      <c r="A6509" s="1" t="s">
        <v>1432</v>
      </c>
      <c r="B6509" s="1" t="s">
        <v>1450</v>
      </c>
      <c r="C6509" s="1" t="str">
        <f>"66298843320234"</f>
        <v>66298843320234</v>
      </c>
      <c r="D6509" s="1" t="str">
        <f>"400016"</f>
        <v>400016</v>
      </c>
      <c r="E6509" s="1" t="s">
        <v>4566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</row>
    <row r="6510" spans="1:11" x14ac:dyDescent="0.2">
      <c r="A6510" s="1" t="s">
        <v>1432</v>
      </c>
      <c r="B6510" s="1" t="s">
        <v>1451</v>
      </c>
      <c r="C6510" s="1" t="str">
        <f>"NE002"</f>
        <v>NE002</v>
      </c>
      <c r="D6510" s="1" t="str">
        <f>"NE002"</f>
        <v>NE002</v>
      </c>
      <c r="E6510" s="1" t="s">
        <v>4566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</row>
    <row r="6511" spans="1:11" x14ac:dyDescent="0.2">
      <c r="A6511" s="1" t="s">
        <v>1432</v>
      </c>
      <c r="B6511" s="1" t="s">
        <v>1452</v>
      </c>
      <c r="C6511" s="1" t="str">
        <f>"66298842913216"</f>
        <v>66298842913216</v>
      </c>
      <c r="D6511" s="1" t="str">
        <f>"64651H2C000H000"</f>
        <v>64651H2C000H000</v>
      </c>
      <c r="E6511" s="1" t="s">
        <v>4566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</row>
    <row r="6512" spans="1:11" x14ac:dyDescent="0.2">
      <c r="A6512" s="1" t="s">
        <v>1432</v>
      </c>
      <c r="B6512" s="1" t="s">
        <v>1453</v>
      </c>
      <c r="C6512" s="1" t="str">
        <f>"66298842954620"</f>
        <v>66298842954620</v>
      </c>
      <c r="D6512" s="1" t="str">
        <f>"41241-307-010"</f>
        <v>41241-307-010</v>
      </c>
      <c r="E6512" s="1" t="s">
        <v>4566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</row>
    <row r="6513" spans="1:11" x14ac:dyDescent="0.2">
      <c r="A6513" s="1" t="s">
        <v>1454</v>
      </c>
      <c r="B6513" s="1" t="s">
        <v>1455</v>
      </c>
      <c r="C6513" s="1" t="str">
        <f>"66298843359182"</f>
        <v>66298843359182</v>
      </c>
      <c r="D6513" s="1" t="str">
        <f>"R030-AZUL"</f>
        <v>R030-AZUL</v>
      </c>
      <c r="E6513" s="1" t="s">
        <v>4566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</row>
    <row r="6514" spans="1:11" x14ac:dyDescent="0.2">
      <c r="A6514" s="1" t="s">
        <v>1454</v>
      </c>
      <c r="B6514" s="1" t="s">
        <v>1456</v>
      </c>
      <c r="C6514" s="1" t="str">
        <f>"66298843401870"</f>
        <v>66298843401870</v>
      </c>
      <c r="D6514" s="1" t="str">
        <f>"R030-NEGRO"</f>
        <v>R030-NEGRO</v>
      </c>
      <c r="E6514" s="1" t="s">
        <v>4566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</row>
    <row r="6515" spans="1:11" x14ac:dyDescent="0.2">
      <c r="A6515" s="1" t="s">
        <v>1454</v>
      </c>
      <c r="B6515" s="1" t="s">
        <v>1457</v>
      </c>
      <c r="C6515" s="1" t="str">
        <f>"66298843445263"</f>
        <v>66298843445263</v>
      </c>
      <c r="D6515" s="1" t="str">
        <f>"R030-ROJO"</f>
        <v>R030-ROJO</v>
      </c>
      <c r="E6515" s="1" t="s">
        <v>4566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</row>
    <row r="6516" spans="1:11" x14ac:dyDescent="0.2">
      <c r="A6516" s="1" t="s">
        <v>1454</v>
      </c>
      <c r="B6516" s="1" t="s">
        <v>1458</v>
      </c>
      <c r="C6516" s="1" t="str">
        <f>"66298843487229"</f>
        <v>66298843487229</v>
      </c>
      <c r="D6516" s="1" t="str">
        <f>"Q026"</f>
        <v>Q026</v>
      </c>
      <c r="E6516" s="1" t="s">
        <v>4566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</row>
    <row r="6517" spans="1:11" x14ac:dyDescent="0.2">
      <c r="A6517" s="1" t="s">
        <v>98</v>
      </c>
      <c r="B6517" s="1" t="s">
        <v>1459</v>
      </c>
      <c r="C6517" s="1" t="str">
        <f>"NE011"</f>
        <v>NE011</v>
      </c>
      <c r="D6517" s="1" t="str">
        <f>"NE011"</f>
        <v>NE011</v>
      </c>
      <c r="E6517" s="1" t="s">
        <v>4566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</row>
    <row r="6518" spans="1:11" x14ac:dyDescent="0.2">
      <c r="A6518" s="1" t="s">
        <v>98</v>
      </c>
      <c r="B6518" s="1" t="s">
        <v>1460</v>
      </c>
      <c r="C6518" s="1" t="str">
        <f>"66298843531660"</f>
        <v>66298843531660</v>
      </c>
      <c r="D6518" s="1" t="str">
        <f>"NE005"</f>
        <v>NE005</v>
      </c>
      <c r="E6518" s="1" t="s">
        <v>4566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</row>
    <row r="6519" spans="1:11" x14ac:dyDescent="0.2">
      <c r="A6519" s="1" t="s">
        <v>1461</v>
      </c>
      <c r="B6519" s="1" t="s">
        <v>1462</v>
      </c>
      <c r="C6519" s="1" t="str">
        <f>"53004J110000"</f>
        <v>53004J110000</v>
      </c>
      <c r="D6519" s="1" t="str">
        <f>"53004J110000"</f>
        <v>53004J110000</v>
      </c>
      <c r="E6519" s="1" t="s">
        <v>4566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</row>
    <row r="6520" spans="1:11" x14ac:dyDescent="0.2">
      <c r="A6520" s="1" t="s">
        <v>98</v>
      </c>
      <c r="B6520" s="1" t="s">
        <v>1463</v>
      </c>
      <c r="C6520" s="1" t="str">
        <f>"66298843575103"</f>
        <v>66298843575103</v>
      </c>
      <c r="D6520" s="1" t="str">
        <f>"JC057-VERDE"</f>
        <v>JC057-VERDE</v>
      </c>
      <c r="E6520" s="1" t="s">
        <v>4566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</row>
    <row r="6521" spans="1:11" x14ac:dyDescent="0.2">
      <c r="A6521" s="1" t="s">
        <v>98</v>
      </c>
      <c r="B6521" s="1" t="s">
        <v>1464</v>
      </c>
      <c r="C6521" s="1" t="str">
        <f>"66298843618173"</f>
        <v>66298843618173</v>
      </c>
      <c r="D6521" s="1" t="str">
        <f>"400795"</f>
        <v>400795</v>
      </c>
      <c r="E6521" s="1" t="s">
        <v>4566</v>
      </c>
      <c r="F6521" s="1">
        <v>429</v>
      </c>
      <c r="G6521" s="1">
        <v>1029</v>
      </c>
      <c r="H6521" s="1">
        <v>441441</v>
      </c>
      <c r="I6521" s="1">
        <v>0</v>
      </c>
      <c r="J6521" s="1">
        <v>429</v>
      </c>
      <c r="K6521" s="1">
        <v>0</v>
      </c>
    </row>
    <row r="6522" spans="1:11" x14ac:dyDescent="0.2">
      <c r="A6522" s="1" t="s">
        <v>1465</v>
      </c>
      <c r="B6522" s="1" t="s">
        <v>1466</v>
      </c>
      <c r="C6522" s="1" t="str">
        <f>"H104"</f>
        <v>H104</v>
      </c>
      <c r="D6522" s="1" t="str">
        <f>"H104"</f>
        <v>H104</v>
      </c>
      <c r="E6522" s="1" t="s">
        <v>4566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</row>
    <row r="6523" spans="1:11" x14ac:dyDescent="0.2">
      <c r="A6523" s="1" t="s">
        <v>102</v>
      </c>
      <c r="B6523" s="1" t="s">
        <v>1467</v>
      </c>
      <c r="C6523" s="1" t="str">
        <f>"66298843659694"</f>
        <v>66298843659694</v>
      </c>
      <c r="D6523" s="1" t="str">
        <f>"H010"</f>
        <v>H010</v>
      </c>
      <c r="E6523" s="1" t="s">
        <v>4566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</row>
    <row r="6524" spans="1:11" x14ac:dyDescent="0.2">
      <c r="A6524" s="1" t="s">
        <v>1468</v>
      </c>
      <c r="B6524" s="1" t="s">
        <v>1469</v>
      </c>
      <c r="C6524" s="1" t="str">
        <f>"66298843699745"</f>
        <v>66298843699745</v>
      </c>
      <c r="D6524" s="1" t="str">
        <f>"537-16321-00"</f>
        <v>537-16321-00</v>
      </c>
      <c r="E6524" s="1" t="s">
        <v>4566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</row>
    <row r="6525" spans="1:11" x14ac:dyDescent="0.2">
      <c r="A6525" s="1" t="s">
        <v>1468</v>
      </c>
      <c r="B6525" s="1" t="s">
        <v>1470</v>
      </c>
      <c r="C6525" s="1" t="str">
        <f>"66298843739955"</f>
        <v>66298843739955</v>
      </c>
      <c r="D6525" s="1" t="str">
        <f>"22201-KWS-901JP"</f>
        <v>22201-KWS-901JP</v>
      </c>
      <c r="E6525" s="1" t="s">
        <v>4566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</row>
    <row r="6526" spans="1:11" x14ac:dyDescent="0.2">
      <c r="A6526" s="1" t="s">
        <v>1468</v>
      </c>
      <c r="B6526" s="1" t="s">
        <v>1471</v>
      </c>
      <c r="C6526" s="1" t="str">
        <f>"22201-KPM-850JP"</f>
        <v>22201-KPM-850JP</v>
      </c>
      <c r="D6526" s="1" t="str">
        <f>"22201-KPM-850JP"</f>
        <v>22201-KPM-850JP</v>
      </c>
      <c r="E6526" s="1" t="s">
        <v>4566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</row>
    <row r="6527" spans="1:11" x14ac:dyDescent="0.2">
      <c r="A6527" s="1" t="s">
        <v>1468</v>
      </c>
      <c r="B6527" s="1" t="s">
        <v>1472</v>
      </c>
      <c r="C6527" s="1" t="str">
        <f>"66298843781215"</f>
        <v>66298843781215</v>
      </c>
      <c r="D6527" s="1" t="str">
        <f>"21V-16321-00JP"</f>
        <v>21V-16321-00JP</v>
      </c>
      <c r="E6527" s="1" t="s">
        <v>4566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</row>
    <row r="6528" spans="1:11" x14ac:dyDescent="0.2">
      <c r="A6528" s="1" t="s">
        <v>1468</v>
      </c>
      <c r="B6528" s="1" t="s">
        <v>1473</v>
      </c>
      <c r="C6528" s="1" t="str">
        <f>"66298843822934"</f>
        <v>66298843822934</v>
      </c>
      <c r="D6528" s="1" t="str">
        <f>"21C-E6321-00"</f>
        <v>21C-E6321-00</v>
      </c>
      <c r="E6528" s="1" t="s">
        <v>4566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</row>
    <row r="6529" spans="1:11" x14ac:dyDescent="0.2">
      <c r="A6529" s="1" t="s">
        <v>1468</v>
      </c>
      <c r="B6529" s="1" t="s">
        <v>1474</v>
      </c>
      <c r="C6529" s="1" t="str">
        <f>"66298843874765"</f>
        <v>66298843874765</v>
      </c>
      <c r="D6529" s="1" t="str">
        <f>"CD001"</f>
        <v>CD001</v>
      </c>
      <c r="E6529" s="1" t="s">
        <v>4566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</row>
    <row r="6530" spans="1:11" x14ac:dyDescent="0.2">
      <c r="A6530" s="1" t="s">
        <v>1468</v>
      </c>
      <c r="B6530" s="1" t="s">
        <v>1475</v>
      </c>
      <c r="C6530" s="1" t="str">
        <f>"66298843916781"</f>
        <v>66298843916781</v>
      </c>
      <c r="D6530" s="1" t="str">
        <f>"21441-13A01JP"</f>
        <v>21441-13A01JP</v>
      </c>
      <c r="E6530" s="1" t="s">
        <v>4566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</row>
    <row r="6531" spans="1:11" x14ac:dyDescent="0.2">
      <c r="A6531" s="1" t="s">
        <v>1468</v>
      </c>
      <c r="B6531" s="1" t="s">
        <v>1476</v>
      </c>
      <c r="C6531" s="1" t="str">
        <f>"13088-040JP"</f>
        <v>13088-040JP</v>
      </c>
      <c r="D6531" s="1" t="str">
        <f>"13088-040JP"</f>
        <v>13088-040JP</v>
      </c>
      <c r="E6531" s="1" t="s">
        <v>4566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</row>
    <row r="6532" spans="1:11" x14ac:dyDescent="0.2">
      <c r="A6532" s="1" t="s">
        <v>1468</v>
      </c>
      <c r="B6532" s="1" t="s">
        <v>1477</v>
      </c>
      <c r="C6532" s="1" t="str">
        <f>"66298843960464"</f>
        <v>66298843960464</v>
      </c>
      <c r="D6532" s="1" t="str">
        <f>"DH-1014-99"</f>
        <v>DH-1014-99</v>
      </c>
      <c r="E6532" s="1" t="s">
        <v>4566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</row>
    <row r="6533" spans="1:11" x14ac:dyDescent="0.2">
      <c r="A6533" s="1" t="s">
        <v>1468</v>
      </c>
      <c r="B6533" s="1" t="s">
        <v>1478</v>
      </c>
      <c r="C6533" s="1" t="str">
        <f>"66298844002791"</f>
        <v>66298844002791</v>
      </c>
      <c r="D6533" s="1" t="str">
        <f>"22201-MAE-000"</f>
        <v>22201-MAE-000</v>
      </c>
      <c r="E6533" s="1" t="s">
        <v>4566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</row>
    <row r="6534" spans="1:11" x14ac:dyDescent="0.2">
      <c r="A6534" s="1" t="s">
        <v>1468</v>
      </c>
      <c r="B6534" s="1" t="s">
        <v>1479</v>
      </c>
      <c r="C6534" s="1" t="str">
        <f>"66298844055158"</f>
        <v>66298844055158</v>
      </c>
      <c r="D6534" s="1" t="str">
        <f>"22201-302-000"</f>
        <v>22201-302-000</v>
      </c>
      <c r="E6534" s="1" t="s">
        <v>4566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</row>
    <row r="6535" spans="1:11" x14ac:dyDescent="0.2">
      <c r="A6535" s="1" t="s">
        <v>1480</v>
      </c>
      <c r="B6535" s="1" t="s">
        <v>1481</v>
      </c>
      <c r="C6535" s="1" t="str">
        <f>"66298844101542"</f>
        <v>66298844101542</v>
      </c>
      <c r="D6535" s="1" t="str">
        <f>"45121-LGB5-E80JP"</f>
        <v>45121-LGB5-E80JP</v>
      </c>
      <c r="E6535" s="1" t="s">
        <v>4566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</row>
    <row r="6536" spans="1:11" x14ac:dyDescent="0.2">
      <c r="A6536" s="1" t="s">
        <v>1480</v>
      </c>
      <c r="B6536" s="1" t="s">
        <v>1482</v>
      </c>
      <c r="C6536" s="1" t="str">
        <f>"66298844149237"</f>
        <v>66298844149237</v>
      </c>
      <c r="D6536" s="1" t="str">
        <f>"XN-12000-000JP"</f>
        <v>XN-12000-000JP</v>
      </c>
      <c r="E6536" s="1" t="s">
        <v>4566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</row>
    <row r="6537" spans="1:11" x14ac:dyDescent="0.2">
      <c r="A6537" s="1" t="s">
        <v>1480</v>
      </c>
      <c r="B6537" s="1" t="s">
        <v>1483</v>
      </c>
      <c r="C6537" s="1" t="str">
        <f>"66298844202134"</f>
        <v>66298844202134</v>
      </c>
      <c r="D6537" s="1" t="str">
        <f>"XM-12000-000"</f>
        <v>XM-12000-000</v>
      </c>
      <c r="E6537" s="1" t="s">
        <v>4566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</row>
    <row r="6538" spans="1:11" x14ac:dyDescent="0.2">
      <c r="A6538" s="1" t="s">
        <v>1480</v>
      </c>
      <c r="B6538" s="1" t="s">
        <v>1484</v>
      </c>
      <c r="C6538" s="1" t="str">
        <f>"66298844353852"</f>
        <v>66298844353852</v>
      </c>
      <c r="D6538" s="1" t="str">
        <f>"PP-12000-000JP"</f>
        <v>PP-12000-000JP</v>
      </c>
      <c r="E6538" s="1" t="s">
        <v>4566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</row>
    <row r="6539" spans="1:11" x14ac:dyDescent="0.2">
      <c r="A6539" s="1" t="s">
        <v>1480</v>
      </c>
      <c r="B6539" s="1" t="s">
        <v>1485</v>
      </c>
      <c r="C6539" s="1" t="str">
        <f>"2395"</f>
        <v>2395</v>
      </c>
      <c r="D6539" s="1" t="str">
        <f>"2395"</f>
        <v>2395</v>
      </c>
      <c r="E6539" s="1" t="s">
        <v>4566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</row>
    <row r="6540" spans="1:11" ht="30" x14ac:dyDescent="0.2">
      <c r="A6540" s="1" t="s">
        <v>1480</v>
      </c>
      <c r="B6540" s="1" t="s">
        <v>1486</v>
      </c>
      <c r="C6540" s="1" t="str">
        <f>"66298844535747"</f>
        <v>66298844535747</v>
      </c>
      <c r="D6540" s="1" t="str">
        <f>"JW-1318-06"</f>
        <v>JW-1318-06</v>
      </c>
      <c r="E6540" s="1" t="s">
        <v>4566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</row>
    <row r="6541" spans="1:11" x14ac:dyDescent="0.2">
      <c r="A6541" s="1" t="s">
        <v>1480</v>
      </c>
      <c r="B6541" s="1" t="s">
        <v>1487</v>
      </c>
      <c r="C6541" s="1" t="str">
        <f>"5S9-F582U-00JP"</f>
        <v>5S9-F582U-00JP</v>
      </c>
      <c r="D6541" s="1" t="str">
        <f>"5S9-F582U-00JP"</f>
        <v>5S9-F582U-00JP</v>
      </c>
      <c r="E6541" s="1" t="s">
        <v>4566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</row>
    <row r="6542" spans="1:11" ht="30" x14ac:dyDescent="0.2">
      <c r="A6542" s="1" t="s">
        <v>1480</v>
      </c>
      <c r="B6542" s="1" t="s">
        <v>1488</v>
      </c>
      <c r="C6542" s="1" t="str">
        <f>"NA047"</f>
        <v>NA047</v>
      </c>
      <c r="D6542" s="1" t="str">
        <f>"NA047"</f>
        <v>NA047</v>
      </c>
      <c r="E6542" s="1" t="s">
        <v>4566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</row>
    <row r="6543" spans="1:11" x14ac:dyDescent="0.2">
      <c r="A6543" s="1" t="s">
        <v>1480</v>
      </c>
      <c r="B6543" s="1" t="s">
        <v>1489</v>
      </c>
      <c r="C6543" s="1" t="str">
        <f>"66298844396713"</f>
        <v>66298844396713</v>
      </c>
      <c r="D6543" s="1" t="str">
        <f>"45251-K43-901JP"</f>
        <v>45251-K43-901JP</v>
      </c>
      <c r="E6543" s="1" t="s">
        <v>4566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</row>
    <row r="6544" spans="1:11" x14ac:dyDescent="0.2">
      <c r="A6544" s="1" t="s">
        <v>1480</v>
      </c>
      <c r="B6544" s="1" t="s">
        <v>1490</v>
      </c>
      <c r="C6544" s="1" t="str">
        <f>"2950"</f>
        <v>2950</v>
      </c>
      <c r="D6544" s="1" t="str">
        <f>"2950"</f>
        <v>2950</v>
      </c>
      <c r="E6544" s="1" t="s">
        <v>4566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</row>
    <row r="6545" spans="1:11" x14ac:dyDescent="0.2">
      <c r="A6545" s="1" t="s">
        <v>1480</v>
      </c>
      <c r="B6545" s="1" t="s">
        <v>1491</v>
      </c>
      <c r="C6545" s="1" t="str">
        <f>"66298844442947"</f>
        <v>66298844442947</v>
      </c>
      <c r="D6545" s="1" t="str">
        <f>"45251-K70-601JP"</f>
        <v>45251-K70-601JP</v>
      </c>
      <c r="E6545" s="1" t="s">
        <v>4566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</row>
    <row r="6546" spans="1:11" ht="30" x14ac:dyDescent="0.2">
      <c r="A6546" s="1" t="s">
        <v>1480</v>
      </c>
      <c r="B6546" s="1" t="s">
        <v>1492</v>
      </c>
      <c r="C6546" s="1" t="str">
        <f>"45251-KSP-861JP"</f>
        <v>45251-KSP-861JP</v>
      </c>
      <c r="D6546" s="1" t="str">
        <f>"45251-KSP-861JP"</f>
        <v>45251-KSP-861JP</v>
      </c>
      <c r="E6546" s="1" t="s">
        <v>4566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</row>
    <row r="6547" spans="1:11" x14ac:dyDescent="0.2">
      <c r="A6547" s="1" t="s">
        <v>1480</v>
      </c>
      <c r="B6547" s="1" t="s">
        <v>1493</v>
      </c>
      <c r="C6547" s="1" t="str">
        <f>"66298844486648"</f>
        <v>66298844486648</v>
      </c>
      <c r="D6547" s="1" t="str">
        <f>"45120-KYJ-711JP"</f>
        <v>45120-KYJ-711JP</v>
      </c>
      <c r="E6547" s="1" t="s">
        <v>4566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</row>
    <row r="6548" spans="1:11" x14ac:dyDescent="0.2">
      <c r="A6548" s="1" t="s">
        <v>1480</v>
      </c>
      <c r="B6548" s="1" t="s">
        <v>1494</v>
      </c>
      <c r="C6548" s="1" t="str">
        <f>"66298844581629"</f>
        <v>66298844581629</v>
      </c>
      <c r="D6548" s="1" t="str">
        <f>"59221-13A01JP"</f>
        <v>59221-13A01JP</v>
      </c>
      <c r="E6548" s="1" t="s">
        <v>4566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</row>
    <row r="6549" spans="1:11" x14ac:dyDescent="0.2">
      <c r="A6549" s="1" t="s">
        <v>1480</v>
      </c>
      <c r="B6549" s="1" t="s">
        <v>1495</v>
      </c>
      <c r="C6549" s="1" t="str">
        <f>"66298844624475"</f>
        <v>66298844624475</v>
      </c>
      <c r="D6549" s="1" t="str">
        <f>"59220-32E00JP"</f>
        <v>59220-32E00JP</v>
      </c>
      <c r="E6549" s="1" t="s">
        <v>4566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</row>
    <row r="6550" spans="1:11" x14ac:dyDescent="0.2">
      <c r="A6550" s="1" t="s">
        <v>1480</v>
      </c>
      <c r="B6550" s="1" t="s">
        <v>1496</v>
      </c>
      <c r="C6550" s="1" t="str">
        <f>"66298844662074"</f>
        <v>66298844662074</v>
      </c>
      <c r="D6550" s="1" t="str">
        <f>"B06080001"</f>
        <v>B06080001</v>
      </c>
      <c r="E6550" s="1" t="s">
        <v>4566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</row>
    <row r="6551" spans="1:11" x14ac:dyDescent="0.2">
      <c r="A6551" s="1" t="s">
        <v>1480</v>
      </c>
      <c r="B6551" s="1" t="s">
        <v>1497</v>
      </c>
      <c r="C6551" s="1" t="str">
        <f>"66298844700789"</f>
        <v>66298844700789</v>
      </c>
      <c r="D6551" s="1" t="str">
        <f>"90109060000"</f>
        <v>90109060000</v>
      </c>
      <c r="E6551" s="1" t="s">
        <v>4566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</row>
    <row r="6552" spans="1:11" x14ac:dyDescent="0.2">
      <c r="A6552" s="1" t="s">
        <v>1480</v>
      </c>
      <c r="B6552" s="1" t="s">
        <v>1498</v>
      </c>
      <c r="C6552" s="1" t="str">
        <f>"66298844742649"</f>
        <v>66298844742649</v>
      </c>
      <c r="D6552" s="1" t="str">
        <f>"NA002"</f>
        <v>NA002</v>
      </c>
      <c r="E6552" s="1" t="s">
        <v>4566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</row>
    <row r="6553" spans="1:11" x14ac:dyDescent="0.2">
      <c r="A6553" s="1" t="s">
        <v>1480</v>
      </c>
      <c r="B6553" s="1" t="s">
        <v>1499</v>
      </c>
      <c r="C6553" s="1" t="str">
        <f>"21C-F582U-00JP"</f>
        <v>21C-F582U-00JP</v>
      </c>
      <c r="D6553" s="1" t="str">
        <f>"21C-F582U-00JP"</f>
        <v>21C-F582U-00JP</v>
      </c>
      <c r="E6553" s="1" t="s">
        <v>4566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</row>
    <row r="6554" spans="1:11" x14ac:dyDescent="0.2">
      <c r="A6554" s="1" t="s">
        <v>1480</v>
      </c>
      <c r="B6554" s="1" t="s">
        <v>1500</v>
      </c>
      <c r="C6554" s="1" t="str">
        <f>"66298844782407"</f>
        <v>66298844782407</v>
      </c>
      <c r="D6554" s="1" t="str">
        <f>"400520"</f>
        <v>400520</v>
      </c>
      <c r="E6554" s="1" t="s">
        <v>4566</v>
      </c>
      <c r="F6554" s="1">
        <v>150</v>
      </c>
      <c r="G6554" s="1">
        <v>6656</v>
      </c>
      <c r="H6554" s="1">
        <v>998400</v>
      </c>
      <c r="I6554" s="1">
        <v>0</v>
      </c>
      <c r="J6554" s="1">
        <v>150</v>
      </c>
      <c r="K6554" s="1">
        <v>0</v>
      </c>
    </row>
    <row r="6555" spans="1:11" x14ac:dyDescent="0.2">
      <c r="A6555" s="1" t="s">
        <v>1480</v>
      </c>
      <c r="B6555" s="1" t="s">
        <v>1501</v>
      </c>
      <c r="C6555" s="1" t="str">
        <f>"66298844823320"</f>
        <v>66298844823320</v>
      </c>
      <c r="D6555" s="1" t="str">
        <f>"85023"</f>
        <v>85023</v>
      </c>
      <c r="E6555" s="1" t="s">
        <v>4566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</row>
    <row r="6556" spans="1:11" x14ac:dyDescent="0.2">
      <c r="A6556" s="1" t="s">
        <v>1480</v>
      </c>
      <c r="B6556" s="1" t="s">
        <v>1502</v>
      </c>
      <c r="C6556" s="1" t="str">
        <f>"B20501528O"</f>
        <v>B20501528O</v>
      </c>
      <c r="D6556" s="1" t="str">
        <f>"B20501528O"</f>
        <v>B20501528O</v>
      </c>
      <c r="E6556" s="1" t="s">
        <v>4566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</row>
    <row r="6557" spans="1:11" x14ac:dyDescent="0.2">
      <c r="A6557" s="1" t="s">
        <v>1480</v>
      </c>
      <c r="B6557" s="1" t="s">
        <v>1502</v>
      </c>
      <c r="C6557" s="1" t="str">
        <f>"12187"</f>
        <v>12187</v>
      </c>
      <c r="D6557" s="1" t="str">
        <f>"12187"</f>
        <v>12187</v>
      </c>
      <c r="E6557" s="1" t="s">
        <v>4566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</row>
    <row r="6558" spans="1:11" x14ac:dyDescent="0.2">
      <c r="A6558" s="1" t="s">
        <v>1480</v>
      </c>
      <c r="B6558" s="1" t="s">
        <v>1503</v>
      </c>
      <c r="C6558" s="1" t="str">
        <f>"59211-34J20-000"</f>
        <v>59211-34J20-000</v>
      </c>
      <c r="D6558" s="1" t="str">
        <f>"59211-34J20-000"</f>
        <v>59211-34J20-000</v>
      </c>
      <c r="E6558" s="1" t="s">
        <v>4566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</row>
    <row r="6559" spans="1:11" x14ac:dyDescent="0.2">
      <c r="A6559" s="1" t="s">
        <v>1480</v>
      </c>
      <c r="B6559" s="1" t="s">
        <v>1504</v>
      </c>
      <c r="C6559" s="1" t="str">
        <f>"66298844865149"</f>
        <v>66298844865149</v>
      </c>
      <c r="D6559" s="1" t="str">
        <f>"NA003"</f>
        <v>NA003</v>
      </c>
      <c r="E6559" s="1" t="s">
        <v>4566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</row>
    <row r="6560" spans="1:11" x14ac:dyDescent="0.2">
      <c r="A6560" s="1" t="s">
        <v>1480</v>
      </c>
      <c r="B6560" s="1" t="s">
        <v>1505</v>
      </c>
      <c r="C6560" s="1" t="str">
        <f>"66298844909234"</f>
        <v>66298844909234</v>
      </c>
      <c r="D6560" s="1" t="str">
        <f>"59211-05500JP"</f>
        <v>59211-05500JP</v>
      </c>
      <c r="E6560" s="1" t="s">
        <v>4566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</row>
    <row r="6561" spans="1:11" x14ac:dyDescent="0.2">
      <c r="A6561" s="1" t="s">
        <v>1480</v>
      </c>
      <c r="B6561" s="1" t="s">
        <v>1505</v>
      </c>
      <c r="C6561" s="1" t="str">
        <f>"66298844914847"</f>
        <v>66298844914847</v>
      </c>
      <c r="D6561" s="1" t="str">
        <f>"EVO-12000-000JP"</f>
        <v>EVO-12000-000JP</v>
      </c>
      <c r="E6561" s="1" t="s">
        <v>4566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</row>
    <row r="6562" spans="1:11" ht="30" x14ac:dyDescent="0.2">
      <c r="A6562" s="1" t="s">
        <v>1480</v>
      </c>
      <c r="B6562" s="1" t="s">
        <v>1506</v>
      </c>
      <c r="C6562" s="1" t="str">
        <f>"66298844968472"</f>
        <v>66298844968472</v>
      </c>
      <c r="D6562" s="1" t="str">
        <f>"400523"</f>
        <v>400523</v>
      </c>
      <c r="E6562" s="1" t="s">
        <v>4566</v>
      </c>
      <c r="F6562" s="1">
        <v>272</v>
      </c>
      <c r="G6562" s="1">
        <v>4585</v>
      </c>
      <c r="H6562" s="1">
        <v>1247120</v>
      </c>
      <c r="I6562" s="1">
        <v>0</v>
      </c>
      <c r="J6562" s="1">
        <v>272</v>
      </c>
      <c r="K6562" s="1">
        <v>0</v>
      </c>
    </row>
    <row r="6563" spans="1:11" x14ac:dyDescent="0.2">
      <c r="A6563" s="1" t="s">
        <v>1480</v>
      </c>
      <c r="B6563" s="1" t="s">
        <v>1507</v>
      </c>
      <c r="C6563" s="1" t="str">
        <f>"66298845007697"</f>
        <v>66298845007697</v>
      </c>
      <c r="D6563" s="1" t="str">
        <f>"400554"</f>
        <v>400554</v>
      </c>
      <c r="E6563" s="1" t="s">
        <v>4566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</row>
    <row r="6564" spans="1:11" x14ac:dyDescent="0.2">
      <c r="A6564" s="1" t="s">
        <v>1480</v>
      </c>
      <c r="B6564" s="1" t="s">
        <v>1508</v>
      </c>
      <c r="C6564" s="1" t="str">
        <f>"66298845049938"</f>
        <v>66298845049938</v>
      </c>
      <c r="D6564" s="1" t="str">
        <f>"E200"</f>
        <v>E200</v>
      </c>
      <c r="E6564" s="1" t="s">
        <v>4566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</row>
    <row r="6565" spans="1:11" x14ac:dyDescent="0.2">
      <c r="A6565" s="1" t="s">
        <v>1480</v>
      </c>
      <c r="B6565" s="1" t="s">
        <v>1509</v>
      </c>
      <c r="C6565" s="1" t="str">
        <f>"66298845091496"</f>
        <v>66298845091496</v>
      </c>
      <c r="D6565" s="1" t="str">
        <f>"NE-12000-000JP"</f>
        <v>NE-12000-000JP</v>
      </c>
      <c r="E6565" s="1" t="s">
        <v>4566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</row>
    <row r="6566" spans="1:11" x14ac:dyDescent="0.2">
      <c r="A6566" s="1" t="s">
        <v>1480</v>
      </c>
      <c r="B6566" s="1" t="s">
        <v>1510</v>
      </c>
      <c r="C6566" s="1" t="str">
        <f>"59211H2C000H504"</f>
        <v>59211H2C000H504</v>
      </c>
      <c r="D6566" s="1" t="str">
        <f>"59211H2C000H504"</f>
        <v>59211H2C000H504</v>
      </c>
      <c r="E6566" s="1" t="s">
        <v>4566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</row>
    <row r="6567" spans="1:11" x14ac:dyDescent="0.2">
      <c r="A6567" s="1" t="s">
        <v>1480</v>
      </c>
      <c r="B6567" s="1" t="s">
        <v>1511</v>
      </c>
      <c r="C6567" s="1" t="str">
        <f>"66298844312197"</f>
        <v>66298844312197</v>
      </c>
      <c r="D6567" s="1" t="str">
        <f>"291420165-0001JP"</f>
        <v>291420165-0001JP</v>
      </c>
      <c r="E6567" s="1" t="s">
        <v>4566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</row>
    <row r="6568" spans="1:11" x14ac:dyDescent="0.2">
      <c r="A6568" s="1" t="s">
        <v>1480</v>
      </c>
      <c r="B6568" s="1" t="s">
        <v>1512</v>
      </c>
      <c r="C6568" s="1" t="str">
        <f>"66298844266518"</f>
        <v>66298844266518</v>
      </c>
      <c r="D6568" s="1" t="str">
        <f>"SM-12000-000"</f>
        <v>SM-12000-000</v>
      </c>
      <c r="E6568" s="1" t="s">
        <v>4566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</row>
    <row r="6569" spans="1:11" ht="30" x14ac:dyDescent="0.2">
      <c r="A6569" s="1" t="s">
        <v>1480</v>
      </c>
      <c r="B6569" s="1" t="s">
        <v>1513</v>
      </c>
      <c r="C6569" s="1" t="str">
        <f>"66298845395898"</f>
        <v>66298845395898</v>
      </c>
      <c r="D6569" s="1" t="str">
        <f>"N9111890"</f>
        <v>N9111890</v>
      </c>
      <c r="E6569" s="1" t="s">
        <v>4566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</row>
    <row r="6570" spans="1:11" x14ac:dyDescent="0.2">
      <c r="A6570" s="1" t="s">
        <v>1480</v>
      </c>
      <c r="B6570" s="1" t="s">
        <v>1514</v>
      </c>
      <c r="C6570" s="1" t="str">
        <f>"66298845127841"</f>
        <v>66298845127841</v>
      </c>
      <c r="D6570" s="1" t="str">
        <f>"45121-LBA8-C11JP"</f>
        <v>45121-LBA8-C11JP</v>
      </c>
      <c r="E6570" s="1" t="s">
        <v>4566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</row>
    <row r="6571" spans="1:11" x14ac:dyDescent="0.2">
      <c r="A6571" s="1" t="s">
        <v>1480</v>
      </c>
      <c r="B6571" s="1" t="s">
        <v>1515</v>
      </c>
      <c r="C6571" s="1" t="str">
        <f>"66298845165438"</f>
        <v>66298845165438</v>
      </c>
      <c r="D6571" s="1" t="str">
        <f>"41080-0578-11H"</f>
        <v>41080-0578-11H</v>
      </c>
      <c r="E6571" s="1" t="s">
        <v>4566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</row>
    <row r="6572" spans="1:11" ht="30" x14ac:dyDescent="0.2">
      <c r="A6572" s="1" t="s">
        <v>1480</v>
      </c>
      <c r="B6572" s="1" t="s">
        <v>1516</v>
      </c>
      <c r="C6572" s="1" t="str">
        <f>"66298845210181"</f>
        <v>66298845210181</v>
      </c>
      <c r="D6572" s="1" t="str">
        <f>"400517"</f>
        <v>400517</v>
      </c>
      <c r="E6572" s="1" t="s">
        <v>4566</v>
      </c>
      <c r="F6572" s="1">
        <v>194</v>
      </c>
      <c r="G6572" s="1">
        <v>5354</v>
      </c>
      <c r="H6572" s="1">
        <v>1038676</v>
      </c>
      <c r="I6572" s="1">
        <v>0</v>
      </c>
      <c r="J6572" s="1">
        <v>194</v>
      </c>
      <c r="K6572" s="1">
        <v>0</v>
      </c>
    </row>
    <row r="6573" spans="1:11" x14ac:dyDescent="0.2">
      <c r="A6573" s="1" t="s">
        <v>1480</v>
      </c>
      <c r="B6573" s="1" t="s">
        <v>1517</v>
      </c>
      <c r="C6573" s="1" t="str">
        <f>"66298845251643"</f>
        <v>66298845251643</v>
      </c>
      <c r="D6573" s="1" t="str">
        <f>"NA007"</f>
        <v>NA007</v>
      </c>
      <c r="E6573" s="1" t="s">
        <v>4566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</row>
    <row r="6574" spans="1:11" ht="30" x14ac:dyDescent="0.2">
      <c r="A6574" s="1" t="s">
        <v>1480</v>
      </c>
      <c r="B6574" s="1" t="s">
        <v>1518</v>
      </c>
      <c r="C6574" s="1" t="str">
        <f>"JD-1318-10"</f>
        <v>JD-1318-10</v>
      </c>
      <c r="D6574" s="1" t="str">
        <f>"JD-1318-10"</f>
        <v>JD-1318-10</v>
      </c>
      <c r="E6574" s="1" t="s">
        <v>4566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</row>
    <row r="6575" spans="1:11" x14ac:dyDescent="0.2">
      <c r="A6575" s="1" t="s">
        <v>1480</v>
      </c>
      <c r="B6575" s="1" t="s">
        <v>1519</v>
      </c>
      <c r="C6575" s="1" t="str">
        <f>"12666"</f>
        <v>12666</v>
      </c>
      <c r="D6575" s="1" t="str">
        <f>"12666"</f>
        <v>12666</v>
      </c>
      <c r="E6575" s="1" t="s">
        <v>4566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</row>
    <row r="6576" spans="1:11" x14ac:dyDescent="0.2">
      <c r="A6576" s="1" t="s">
        <v>1480</v>
      </c>
      <c r="B6576" s="1" t="s">
        <v>1520</v>
      </c>
      <c r="C6576" s="1" t="str">
        <f>"66298845295132"</f>
        <v>66298845295132</v>
      </c>
      <c r="D6576" s="1" t="str">
        <f>"DK-1510-27"</f>
        <v>DK-1510-27</v>
      </c>
      <c r="E6576" s="1" t="s">
        <v>4566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</row>
    <row r="6577" spans="1:11" x14ac:dyDescent="0.2">
      <c r="A6577" s="1" t="s">
        <v>1480</v>
      </c>
      <c r="B6577" s="1" t="s">
        <v>1521</v>
      </c>
      <c r="C6577" s="1" t="str">
        <f>"2551"</f>
        <v>2551</v>
      </c>
      <c r="D6577" s="1" t="str">
        <f>"2551"</f>
        <v>2551</v>
      </c>
      <c r="E6577" s="1" t="s">
        <v>4566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</row>
    <row r="6578" spans="1:11" x14ac:dyDescent="0.2">
      <c r="A6578" s="1" t="s">
        <v>1480</v>
      </c>
      <c r="B6578" s="1" t="s">
        <v>1522</v>
      </c>
      <c r="C6578" s="1" t="str">
        <f>"66298845345066"</f>
        <v>66298845345066</v>
      </c>
      <c r="D6578" s="1" t="str">
        <f>"81788"</f>
        <v>81788</v>
      </c>
      <c r="E6578" s="1" t="s">
        <v>4566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</row>
    <row r="6579" spans="1:11" x14ac:dyDescent="0.2">
      <c r="A6579" s="1" t="s">
        <v>1480</v>
      </c>
      <c r="B6579" s="1" t="s">
        <v>1523</v>
      </c>
      <c r="C6579" s="1" t="str">
        <f>"66298845435664"</f>
        <v>66298845435664</v>
      </c>
      <c r="D6579" s="1" t="str">
        <f>"NA010"</f>
        <v>NA010</v>
      </c>
      <c r="E6579" s="1" t="s">
        <v>4566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</row>
    <row r="6580" spans="1:11" x14ac:dyDescent="0.2">
      <c r="A6580" s="1" t="s">
        <v>1480</v>
      </c>
      <c r="B6580" s="1" t="s">
        <v>1524</v>
      </c>
      <c r="C6580" s="1" t="str">
        <f>"59221-33GB0-000"</f>
        <v>59221-33GB0-000</v>
      </c>
      <c r="D6580" s="1" t="str">
        <f>"59221-33GB0-000"</f>
        <v>59221-33GB0-000</v>
      </c>
      <c r="E6580" s="1" t="s">
        <v>4566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</row>
    <row r="6581" spans="1:11" x14ac:dyDescent="0.2">
      <c r="A6581" s="1" t="s">
        <v>1480</v>
      </c>
      <c r="B6581" s="1" t="s">
        <v>1525</v>
      </c>
      <c r="C6581" s="1" t="str">
        <f>"59211-05350-000"</f>
        <v>59211-05350-000</v>
      </c>
      <c r="D6581" s="1" t="str">
        <f>"59211-05350-000"</f>
        <v>59211-05350-000</v>
      </c>
      <c r="E6581" s="1" t="s">
        <v>4566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</row>
    <row r="6582" spans="1:11" x14ac:dyDescent="0.2">
      <c r="A6582" s="1" t="s">
        <v>1480</v>
      </c>
      <c r="B6582" s="1" t="s">
        <v>1526</v>
      </c>
      <c r="C6582" s="1" t="str">
        <f>"NA017"</f>
        <v>NA017</v>
      </c>
      <c r="D6582" s="1" t="str">
        <f>"NA017"</f>
        <v>NA017</v>
      </c>
      <c r="E6582" s="1" t="s">
        <v>4566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</row>
    <row r="6583" spans="1:11" x14ac:dyDescent="0.2">
      <c r="A6583" s="1" t="s">
        <v>1480</v>
      </c>
      <c r="B6583" s="1" t="s">
        <v>1527</v>
      </c>
      <c r="C6583" s="1" t="str">
        <f>"45351-KPE-900JP"</f>
        <v>45351-KPE-900JP</v>
      </c>
      <c r="D6583" s="1" t="str">
        <f>"45351-KPE-900JP"</f>
        <v>45351-KPE-900JP</v>
      </c>
      <c r="E6583" s="1" t="s">
        <v>4566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</row>
    <row r="6584" spans="1:11" x14ac:dyDescent="0.2">
      <c r="A6584" s="1" t="s">
        <v>1480</v>
      </c>
      <c r="B6584" s="1" t="s">
        <v>1528</v>
      </c>
      <c r="C6584" s="1" t="str">
        <f>"45351-KWT-900JP"</f>
        <v>45351-KWT-900JP</v>
      </c>
      <c r="D6584" s="1" t="str">
        <f>"45351-KWT-900JP"</f>
        <v>45351-KWT-900JP</v>
      </c>
      <c r="E6584" s="1" t="s">
        <v>4566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</row>
    <row r="6585" spans="1:11" x14ac:dyDescent="0.2">
      <c r="A6585" s="1" t="s">
        <v>1480</v>
      </c>
      <c r="B6585" s="1" t="s">
        <v>1529</v>
      </c>
      <c r="C6585" s="1" t="str">
        <f>"NA014"</f>
        <v>NA014</v>
      </c>
      <c r="D6585" s="1" t="str">
        <f>"NA014"</f>
        <v>NA014</v>
      </c>
      <c r="E6585" s="1" t="s">
        <v>4566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</row>
    <row r="6586" spans="1:11" x14ac:dyDescent="0.2">
      <c r="A6586" s="1" t="s">
        <v>1480</v>
      </c>
      <c r="B6586" s="1" t="s">
        <v>1530</v>
      </c>
      <c r="C6586" s="1" t="str">
        <f>"4B4-F582T-01"</f>
        <v>4B4-F582T-01</v>
      </c>
      <c r="D6586" s="1" t="str">
        <f>"4B4-F582T-01"</f>
        <v>4B4-F582T-01</v>
      </c>
      <c r="E6586" s="1" t="s">
        <v>4566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</row>
    <row r="6587" spans="1:11" x14ac:dyDescent="0.2">
      <c r="A6587" s="1" t="s">
        <v>1480</v>
      </c>
      <c r="B6587" s="1" t="s">
        <v>1531</v>
      </c>
      <c r="C6587" s="1" t="str">
        <f>"66298845594731"</f>
        <v>66298845594731</v>
      </c>
      <c r="D6587" s="1" t="str">
        <f>"400526"</f>
        <v>400526</v>
      </c>
      <c r="E6587" s="1" t="s">
        <v>4566</v>
      </c>
      <c r="F6587" s="1">
        <v>145</v>
      </c>
      <c r="G6587" s="1">
        <v>6334</v>
      </c>
      <c r="H6587" s="1">
        <v>918430</v>
      </c>
      <c r="I6587" s="1">
        <v>0</v>
      </c>
      <c r="J6587" s="1">
        <v>145</v>
      </c>
      <c r="K6587" s="1">
        <v>0</v>
      </c>
    </row>
    <row r="6588" spans="1:11" x14ac:dyDescent="0.2">
      <c r="A6588" s="1" t="s">
        <v>1480</v>
      </c>
      <c r="B6588" s="1" t="s">
        <v>1532</v>
      </c>
      <c r="C6588" s="1" t="str">
        <f>"66298845557887"</f>
        <v>66298845557887</v>
      </c>
      <c r="D6588" s="1" t="str">
        <f>"5YY-F582U-00JP"</f>
        <v>5YY-F582U-00JP</v>
      </c>
      <c r="E6588" s="1" t="s">
        <v>4566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</row>
    <row r="6589" spans="1:11" x14ac:dyDescent="0.2">
      <c r="A6589" s="1" t="s">
        <v>1480</v>
      </c>
      <c r="B6589" s="1" t="s">
        <v>1533</v>
      </c>
      <c r="C6589" s="1" t="str">
        <f>"66298845674502"</f>
        <v>66298845674502</v>
      </c>
      <c r="D6589" s="1" t="str">
        <f>"400551"</f>
        <v>400551</v>
      </c>
      <c r="E6589" s="1" t="s">
        <v>4566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</row>
    <row r="6590" spans="1:11" x14ac:dyDescent="0.2">
      <c r="A6590" s="1" t="s">
        <v>1480</v>
      </c>
      <c r="B6590" s="1" t="s">
        <v>1534</v>
      </c>
      <c r="C6590" s="1" t="str">
        <f>"66298845633385"</f>
        <v>66298845633385</v>
      </c>
      <c r="D6590" s="1" t="str">
        <f>"5SU-F582T-00JP"</f>
        <v>5SU-F582T-00JP</v>
      </c>
      <c r="E6590" s="1" t="s">
        <v>4566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</row>
    <row r="6591" spans="1:11" x14ac:dyDescent="0.2">
      <c r="A6591" s="1" t="s">
        <v>1480</v>
      </c>
      <c r="B6591" s="1" t="s">
        <v>1535</v>
      </c>
      <c r="C6591" s="1" t="str">
        <f>"66298845713836"</f>
        <v>66298845713836</v>
      </c>
      <c r="D6591" s="1" t="str">
        <f>"400563"</f>
        <v>400563</v>
      </c>
      <c r="E6591" s="1" t="s">
        <v>4566</v>
      </c>
      <c r="F6591" s="1">
        <v>8</v>
      </c>
      <c r="G6591" s="1">
        <v>6466</v>
      </c>
      <c r="H6591" s="1">
        <v>51728</v>
      </c>
      <c r="I6591" s="1">
        <v>0</v>
      </c>
      <c r="J6591" s="1">
        <v>8</v>
      </c>
      <c r="K6591" s="1">
        <v>0</v>
      </c>
    </row>
    <row r="6592" spans="1:11" x14ac:dyDescent="0.2">
      <c r="A6592" s="1" t="s">
        <v>1480</v>
      </c>
      <c r="B6592" s="1" t="s">
        <v>1536</v>
      </c>
      <c r="C6592" s="1" t="str">
        <f>"66298845756596"</f>
        <v>66298845756596</v>
      </c>
      <c r="D6592" s="1" t="str">
        <f>"46P-F582T-00"</f>
        <v>46P-F582T-00</v>
      </c>
      <c r="E6592" s="1" t="s">
        <v>4566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</row>
    <row r="6593" spans="1:11" x14ac:dyDescent="0.2">
      <c r="A6593" s="1" t="s">
        <v>1480</v>
      </c>
      <c r="B6593" s="1" t="s">
        <v>1537</v>
      </c>
      <c r="C6593" s="1" t="str">
        <f>"66298845799524"</f>
        <v>66298845799524</v>
      </c>
      <c r="D6593" s="1" t="str">
        <f>"41080-0597-11HJP"</f>
        <v>41080-0597-11HJP</v>
      </c>
      <c r="E6593" s="1" t="s">
        <v>4566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</row>
    <row r="6594" spans="1:11" x14ac:dyDescent="0.2">
      <c r="A6594" s="1" t="s">
        <v>1480</v>
      </c>
      <c r="B6594" s="1" t="s">
        <v>1538</v>
      </c>
      <c r="C6594" s="1" t="str">
        <f>"66298845847580"</f>
        <v>66298845847580</v>
      </c>
      <c r="D6594" s="1" t="str">
        <f>"XM-12001-000"</f>
        <v>XM-12001-000</v>
      </c>
      <c r="E6594" s="1" t="s">
        <v>4566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</row>
    <row r="6595" spans="1:11" x14ac:dyDescent="0.2">
      <c r="A6595" s="1" t="s">
        <v>1480</v>
      </c>
      <c r="B6595" s="1" t="s">
        <v>1539</v>
      </c>
      <c r="C6595" s="1" t="str">
        <f>"43251-K70-601JP"</f>
        <v>43251-K70-601JP</v>
      </c>
      <c r="D6595" s="1" t="str">
        <f>"43251-K70-601JP"</f>
        <v>43251-K70-601JP</v>
      </c>
      <c r="E6595" s="1" t="s">
        <v>4566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</row>
    <row r="6596" spans="1:11" x14ac:dyDescent="0.2">
      <c r="A6596" s="1" t="s">
        <v>1480</v>
      </c>
      <c r="B6596" s="1" t="s">
        <v>1540</v>
      </c>
      <c r="C6596" s="1" t="str">
        <f>"NA020"</f>
        <v>NA020</v>
      </c>
      <c r="D6596" s="1" t="str">
        <f>"NA020"</f>
        <v>NA020</v>
      </c>
      <c r="E6596" s="1" t="s">
        <v>4566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</row>
    <row r="6597" spans="1:11" x14ac:dyDescent="0.2">
      <c r="A6597" s="1" t="s">
        <v>1480</v>
      </c>
      <c r="B6597" s="1" t="s">
        <v>1541</v>
      </c>
      <c r="C6597" s="1" t="str">
        <f>"66298845887800"</f>
        <v>66298845887800</v>
      </c>
      <c r="D6597" s="1" t="str">
        <f>"400519"</f>
        <v>400519</v>
      </c>
      <c r="E6597" s="1" t="s">
        <v>4566</v>
      </c>
      <c r="F6597" s="1">
        <v>269</v>
      </c>
      <c r="G6597" s="1">
        <v>4598</v>
      </c>
      <c r="H6597" s="1">
        <v>1236862</v>
      </c>
      <c r="I6597" s="1">
        <v>0</v>
      </c>
      <c r="J6597" s="1">
        <v>269</v>
      </c>
      <c r="K6597" s="1">
        <v>0</v>
      </c>
    </row>
    <row r="6598" spans="1:11" x14ac:dyDescent="0.2">
      <c r="A6598" s="1" t="s">
        <v>1480</v>
      </c>
      <c r="B6598" s="1" t="s">
        <v>1542</v>
      </c>
      <c r="C6598" s="1" t="str">
        <f>"43251-KSP-B01ZA"</f>
        <v>43251-KSP-B01ZA</v>
      </c>
      <c r="D6598" s="1" t="str">
        <f>"43251-KSP-B01ZA"</f>
        <v>43251-KSP-B01ZA</v>
      </c>
      <c r="E6598" s="1" t="s">
        <v>4566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</row>
    <row r="6599" spans="1:11" x14ac:dyDescent="0.2">
      <c r="A6599" s="1" t="s">
        <v>1480</v>
      </c>
      <c r="B6599" s="1" t="s">
        <v>1543</v>
      </c>
      <c r="C6599" s="1" t="str">
        <f>"69211-32E01JP"</f>
        <v>69211-32E01JP</v>
      </c>
      <c r="D6599" s="1" t="str">
        <f>"69211-32E01JP"</f>
        <v>69211-32E01JP</v>
      </c>
      <c r="E6599" s="1" t="s">
        <v>4566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</row>
    <row r="6600" spans="1:11" x14ac:dyDescent="0.2">
      <c r="A6600" s="1" t="s">
        <v>1480</v>
      </c>
      <c r="B6600" s="1" t="s">
        <v>1544</v>
      </c>
      <c r="C6600" s="1" t="str">
        <f>"66298845925952"</f>
        <v>66298845925952</v>
      </c>
      <c r="D6600" s="1" t="str">
        <f>"90110060000"</f>
        <v>90110060000</v>
      </c>
      <c r="E6600" s="1" t="s">
        <v>4566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</row>
    <row r="6601" spans="1:11" x14ac:dyDescent="0.2">
      <c r="A6601" s="1" t="s">
        <v>1480</v>
      </c>
      <c r="B6601" s="1" t="s">
        <v>1545</v>
      </c>
      <c r="C6601" s="1" t="str">
        <f>"12188"</f>
        <v>12188</v>
      </c>
      <c r="D6601" s="1" t="str">
        <f>"12188"</f>
        <v>12188</v>
      </c>
      <c r="E6601" s="1" t="s">
        <v>4566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</row>
    <row r="6602" spans="1:11" x14ac:dyDescent="0.2">
      <c r="A6602" s="1" t="s">
        <v>1480</v>
      </c>
      <c r="B6602" s="1" t="s">
        <v>1546</v>
      </c>
      <c r="C6602" s="1" t="str">
        <f>"NA018"</f>
        <v>NA018</v>
      </c>
      <c r="D6602" s="1" t="str">
        <f>"NA018"</f>
        <v>NA018</v>
      </c>
      <c r="E6602" s="1" t="s">
        <v>4566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</row>
    <row r="6603" spans="1:11" x14ac:dyDescent="0.2">
      <c r="A6603" s="1" t="s">
        <v>1480</v>
      </c>
      <c r="B6603" s="1" t="s">
        <v>1547</v>
      </c>
      <c r="C6603" s="1" t="str">
        <f>"JL131930"</f>
        <v>JL131930</v>
      </c>
      <c r="D6603" s="1" t="str">
        <f>"JL131930"</f>
        <v>JL131930</v>
      </c>
      <c r="E6603" s="1" t="s">
        <v>4566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</row>
    <row r="6604" spans="1:11" x14ac:dyDescent="0.2">
      <c r="A6604" s="1" t="s">
        <v>1480</v>
      </c>
      <c r="B6604" s="1" t="s">
        <v>1548</v>
      </c>
      <c r="C6604" s="1" t="str">
        <f>"12667"</f>
        <v>12667</v>
      </c>
      <c r="D6604" s="1" t="str">
        <f>"12667"</f>
        <v>12667</v>
      </c>
      <c r="E6604" s="1" t="s">
        <v>4566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</row>
    <row r="6605" spans="1:11" x14ac:dyDescent="0.2">
      <c r="A6605" s="1" t="s">
        <v>1480</v>
      </c>
      <c r="B6605" s="1" t="s">
        <v>1549</v>
      </c>
      <c r="C6605" s="1" t="str">
        <f>"DK-1510-24"</f>
        <v>DK-1510-24</v>
      </c>
      <c r="D6605" s="1" t="str">
        <f>"DK-1510-24"</f>
        <v>DK-1510-24</v>
      </c>
      <c r="E6605" s="1" t="s">
        <v>4566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</row>
    <row r="6606" spans="1:11" ht="30" x14ac:dyDescent="0.2">
      <c r="A6606" s="1" t="s">
        <v>1480</v>
      </c>
      <c r="B6606" s="1" t="s">
        <v>1550</v>
      </c>
      <c r="C6606" s="1" t="str">
        <f>"66298845967348"</f>
        <v>66298845967348</v>
      </c>
      <c r="D6606" s="1" t="str">
        <f>"NA011"</f>
        <v>NA011</v>
      </c>
      <c r="E6606" s="1" t="s">
        <v>4566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</row>
    <row r="6607" spans="1:11" x14ac:dyDescent="0.2">
      <c r="A6607" s="1" t="s">
        <v>1480</v>
      </c>
      <c r="B6607" s="1" t="s">
        <v>1551</v>
      </c>
      <c r="C6607" s="1" t="str">
        <f>"66298846012247"</f>
        <v>66298846012247</v>
      </c>
      <c r="D6607" s="1" t="str">
        <f>"43251-KWT-900JP"</f>
        <v>43251-KWT-900JP</v>
      </c>
      <c r="E6607" s="1" t="s">
        <v>4566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</row>
    <row r="6608" spans="1:11" x14ac:dyDescent="0.2">
      <c r="A6608" s="1" t="s">
        <v>1480</v>
      </c>
      <c r="B6608" s="1" t="s">
        <v>1552</v>
      </c>
      <c r="C6608" s="1" t="str">
        <f>"66298846052407"</f>
        <v>66298846052407</v>
      </c>
      <c r="D6608" s="1" t="str">
        <f>"400561"</f>
        <v>400561</v>
      </c>
      <c r="E6608" s="1" t="s">
        <v>4566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</row>
    <row r="6609" spans="1:11" x14ac:dyDescent="0.2">
      <c r="A6609" s="1" t="s">
        <v>1480</v>
      </c>
      <c r="B6609" s="1" t="s">
        <v>1553</v>
      </c>
      <c r="C6609" s="1" t="str">
        <f>"5XT-2582W-00JP"</f>
        <v>5XT-2582W-00JP</v>
      </c>
      <c r="D6609" s="1" t="str">
        <f>"5XT-2582W-00JP"</f>
        <v>5XT-2582W-00JP</v>
      </c>
      <c r="E6609" s="1" t="s">
        <v>4566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</row>
    <row r="6610" spans="1:11" x14ac:dyDescent="0.2">
      <c r="A6610" s="1" t="s">
        <v>1480</v>
      </c>
      <c r="B6610" s="1" t="s">
        <v>1554</v>
      </c>
      <c r="C6610" s="1" t="str">
        <f>"1WD-F582W-00"</f>
        <v>1WD-F582W-00</v>
      </c>
      <c r="D6610" s="1" t="str">
        <f>"1WD-F582W-00"</f>
        <v>1WD-F582W-00</v>
      </c>
      <c r="E6610" s="1" t="s">
        <v>4566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</row>
    <row r="6611" spans="1:11" x14ac:dyDescent="0.2">
      <c r="A6611" s="1" t="s">
        <v>1480</v>
      </c>
      <c r="B6611" s="1" t="s">
        <v>1554</v>
      </c>
      <c r="C6611" s="1" t="str">
        <f>"1WD-F582W-00JP"</f>
        <v>1WD-F582W-00JP</v>
      </c>
      <c r="D6611" s="1" t="str">
        <f>"1WD-F582W-00JP"</f>
        <v>1WD-F582W-00JP</v>
      </c>
      <c r="E6611" s="1" t="s">
        <v>4566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</row>
    <row r="6612" spans="1:11" x14ac:dyDescent="0.2">
      <c r="A6612" s="1" t="s">
        <v>1480</v>
      </c>
      <c r="B6612" s="1" t="s">
        <v>1555</v>
      </c>
      <c r="C6612" s="1" t="str">
        <f>"66298846096075"</f>
        <v>66298846096075</v>
      </c>
      <c r="D6612" s="1" t="str">
        <f>"41080-0598-11H"</f>
        <v>41080-0598-11H</v>
      </c>
      <c r="E6612" s="1" t="s">
        <v>4566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</row>
    <row r="6613" spans="1:11" ht="30" x14ac:dyDescent="0.2">
      <c r="A6613" s="1" t="s">
        <v>1468</v>
      </c>
      <c r="B6613" s="1" t="s">
        <v>1556</v>
      </c>
      <c r="C6613" s="1" t="str">
        <f>"66298846140657"</f>
        <v>66298846140657</v>
      </c>
      <c r="D6613" s="1" t="str">
        <f>"CD014"</f>
        <v>CD014</v>
      </c>
      <c r="E6613" s="1" t="s">
        <v>4566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</row>
    <row r="6614" spans="1:11" x14ac:dyDescent="0.2">
      <c r="A6614" s="1" t="s">
        <v>1468</v>
      </c>
      <c r="B6614" s="1" t="s">
        <v>1557</v>
      </c>
      <c r="C6614" s="1" t="str">
        <f>"66298846182767"</f>
        <v>66298846182767</v>
      </c>
      <c r="D6614" s="1" t="str">
        <f>"CD011"</f>
        <v>CD011</v>
      </c>
      <c r="E6614" s="1" t="s">
        <v>4566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</row>
    <row r="6615" spans="1:11" x14ac:dyDescent="0.2">
      <c r="A6615" s="1" t="s">
        <v>1468</v>
      </c>
      <c r="B6615" s="1" t="s">
        <v>1558</v>
      </c>
      <c r="C6615" s="1" t="str">
        <f>"CD004"</f>
        <v>CD004</v>
      </c>
      <c r="D6615" s="1" t="str">
        <f>"CD004"</f>
        <v>CD004</v>
      </c>
      <c r="E6615" s="1" t="s">
        <v>4566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</row>
    <row r="6616" spans="1:11" ht="30" x14ac:dyDescent="0.2">
      <c r="A6616" s="1" t="s">
        <v>1468</v>
      </c>
      <c r="B6616" s="1" t="s">
        <v>1559</v>
      </c>
      <c r="C6616" s="1" t="str">
        <f>"66298846225496"</f>
        <v>66298846225496</v>
      </c>
      <c r="D6616" s="1" t="str">
        <f>"400029"</f>
        <v>400029</v>
      </c>
      <c r="E6616" s="1" t="s">
        <v>4566</v>
      </c>
      <c r="F6616" s="1">
        <v>360</v>
      </c>
      <c r="G6616" s="1">
        <v>904</v>
      </c>
      <c r="H6616" s="1">
        <v>325440</v>
      </c>
      <c r="I6616" s="1">
        <v>0</v>
      </c>
      <c r="J6616" s="1">
        <v>360</v>
      </c>
      <c r="K6616" s="1">
        <v>0</v>
      </c>
    </row>
    <row r="6617" spans="1:11" ht="30" x14ac:dyDescent="0.2">
      <c r="A6617" s="1" t="s">
        <v>1468</v>
      </c>
      <c r="B6617" s="1" t="s">
        <v>1560</v>
      </c>
      <c r="C6617" s="1" t="str">
        <f>"66298846267226"</f>
        <v>66298846267226</v>
      </c>
      <c r="D6617" s="1" t="str">
        <f>"400030"</f>
        <v>400030</v>
      </c>
      <c r="E6617" s="1" t="s">
        <v>4566</v>
      </c>
      <c r="F6617" s="1">
        <v>220</v>
      </c>
      <c r="G6617" s="1">
        <v>1745</v>
      </c>
      <c r="H6617" s="1">
        <v>383900</v>
      </c>
      <c r="I6617" s="1">
        <v>0</v>
      </c>
      <c r="J6617" s="1">
        <v>220</v>
      </c>
      <c r="K6617" s="1">
        <v>0</v>
      </c>
    </row>
    <row r="6618" spans="1:11" x14ac:dyDescent="0.2">
      <c r="A6618" s="1" t="s">
        <v>1468</v>
      </c>
      <c r="B6618" s="1" t="s">
        <v>1561</v>
      </c>
      <c r="C6618" s="1" t="str">
        <f>"7747"</f>
        <v>7747</v>
      </c>
      <c r="D6618" s="1" t="str">
        <f>"7747"</f>
        <v>7747</v>
      </c>
      <c r="E6618" s="1" t="s">
        <v>4566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</row>
    <row r="6619" spans="1:11" x14ac:dyDescent="0.2">
      <c r="A6619" s="1" t="s">
        <v>1468</v>
      </c>
      <c r="B6619" s="1" t="s">
        <v>1562</v>
      </c>
      <c r="C6619" s="1" t="str">
        <f>"66298846311626"</f>
        <v>66298846311626</v>
      </c>
      <c r="D6619" s="1" t="str">
        <f>"80996"</f>
        <v>80996</v>
      </c>
      <c r="E6619" s="1" t="s">
        <v>4566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</row>
    <row r="6620" spans="1:11" x14ac:dyDescent="0.2">
      <c r="A6620" s="1" t="s">
        <v>1468</v>
      </c>
      <c r="B6620" s="1" t="s">
        <v>1562</v>
      </c>
      <c r="C6620" s="1" t="str">
        <f>"66298846318477"</f>
        <v>66298846318477</v>
      </c>
      <c r="D6620" s="1" t="str">
        <f>"DISCOS-GN"</f>
        <v>DISCOS-GN</v>
      </c>
      <c r="E6620" s="1" t="s">
        <v>4566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</row>
    <row r="6621" spans="1:11" ht="30" x14ac:dyDescent="0.2">
      <c r="A6621" s="1" t="s">
        <v>1468</v>
      </c>
      <c r="B6621" s="1" t="s">
        <v>1563</v>
      </c>
      <c r="C6621" s="1" t="str">
        <f>"66298846405251"</f>
        <v>66298846405251</v>
      </c>
      <c r="D6621" s="1" t="str">
        <f>"400031"</f>
        <v>400031</v>
      </c>
      <c r="E6621" s="1" t="s">
        <v>4566</v>
      </c>
      <c r="F6621" s="1">
        <v>280</v>
      </c>
      <c r="G6621" s="1">
        <v>966</v>
      </c>
      <c r="H6621" s="1">
        <v>270480</v>
      </c>
      <c r="I6621" s="1">
        <v>0</v>
      </c>
      <c r="J6621" s="1">
        <v>280</v>
      </c>
      <c r="K6621" s="1">
        <v>0</v>
      </c>
    </row>
    <row r="6622" spans="1:11" x14ac:dyDescent="0.2">
      <c r="A6622" s="1" t="s">
        <v>1468</v>
      </c>
      <c r="B6622" s="1" t="s">
        <v>1564</v>
      </c>
      <c r="C6622" s="1" t="str">
        <f>"CD005"</f>
        <v>CD005</v>
      </c>
      <c r="D6622" s="1" t="str">
        <f>"CD005"</f>
        <v>CD005</v>
      </c>
      <c r="E6622" s="1" t="s">
        <v>4566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</row>
    <row r="6623" spans="1:11" x14ac:dyDescent="0.2">
      <c r="A6623" s="1" t="s">
        <v>1468</v>
      </c>
      <c r="B6623" s="1" t="s">
        <v>1565</v>
      </c>
      <c r="C6623" s="1" t="str">
        <f>"66298846455109"</f>
        <v>66298846455109</v>
      </c>
      <c r="D6623" s="1" t="str">
        <f>"E110"</f>
        <v>E110</v>
      </c>
      <c r="E6623" s="1" t="s">
        <v>4566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</row>
    <row r="6624" spans="1:11" x14ac:dyDescent="0.2">
      <c r="A6624" s="1" t="s">
        <v>1468</v>
      </c>
      <c r="B6624" s="1" t="s">
        <v>1565</v>
      </c>
      <c r="C6624" s="1" t="str">
        <f>"CD007"</f>
        <v>CD007</v>
      </c>
      <c r="D6624" s="1" t="str">
        <f>"CD007"</f>
        <v>CD007</v>
      </c>
      <c r="E6624" s="1" t="s">
        <v>4566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</row>
    <row r="6625" spans="1:11" x14ac:dyDescent="0.2">
      <c r="A6625" s="1" t="s">
        <v>1468</v>
      </c>
      <c r="B6625" s="1" t="s">
        <v>1566</v>
      </c>
      <c r="C6625" s="1" t="str">
        <f>"80325"</f>
        <v>80325</v>
      </c>
      <c r="D6625" s="1" t="str">
        <f>"80325"</f>
        <v>80325</v>
      </c>
      <c r="E6625" s="1" t="s">
        <v>4566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</row>
    <row r="6626" spans="1:11" x14ac:dyDescent="0.2">
      <c r="A6626" s="1" t="s">
        <v>1567</v>
      </c>
      <c r="B6626" s="1" t="s">
        <v>1568</v>
      </c>
      <c r="C6626" s="1" t="str">
        <f>"RO-3181"</f>
        <v>RO-3181</v>
      </c>
      <c r="D6626" s="1" t="str">
        <f>"RO-3181"</f>
        <v>RO-3181</v>
      </c>
      <c r="E6626" s="1" t="s">
        <v>4566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</row>
    <row r="6627" spans="1:11" x14ac:dyDescent="0.2">
      <c r="B6627" s="1" t="s">
        <v>1569</v>
      </c>
    </row>
    <row r="6628" spans="1:11" x14ac:dyDescent="0.2">
      <c r="B6628" s="1" t="s">
        <v>1570</v>
      </c>
    </row>
    <row r="6629" spans="1:11" x14ac:dyDescent="0.2">
      <c r="B6629" s="1" t="s">
        <v>1571</v>
      </c>
    </row>
    <row r="6630" spans="1:11" x14ac:dyDescent="0.2">
      <c r="B6630" s="1" t="s">
        <v>1572</v>
      </c>
    </row>
    <row r="6631" spans="1:11" x14ac:dyDescent="0.2">
      <c r="B6631" s="1" t="s">
        <v>1573</v>
      </c>
    </row>
    <row r="6632" spans="1:11" x14ac:dyDescent="0.2">
      <c r="B6632" s="1" t="s">
        <v>1574</v>
      </c>
    </row>
    <row r="6633" spans="1:11" x14ac:dyDescent="0.2">
      <c r="B6633" s="1" t="s">
        <v>1575</v>
      </c>
    </row>
    <row r="6634" spans="1:11" x14ac:dyDescent="0.2">
      <c r="B6634" s="1" t="s">
        <v>1576</v>
      </c>
    </row>
    <row r="6635" spans="1:11" x14ac:dyDescent="0.2">
      <c r="B6635" s="1" t="s">
        <v>1577</v>
      </c>
    </row>
    <row r="6636" spans="1:11" x14ac:dyDescent="0.2">
      <c r="A6636" s="1" t="s">
        <v>1578</v>
      </c>
      <c r="B6636" s="1" t="s">
        <v>1579</v>
      </c>
      <c r="C6636" s="1" t="str">
        <f>"66298848948462"</f>
        <v>66298848948462</v>
      </c>
      <c r="D6636" s="1" t="str">
        <f>"400464"</f>
        <v>400464</v>
      </c>
      <c r="E6636" s="1" t="s">
        <v>4566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</row>
    <row r="6637" spans="1:11" x14ac:dyDescent="0.2">
      <c r="A6637" s="1" t="s">
        <v>1578</v>
      </c>
      <c r="B6637" s="1" t="s">
        <v>1580</v>
      </c>
      <c r="C6637" s="1" t="str">
        <f>"66298848909102"</f>
        <v>66298848909102</v>
      </c>
      <c r="D6637" s="1" t="str">
        <f>"400467"</f>
        <v>400467</v>
      </c>
      <c r="E6637" s="1" t="s">
        <v>4566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</row>
    <row r="6638" spans="1:11" x14ac:dyDescent="0.2">
      <c r="A6638" s="1" t="s">
        <v>1578</v>
      </c>
      <c r="B6638" s="1" t="s">
        <v>1581</v>
      </c>
      <c r="C6638" s="1" t="str">
        <f>"66298849068247"</f>
        <v>66298849068247</v>
      </c>
      <c r="D6638" s="1" t="str">
        <f>"400465"</f>
        <v>400465</v>
      </c>
      <c r="E6638" s="1" t="s">
        <v>4566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</row>
    <row r="6639" spans="1:11" x14ac:dyDescent="0.2">
      <c r="A6639" s="1" t="s">
        <v>1578</v>
      </c>
      <c r="B6639" s="1" t="s">
        <v>1582</v>
      </c>
      <c r="C6639" s="1" t="str">
        <f>"66298849105910"</f>
        <v>66298849105910</v>
      </c>
      <c r="D6639" s="1" t="str">
        <f>"400468"</f>
        <v>400468</v>
      </c>
      <c r="E6639" s="1" t="s">
        <v>4566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</row>
    <row r="6640" spans="1:11" x14ac:dyDescent="0.2">
      <c r="A6640" s="1" t="s">
        <v>1578</v>
      </c>
      <c r="B6640" s="1" t="s">
        <v>1583</v>
      </c>
      <c r="C6640" s="1" t="str">
        <f>"66298849148441"</f>
        <v>66298849148441</v>
      </c>
      <c r="D6640" s="1" t="str">
        <f>"400466"</f>
        <v>400466</v>
      </c>
      <c r="E6640" s="1" t="s">
        <v>4566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</row>
    <row r="6641" spans="1:11" x14ac:dyDescent="0.2">
      <c r="A6641" s="1" t="s">
        <v>1578</v>
      </c>
      <c r="B6641" s="1" t="s">
        <v>1584</v>
      </c>
      <c r="C6641" s="1" t="str">
        <f>"GJ010"</f>
        <v>GJ010</v>
      </c>
      <c r="D6641" s="1" t="str">
        <f>"GJ010"</f>
        <v>GJ010</v>
      </c>
      <c r="E6641" s="1" t="s">
        <v>4566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</row>
    <row r="6642" spans="1:11" ht="30" x14ac:dyDescent="0.2">
      <c r="A6642" s="1" t="s">
        <v>1578</v>
      </c>
      <c r="B6642" s="1" t="s">
        <v>1585</v>
      </c>
      <c r="C6642" s="1" t="str">
        <f>"66298846550885"</f>
        <v>66298846550885</v>
      </c>
      <c r="D6642" s="1" t="str">
        <f>"80952"</f>
        <v>80952</v>
      </c>
      <c r="E6642" s="1" t="s">
        <v>4566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</row>
    <row r="6643" spans="1:11" x14ac:dyDescent="0.2">
      <c r="A6643" s="1" t="s">
        <v>1578</v>
      </c>
      <c r="B6643" s="1" t="s">
        <v>1586</v>
      </c>
      <c r="C6643" s="1" t="str">
        <f>"GJ004"</f>
        <v>GJ004</v>
      </c>
      <c r="D6643" s="1" t="str">
        <f>"GJ004"</f>
        <v>GJ004</v>
      </c>
      <c r="E6643" s="1" t="s">
        <v>4566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</row>
    <row r="6644" spans="1:11" x14ac:dyDescent="0.2">
      <c r="A6644" s="1" t="s">
        <v>1578</v>
      </c>
      <c r="B6644" s="1" t="s">
        <v>1587</v>
      </c>
      <c r="C6644" s="1" t="str">
        <f>"GJ001"</f>
        <v>GJ001</v>
      </c>
      <c r="D6644" s="1" t="str">
        <f>"GJ001"</f>
        <v>GJ001</v>
      </c>
      <c r="E6644" s="1" t="s">
        <v>4566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</row>
    <row r="6645" spans="1:11" x14ac:dyDescent="0.2">
      <c r="A6645" s="1" t="s">
        <v>1588</v>
      </c>
      <c r="B6645" s="1" t="s">
        <v>1589</v>
      </c>
      <c r="C6645" s="1" t="str">
        <f>"1593"</f>
        <v>1593</v>
      </c>
      <c r="D6645" s="1" t="str">
        <f>"1593"</f>
        <v>1593</v>
      </c>
      <c r="E6645" s="1" t="s">
        <v>4566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</row>
    <row r="6646" spans="1:11" x14ac:dyDescent="0.2">
      <c r="A6646" s="1" t="s">
        <v>1588</v>
      </c>
      <c r="B6646" s="1" t="s">
        <v>1590</v>
      </c>
      <c r="C6646" s="1" t="str">
        <f>"66298846770060"</f>
        <v>66298846770060</v>
      </c>
      <c r="D6646" s="1" t="str">
        <f>"401018"</f>
        <v>401018</v>
      </c>
      <c r="E6646" s="1" t="s">
        <v>4566</v>
      </c>
      <c r="F6646" s="1">
        <v>50</v>
      </c>
      <c r="G6646" s="1">
        <v>4100</v>
      </c>
      <c r="H6646" s="1">
        <v>205000</v>
      </c>
      <c r="I6646" s="1">
        <v>0</v>
      </c>
      <c r="J6646" s="1">
        <v>50</v>
      </c>
      <c r="K6646" s="1">
        <v>0</v>
      </c>
    </row>
    <row r="6647" spans="1:11" x14ac:dyDescent="0.2">
      <c r="A6647" s="1" t="s">
        <v>1588</v>
      </c>
      <c r="B6647" s="1" t="s">
        <v>1591</v>
      </c>
      <c r="C6647" s="1" t="str">
        <f>"66298846817714"</f>
        <v>66298846817714</v>
      </c>
      <c r="D6647" s="1" t="str">
        <f>"401017"</f>
        <v>401017</v>
      </c>
      <c r="E6647" s="1" t="s">
        <v>4566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</row>
    <row r="6648" spans="1:11" x14ac:dyDescent="0.2">
      <c r="A6648" s="1" t="s">
        <v>1588</v>
      </c>
      <c r="B6648" s="1" t="s">
        <v>1592</v>
      </c>
      <c r="C6648" s="1" t="str">
        <f>"66298846719666"</f>
        <v>66298846719666</v>
      </c>
      <c r="D6648" s="1" t="str">
        <f>"401012"</f>
        <v>401012</v>
      </c>
      <c r="E6648" s="1" t="s">
        <v>4566</v>
      </c>
      <c r="F6648" s="1">
        <v>40</v>
      </c>
      <c r="G6648" s="1">
        <v>3544</v>
      </c>
      <c r="H6648" s="1">
        <v>141760</v>
      </c>
      <c r="I6648" s="1">
        <v>0</v>
      </c>
      <c r="J6648" s="1">
        <v>40</v>
      </c>
      <c r="K6648" s="1">
        <v>0</v>
      </c>
    </row>
    <row r="6649" spans="1:11" x14ac:dyDescent="0.2">
      <c r="A6649" s="1" t="s">
        <v>1588</v>
      </c>
      <c r="B6649" s="1" t="s">
        <v>1593</v>
      </c>
      <c r="C6649" s="1" t="str">
        <f>"DE008"</f>
        <v>DE008</v>
      </c>
      <c r="D6649" s="1" t="str">
        <f>"DE008"</f>
        <v>DE008</v>
      </c>
      <c r="E6649" s="1" t="s">
        <v>4566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</row>
    <row r="6650" spans="1:11" x14ac:dyDescent="0.2">
      <c r="A6650" s="1" t="s">
        <v>1588</v>
      </c>
      <c r="B6650" s="1" t="s">
        <v>1594</v>
      </c>
      <c r="C6650" s="1" t="str">
        <f>"3223"</f>
        <v>3223</v>
      </c>
      <c r="D6650" s="1" t="str">
        <f>"3223"</f>
        <v>3223</v>
      </c>
      <c r="E6650" s="1" t="s">
        <v>4566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</row>
    <row r="6651" spans="1:11" x14ac:dyDescent="0.2">
      <c r="A6651" s="1" t="s">
        <v>1588</v>
      </c>
      <c r="B6651" s="1" t="s">
        <v>1595</v>
      </c>
      <c r="C6651" s="1" t="str">
        <f>"66298846856317"</f>
        <v>66298846856317</v>
      </c>
      <c r="D6651" s="1" t="str">
        <f>"11514"</f>
        <v>11514</v>
      </c>
      <c r="E6651" s="1" t="s">
        <v>4566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</row>
    <row r="6652" spans="1:11" x14ac:dyDescent="0.2">
      <c r="A6652" s="1" t="s">
        <v>1588</v>
      </c>
      <c r="B6652" s="1" t="s">
        <v>1596</v>
      </c>
      <c r="C6652" s="1" t="str">
        <f>"66298846942633"</f>
        <v>66298846942633</v>
      </c>
      <c r="D6652" s="1" t="str">
        <f>"400098"</f>
        <v>400098</v>
      </c>
      <c r="E6652" s="1" t="s">
        <v>4566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</row>
    <row r="6653" spans="1:11" x14ac:dyDescent="0.2">
      <c r="A6653" s="1" t="s">
        <v>1588</v>
      </c>
      <c r="B6653" s="1" t="s">
        <v>1597</v>
      </c>
      <c r="C6653" s="1" t="str">
        <f>"66298846998501"</f>
        <v>66298846998501</v>
      </c>
      <c r="D6653" s="1" t="str">
        <f>"401010"</f>
        <v>401010</v>
      </c>
      <c r="E6653" s="1" t="s">
        <v>4566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</row>
    <row r="6654" spans="1:11" x14ac:dyDescent="0.2">
      <c r="A6654" s="1" t="s">
        <v>1588</v>
      </c>
      <c r="B6654" s="1" t="s">
        <v>1598</v>
      </c>
      <c r="C6654" s="1" t="str">
        <f>"66298846896255"</f>
        <v>66298846896255</v>
      </c>
      <c r="D6654" s="1" t="str">
        <f>"21C-E2170-00JP"</f>
        <v>21C-E2170-00JP</v>
      </c>
      <c r="E6654" s="1" t="s">
        <v>4566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</row>
    <row r="6655" spans="1:11" x14ac:dyDescent="0.2">
      <c r="A6655" s="1" t="s">
        <v>1588</v>
      </c>
      <c r="B6655" s="1" t="s">
        <v>1599</v>
      </c>
      <c r="C6655" s="1" t="str">
        <f>"66298847040504"</f>
        <v>66298847040504</v>
      </c>
      <c r="D6655" s="1" t="str">
        <f>"401109"</f>
        <v>401109</v>
      </c>
      <c r="E6655" s="1" t="s">
        <v>4566</v>
      </c>
      <c r="F6655" s="1">
        <v>14</v>
      </c>
      <c r="G6655" s="1">
        <v>7008</v>
      </c>
      <c r="H6655" s="1">
        <v>98112</v>
      </c>
      <c r="I6655" s="1">
        <v>0</v>
      </c>
      <c r="J6655" s="1">
        <v>14</v>
      </c>
      <c r="K6655" s="1">
        <v>0</v>
      </c>
    </row>
    <row r="6656" spans="1:11" x14ac:dyDescent="0.2">
      <c r="A6656" s="1" t="s">
        <v>1588</v>
      </c>
      <c r="B6656" s="1" t="s">
        <v>1600</v>
      </c>
      <c r="C6656" s="1" t="str">
        <f>"66298847079059"</f>
        <v>66298847079059</v>
      </c>
      <c r="D6656" s="1" t="str">
        <f>"401013"</f>
        <v>401013</v>
      </c>
      <c r="E6656" s="1" t="s">
        <v>4566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</row>
    <row r="6657" spans="1:11" x14ac:dyDescent="0.2">
      <c r="A6657" s="1" t="s">
        <v>1588</v>
      </c>
      <c r="B6657" s="1" t="s">
        <v>1601</v>
      </c>
      <c r="C6657" s="1" t="str">
        <f>"66298847121632"</f>
        <v>66298847121632</v>
      </c>
      <c r="D6657" s="1" t="str">
        <f>"400093"</f>
        <v>400093</v>
      </c>
      <c r="E6657" s="1" t="s">
        <v>4566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</row>
    <row r="6658" spans="1:11" x14ac:dyDescent="0.2">
      <c r="A6658" s="1" t="s">
        <v>1588</v>
      </c>
      <c r="B6658" s="1" t="s">
        <v>1602</v>
      </c>
      <c r="C6658" s="1" t="str">
        <f>"12710-12F50JP"</f>
        <v>12710-12F50JP</v>
      </c>
      <c r="D6658" s="1" t="str">
        <f>"12710-12F50JP"</f>
        <v>12710-12F50JP</v>
      </c>
      <c r="E6658" s="1" t="s">
        <v>4566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</row>
    <row r="6659" spans="1:11" x14ac:dyDescent="0.2">
      <c r="A6659" s="1" t="s">
        <v>1588</v>
      </c>
      <c r="B6659" s="1" t="s">
        <v>1603</v>
      </c>
      <c r="C6659" s="1" t="str">
        <f>"66298847159686"</f>
        <v>66298847159686</v>
      </c>
      <c r="D6659" s="1" t="str">
        <f>"12711-42A10JP"</f>
        <v>12711-42A10JP</v>
      </c>
      <c r="E6659" s="1" t="s">
        <v>4566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</row>
    <row r="6660" spans="1:11" x14ac:dyDescent="0.2">
      <c r="A6660" s="1" t="s">
        <v>1588</v>
      </c>
      <c r="B6660" s="1" t="s">
        <v>1604</v>
      </c>
      <c r="C6660" s="1" t="str">
        <f>"66298847197033"</f>
        <v>66298847197033</v>
      </c>
      <c r="D6660" s="1" t="str">
        <f>"DE004"</f>
        <v>DE004</v>
      </c>
      <c r="E6660" s="1" t="s">
        <v>4566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</row>
    <row r="6661" spans="1:11" x14ac:dyDescent="0.2">
      <c r="A6661" s="1" t="s">
        <v>1588</v>
      </c>
      <c r="B6661" s="1" t="s">
        <v>1605</v>
      </c>
      <c r="C6661" s="1" t="str">
        <f>"66298847235324"</f>
        <v>66298847235324</v>
      </c>
      <c r="D6661" s="1" t="str">
        <f>"401108"</f>
        <v>401108</v>
      </c>
      <c r="E6661" s="1" t="s">
        <v>4566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</row>
    <row r="6662" spans="1:11" x14ac:dyDescent="0.2">
      <c r="A6662" s="1" t="s">
        <v>1588</v>
      </c>
      <c r="B6662" s="1" t="s">
        <v>1606</v>
      </c>
      <c r="C6662" s="1" t="str">
        <f>"66298847277216"</f>
        <v>66298847277216</v>
      </c>
      <c r="D6662" s="1" t="str">
        <f>"12710H3D021H000"</f>
        <v>12710H3D021H000</v>
      </c>
      <c r="E6662" s="1" t="s">
        <v>4566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</row>
    <row r="6663" spans="1:11" x14ac:dyDescent="0.2">
      <c r="A6663" s="1" t="s">
        <v>1588</v>
      </c>
      <c r="B6663" s="1" t="s">
        <v>1607</v>
      </c>
      <c r="C6663" s="1" t="str">
        <f>"66298847319066"</f>
        <v>66298847319066</v>
      </c>
      <c r="D6663" s="1" t="str">
        <f>"DE015"</f>
        <v>DE015</v>
      </c>
      <c r="E6663" s="1" t="s">
        <v>4566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</row>
    <row r="6664" spans="1:11" x14ac:dyDescent="0.2">
      <c r="A6664" s="1" t="s">
        <v>1588</v>
      </c>
      <c r="B6664" s="1" t="s">
        <v>1608</v>
      </c>
      <c r="C6664" s="1" t="str">
        <f>"66298847366358"</f>
        <v>66298847366358</v>
      </c>
      <c r="D6664" s="1" t="str">
        <f>"JD-5112-11"</f>
        <v>JD-5112-11</v>
      </c>
      <c r="E6664" s="1" t="s">
        <v>4566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</row>
    <row r="6665" spans="1:11" x14ac:dyDescent="0.2">
      <c r="A6665" s="1" t="s">
        <v>1588</v>
      </c>
      <c r="B6665" s="1" t="s">
        <v>1609</v>
      </c>
      <c r="C6665" s="1" t="str">
        <f>"66298847411811"</f>
        <v>66298847411811</v>
      </c>
      <c r="D6665" s="1" t="str">
        <f>"401110"</f>
        <v>401110</v>
      </c>
      <c r="E6665" s="1" t="s">
        <v>4566</v>
      </c>
      <c r="F6665" s="1">
        <v>6</v>
      </c>
      <c r="G6665" s="1">
        <v>6272</v>
      </c>
      <c r="H6665" s="1">
        <v>37632</v>
      </c>
      <c r="I6665" s="1">
        <v>0</v>
      </c>
      <c r="J6665" s="1">
        <v>6</v>
      </c>
      <c r="K6665" s="1">
        <v>0</v>
      </c>
    </row>
    <row r="6666" spans="1:11" x14ac:dyDescent="0.2">
      <c r="A6666" s="1" t="s">
        <v>1588</v>
      </c>
      <c r="B6666" s="1" t="s">
        <v>1610</v>
      </c>
      <c r="C6666" s="1" t="str">
        <f>"66298847455945"</f>
        <v>66298847455945</v>
      </c>
      <c r="D6666" s="1" t="str">
        <f>"401005"</f>
        <v>401005</v>
      </c>
      <c r="E6666" s="1" t="s">
        <v>4566</v>
      </c>
      <c r="F6666" s="1">
        <v>9</v>
      </c>
      <c r="G6666" s="1">
        <v>3914</v>
      </c>
      <c r="H6666" s="1">
        <v>35226</v>
      </c>
      <c r="I6666" s="1">
        <v>0</v>
      </c>
      <c r="J6666" s="1">
        <v>9</v>
      </c>
      <c r="K6666" s="1">
        <v>0</v>
      </c>
    </row>
    <row r="6667" spans="1:11" x14ac:dyDescent="0.2">
      <c r="A6667" s="1" t="s">
        <v>1588</v>
      </c>
      <c r="B6667" s="1" t="s">
        <v>1611</v>
      </c>
      <c r="C6667" s="1" t="str">
        <f>"JL511241"</f>
        <v>JL511241</v>
      </c>
      <c r="D6667" s="1" t="str">
        <f>"JL511241"</f>
        <v>JL511241</v>
      </c>
      <c r="E6667" s="1" t="s">
        <v>4566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</row>
    <row r="6668" spans="1:11" x14ac:dyDescent="0.2">
      <c r="A6668" s="1" t="s">
        <v>1588</v>
      </c>
      <c r="B6668" s="1" t="s">
        <v>1612</v>
      </c>
      <c r="C6668" s="1" t="str">
        <f>"66298847493207"</f>
        <v>66298847493207</v>
      </c>
      <c r="D6668" s="1" t="str">
        <f>"DJ-1013-73JP"</f>
        <v>DJ-1013-73JP</v>
      </c>
      <c r="E6668" s="1" t="s">
        <v>4566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</row>
    <row r="6669" spans="1:11" x14ac:dyDescent="0.2">
      <c r="A6669" s="1" t="s">
        <v>1588</v>
      </c>
      <c r="B6669" s="1" t="s">
        <v>1613</v>
      </c>
      <c r="C6669" s="1" t="str">
        <f>"66298847540438"</f>
        <v>66298847540438</v>
      </c>
      <c r="D6669" s="1" t="str">
        <f>"11714"</f>
        <v>11714</v>
      </c>
      <c r="E6669" s="1" t="s">
        <v>4566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</row>
    <row r="6670" spans="1:11" x14ac:dyDescent="0.2">
      <c r="A6670" s="1" t="s">
        <v>1588</v>
      </c>
      <c r="B6670" s="1" t="s">
        <v>1614</v>
      </c>
      <c r="C6670" s="1" t="str">
        <f>"66298847592617"</f>
        <v>66298847592617</v>
      </c>
      <c r="D6670" s="1" t="str">
        <f>"14100-KBB-900JP"</f>
        <v>14100-KBB-900JP</v>
      </c>
      <c r="E6670" s="1" t="s">
        <v>4566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</row>
    <row r="6671" spans="1:11" x14ac:dyDescent="0.2">
      <c r="A6671" s="1" t="s">
        <v>1588</v>
      </c>
      <c r="B6671" s="1" t="s">
        <v>1615</v>
      </c>
      <c r="C6671" s="1" t="str">
        <f>"66298847631586"</f>
        <v>66298847631586</v>
      </c>
      <c r="D6671" s="1" t="str">
        <f>"400097"</f>
        <v>400097</v>
      </c>
      <c r="E6671" s="1" t="s">
        <v>4566</v>
      </c>
      <c r="F6671" s="1">
        <v>58</v>
      </c>
      <c r="G6671" s="1">
        <v>4350</v>
      </c>
      <c r="H6671" s="1">
        <v>252300</v>
      </c>
      <c r="I6671" s="1">
        <v>0</v>
      </c>
      <c r="J6671" s="1">
        <v>58</v>
      </c>
      <c r="K6671" s="1">
        <v>0</v>
      </c>
    </row>
    <row r="6672" spans="1:11" ht="30" x14ac:dyDescent="0.2">
      <c r="A6672" s="1" t="s">
        <v>1588</v>
      </c>
      <c r="B6672" s="1" t="s">
        <v>1616</v>
      </c>
      <c r="C6672" s="1" t="str">
        <f>"66298847669912"</f>
        <v>66298847669912</v>
      </c>
      <c r="D6672" s="1" t="str">
        <f>"401105"</f>
        <v>401105</v>
      </c>
      <c r="E6672" s="1" t="s">
        <v>4566</v>
      </c>
      <c r="F6672" s="1">
        <v>21</v>
      </c>
      <c r="G6672" s="1">
        <v>13012</v>
      </c>
      <c r="H6672" s="1">
        <v>273252</v>
      </c>
      <c r="I6672" s="1">
        <v>0</v>
      </c>
      <c r="J6672" s="1">
        <v>21</v>
      </c>
      <c r="K6672" s="1">
        <v>0</v>
      </c>
    </row>
    <row r="6673" spans="1:11" ht="30" x14ac:dyDescent="0.2">
      <c r="A6673" s="1" t="s">
        <v>1588</v>
      </c>
      <c r="B6673" s="1" t="s">
        <v>1617</v>
      </c>
      <c r="C6673" s="1" t="str">
        <f>"66298847706637"</f>
        <v>66298847706637</v>
      </c>
      <c r="D6673" s="1" t="str">
        <f>"401009"</f>
        <v>401009</v>
      </c>
      <c r="E6673" s="1" t="s">
        <v>4566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</row>
    <row r="6674" spans="1:11" x14ac:dyDescent="0.2">
      <c r="A6674" s="1" t="s">
        <v>1588</v>
      </c>
      <c r="B6674" s="1" t="s">
        <v>1618</v>
      </c>
      <c r="C6674" s="1" t="str">
        <f>"66298847747405"</f>
        <v>66298847747405</v>
      </c>
      <c r="D6674" s="1" t="str">
        <f>"401023"</f>
        <v>401023</v>
      </c>
      <c r="E6674" s="1" t="s">
        <v>4566</v>
      </c>
      <c r="F6674" s="1">
        <v>33</v>
      </c>
      <c r="G6674" s="1">
        <v>2716</v>
      </c>
      <c r="H6674" s="1">
        <v>89628</v>
      </c>
      <c r="I6674" s="1">
        <v>0</v>
      </c>
      <c r="J6674" s="1">
        <v>33</v>
      </c>
      <c r="K6674" s="1">
        <v>0</v>
      </c>
    </row>
    <row r="6675" spans="1:11" x14ac:dyDescent="0.2">
      <c r="A6675" s="1" t="s">
        <v>1588</v>
      </c>
      <c r="B6675" s="1" t="s">
        <v>1619</v>
      </c>
      <c r="C6675" s="1" t="str">
        <f>"66298847865357"</f>
        <v>66298847865357</v>
      </c>
      <c r="D6675" s="1" t="str">
        <f>"401111"</f>
        <v>401111</v>
      </c>
      <c r="E6675" s="1" t="s">
        <v>4566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</row>
    <row r="6676" spans="1:11" x14ac:dyDescent="0.2">
      <c r="A6676" s="1" t="s">
        <v>1588</v>
      </c>
      <c r="B6676" s="1" t="s">
        <v>1620</v>
      </c>
      <c r="C6676" s="1" t="str">
        <f>"66298847787944"</f>
        <v>66298847787944</v>
      </c>
      <c r="D6676" s="1" t="str">
        <f>"80516"</f>
        <v>80516</v>
      </c>
      <c r="E6676" s="1" t="s">
        <v>4566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</row>
    <row r="6677" spans="1:11" x14ac:dyDescent="0.2">
      <c r="A6677" s="1" t="s">
        <v>1588</v>
      </c>
      <c r="B6677" s="1" t="s">
        <v>1620</v>
      </c>
      <c r="C6677" s="1" t="str">
        <f>"66298847823758"</f>
        <v>66298847823758</v>
      </c>
      <c r="D6677" s="1" t="str">
        <f>"5YY-E2170-00JP"</f>
        <v>5YY-E2170-00JP</v>
      </c>
      <c r="E6677" s="1" t="s">
        <v>4566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</row>
    <row r="6678" spans="1:11" x14ac:dyDescent="0.2">
      <c r="A6678" s="1" t="s">
        <v>1588</v>
      </c>
      <c r="B6678" s="1" t="s">
        <v>1621</v>
      </c>
      <c r="C6678" s="1" t="str">
        <f>"66298847945623"</f>
        <v>66298847945623</v>
      </c>
      <c r="D6678" s="1" t="str">
        <f>"401011"</f>
        <v>401011</v>
      </c>
      <c r="E6678" s="1" t="s">
        <v>4566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</row>
    <row r="6679" spans="1:11" x14ac:dyDescent="0.2">
      <c r="A6679" s="1" t="s">
        <v>1588</v>
      </c>
      <c r="B6679" s="1" t="s">
        <v>1622</v>
      </c>
      <c r="C6679" s="1" t="str">
        <f>"66298847905688"</f>
        <v>66298847905688</v>
      </c>
      <c r="D6679" s="1" t="str">
        <f>"351"</f>
        <v>351</v>
      </c>
      <c r="E6679" s="1" t="s">
        <v>4566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</row>
    <row r="6680" spans="1:11" x14ac:dyDescent="0.2">
      <c r="A6680" s="1" t="s">
        <v>1578</v>
      </c>
      <c r="B6680" s="1" t="s">
        <v>1623</v>
      </c>
      <c r="C6680" s="1" t="str">
        <f>"66298847984326"</f>
        <v>66298847984326</v>
      </c>
      <c r="D6680" s="1" t="str">
        <f>"GJ006"</f>
        <v>GJ006</v>
      </c>
      <c r="E6680" s="1" t="s">
        <v>4566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</row>
    <row r="6681" spans="1:11" x14ac:dyDescent="0.2">
      <c r="A6681" s="1" t="s">
        <v>1578</v>
      </c>
      <c r="B6681" s="1" t="s">
        <v>1624</v>
      </c>
      <c r="C6681" s="1" t="str">
        <f>"66298848025936"</f>
        <v>66298848025936</v>
      </c>
      <c r="D6681" s="1" t="str">
        <f>"GJ003"</f>
        <v>GJ003</v>
      </c>
      <c r="E6681" s="1" t="s">
        <v>4566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</row>
    <row r="6682" spans="1:11" x14ac:dyDescent="0.2">
      <c r="A6682" s="1" t="s">
        <v>1578</v>
      </c>
      <c r="B6682" s="1" t="s">
        <v>1625</v>
      </c>
      <c r="C6682" s="1" t="str">
        <f>"66298848068626"</f>
        <v>66298848068626</v>
      </c>
      <c r="D6682" s="1" t="str">
        <f>"400677"</f>
        <v>400677</v>
      </c>
      <c r="E6682" s="1" t="s">
        <v>4566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</row>
    <row r="6683" spans="1:11" x14ac:dyDescent="0.2">
      <c r="A6683" s="1" t="s">
        <v>1578</v>
      </c>
      <c r="B6683" s="1" t="s">
        <v>1626</v>
      </c>
      <c r="C6683" s="1" t="str">
        <f>"66298848112803"</f>
        <v>66298848112803</v>
      </c>
      <c r="D6683" s="1" t="str">
        <f>"400679"</f>
        <v>400679</v>
      </c>
      <c r="E6683" s="1" t="s">
        <v>4566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</row>
    <row r="6684" spans="1:11" x14ac:dyDescent="0.2">
      <c r="A6684" s="1" t="s">
        <v>1578</v>
      </c>
      <c r="B6684" s="1" t="s">
        <v>1627</v>
      </c>
      <c r="C6684" s="1" t="str">
        <f>"66298848154338"</f>
        <v>66298848154338</v>
      </c>
      <c r="D6684" s="1" t="str">
        <f>"400678"</f>
        <v>400678</v>
      </c>
      <c r="E6684" s="1" t="s">
        <v>4566</v>
      </c>
      <c r="F6684" s="1">
        <v>40</v>
      </c>
      <c r="G6684" s="1">
        <v>1464</v>
      </c>
      <c r="H6684" s="1">
        <v>58560</v>
      </c>
      <c r="I6684" s="1">
        <v>0</v>
      </c>
      <c r="J6684" s="1">
        <v>40</v>
      </c>
      <c r="K6684" s="1">
        <v>0</v>
      </c>
    </row>
    <row r="6685" spans="1:11" x14ac:dyDescent="0.2">
      <c r="A6685" s="1" t="s">
        <v>1578</v>
      </c>
      <c r="B6685" s="1" t="s">
        <v>1628</v>
      </c>
      <c r="C6685" s="1" t="str">
        <f>"66298848196303"</f>
        <v>66298848196303</v>
      </c>
      <c r="D6685" s="1" t="str">
        <f>"400680"</f>
        <v>400680</v>
      </c>
      <c r="E6685" s="1" t="s">
        <v>4566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</row>
    <row r="6686" spans="1:11" x14ac:dyDescent="0.2">
      <c r="A6686" s="1" t="s">
        <v>1578</v>
      </c>
      <c r="B6686" s="1" t="s">
        <v>1629</v>
      </c>
      <c r="C6686" s="1" t="str">
        <f>"66298848239798"</f>
        <v>66298848239798</v>
      </c>
      <c r="D6686" s="1" t="str">
        <f>"400676"</f>
        <v>400676</v>
      </c>
      <c r="E6686" s="1" t="s">
        <v>4566</v>
      </c>
      <c r="F6686" s="1">
        <v>119</v>
      </c>
      <c r="G6686" s="1">
        <v>2291</v>
      </c>
      <c r="H6686" s="1">
        <v>272629</v>
      </c>
      <c r="I6686" s="1">
        <v>0</v>
      </c>
      <c r="J6686" s="1">
        <v>119</v>
      </c>
      <c r="K6686" s="1">
        <v>0</v>
      </c>
    </row>
    <row r="6687" spans="1:11" x14ac:dyDescent="0.2">
      <c r="A6687" s="1" t="s">
        <v>1578</v>
      </c>
      <c r="B6687" s="1" t="s">
        <v>1630</v>
      </c>
      <c r="C6687" s="1" t="str">
        <f>"24648"</f>
        <v>24648</v>
      </c>
      <c r="D6687" s="1" t="str">
        <f>"24648"</f>
        <v>24648</v>
      </c>
      <c r="E6687" s="1" t="s">
        <v>4566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</row>
    <row r="6688" spans="1:11" x14ac:dyDescent="0.2">
      <c r="A6688" s="1" t="s">
        <v>1578</v>
      </c>
      <c r="B6688" s="1" t="s">
        <v>1631</v>
      </c>
      <c r="C6688" s="1" t="str">
        <f>"66298848326497"</f>
        <v>66298848326497</v>
      </c>
      <c r="D6688" s="1" t="str">
        <f>"400748"</f>
        <v>400748</v>
      </c>
      <c r="E6688" s="1" t="s">
        <v>4566</v>
      </c>
      <c r="F6688" s="1">
        <v>24</v>
      </c>
      <c r="G6688" s="1">
        <v>1932</v>
      </c>
      <c r="H6688" s="1">
        <v>46368</v>
      </c>
      <c r="I6688" s="1">
        <v>0</v>
      </c>
      <c r="J6688" s="1">
        <v>24</v>
      </c>
      <c r="K6688" s="1">
        <v>0</v>
      </c>
    </row>
    <row r="6689" spans="1:11" x14ac:dyDescent="0.2">
      <c r="A6689" s="1" t="s">
        <v>1578</v>
      </c>
      <c r="B6689" s="1" t="s">
        <v>1632</v>
      </c>
      <c r="C6689" s="1" t="str">
        <f>"66298848371319"</f>
        <v>66298848371319</v>
      </c>
      <c r="D6689" s="1" t="str">
        <f>"400749"</f>
        <v>400749</v>
      </c>
      <c r="E6689" s="1" t="s">
        <v>4566</v>
      </c>
      <c r="F6689" s="1">
        <v>24</v>
      </c>
      <c r="G6689" s="1">
        <v>2038</v>
      </c>
      <c r="H6689" s="1">
        <v>48912</v>
      </c>
      <c r="I6689" s="1">
        <v>0</v>
      </c>
      <c r="J6689" s="1">
        <v>24</v>
      </c>
      <c r="K6689" s="1">
        <v>0</v>
      </c>
    </row>
    <row r="6690" spans="1:11" x14ac:dyDescent="0.2">
      <c r="A6690" s="1" t="s">
        <v>1578</v>
      </c>
      <c r="B6690" s="1" t="s">
        <v>1633</v>
      </c>
      <c r="C6690" s="1" t="str">
        <f>"66298848416535"</f>
        <v>66298848416535</v>
      </c>
      <c r="D6690" s="1" t="str">
        <f>"400751"</f>
        <v>400751</v>
      </c>
      <c r="E6690" s="1" t="s">
        <v>4566</v>
      </c>
      <c r="F6690" s="1">
        <v>4</v>
      </c>
      <c r="G6690" s="1">
        <v>2126</v>
      </c>
      <c r="H6690" s="1">
        <v>8504</v>
      </c>
      <c r="I6690" s="1">
        <v>0</v>
      </c>
      <c r="J6690" s="1">
        <v>4</v>
      </c>
      <c r="K6690" s="1">
        <v>0</v>
      </c>
    </row>
    <row r="6691" spans="1:11" x14ac:dyDescent="0.2">
      <c r="A6691" s="1" t="s">
        <v>1578</v>
      </c>
      <c r="B6691" s="1" t="s">
        <v>1634</v>
      </c>
      <c r="C6691" s="1" t="str">
        <f>"H1116"</f>
        <v>H1116</v>
      </c>
      <c r="D6691" s="1" t="str">
        <f>"H1116"</f>
        <v>H1116</v>
      </c>
      <c r="E6691" s="1" t="s">
        <v>4566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</row>
    <row r="6692" spans="1:11" x14ac:dyDescent="0.2">
      <c r="A6692" s="1" t="s">
        <v>1578</v>
      </c>
      <c r="B6692" s="1" t="s">
        <v>1635</v>
      </c>
      <c r="C6692" s="1" t="str">
        <f>"66298848458331"</f>
        <v>66298848458331</v>
      </c>
      <c r="D6692" s="1" t="str">
        <f>"400750"</f>
        <v>400750</v>
      </c>
      <c r="E6692" s="1" t="s">
        <v>4566</v>
      </c>
      <c r="F6692" s="1">
        <v>15</v>
      </c>
      <c r="G6692" s="1">
        <v>3926</v>
      </c>
      <c r="H6692" s="1">
        <v>58890</v>
      </c>
      <c r="I6692" s="1">
        <v>0</v>
      </c>
      <c r="J6692" s="1">
        <v>15</v>
      </c>
      <c r="K6692" s="1">
        <v>0</v>
      </c>
    </row>
    <row r="6693" spans="1:11" x14ac:dyDescent="0.2">
      <c r="A6693" s="1" t="s">
        <v>1578</v>
      </c>
      <c r="B6693" s="1" t="s">
        <v>1636</v>
      </c>
      <c r="C6693" s="1" t="str">
        <f>"66298848502114"</f>
        <v>66298848502114</v>
      </c>
      <c r="D6693" s="1" t="str">
        <f>"24103H3E061H000"</f>
        <v>24103H3E061H000</v>
      </c>
      <c r="E6693" s="1" t="s">
        <v>4566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</row>
    <row r="6694" spans="1:11" x14ac:dyDescent="0.2">
      <c r="A6694" s="1" t="s">
        <v>1578</v>
      </c>
      <c r="B6694" s="1" t="s">
        <v>1637</v>
      </c>
      <c r="C6694" s="1" t="str">
        <f>"66298848544753"</f>
        <v>66298848544753</v>
      </c>
      <c r="D6694" s="1" t="str">
        <f>"CBP180-E15-31"</f>
        <v>CBP180-E15-31</v>
      </c>
      <c r="E6694" s="1" t="s">
        <v>4566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</row>
    <row r="6695" spans="1:11" x14ac:dyDescent="0.2">
      <c r="A6695" s="1" t="s">
        <v>1578</v>
      </c>
      <c r="B6695" s="1" t="s">
        <v>1638</v>
      </c>
      <c r="C6695" s="1" t="str">
        <f>"66298848584138"</f>
        <v>66298848584138</v>
      </c>
      <c r="D6695" s="1" t="str">
        <f>"24651"</f>
        <v>24651</v>
      </c>
      <c r="E6695" s="1" t="s">
        <v>4566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</row>
    <row r="6696" spans="1:11" x14ac:dyDescent="0.2">
      <c r="A6696" s="1" t="s">
        <v>1578</v>
      </c>
      <c r="B6696" s="1" t="s">
        <v>1639</v>
      </c>
      <c r="C6696" s="1" t="str">
        <f>"66298848629436"</f>
        <v>66298848629436</v>
      </c>
      <c r="D6696" s="1" t="str">
        <f>"24102H3E010H000"</f>
        <v>24102H3E010H000</v>
      </c>
      <c r="E6696" s="1" t="s">
        <v>4566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</row>
    <row r="6697" spans="1:11" x14ac:dyDescent="0.2">
      <c r="A6697" s="1" t="s">
        <v>1578</v>
      </c>
      <c r="B6697" s="1" t="s">
        <v>1640</v>
      </c>
      <c r="C6697" s="1" t="str">
        <f>"66298848672052"</f>
        <v>66298848672052</v>
      </c>
      <c r="D6697" s="1" t="str">
        <f>"CBP180-E15-32"</f>
        <v>CBP180-E15-32</v>
      </c>
      <c r="E6697" s="1" t="s">
        <v>4566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</row>
    <row r="6698" spans="1:11" x14ac:dyDescent="0.2">
      <c r="A6698" s="1" t="s">
        <v>1578</v>
      </c>
      <c r="B6698" s="1" t="s">
        <v>1641</v>
      </c>
      <c r="C6698" s="1" t="str">
        <f>"66298848711146"</f>
        <v>66298848711146</v>
      </c>
      <c r="D6698" s="1" t="str">
        <f>"19"</f>
        <v>19</v>
      </c>
      <c r="E6698" s="1" t="s">
        <v>4566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</row>
    <row r="6699" spans="1:11" x14ac:dyDescent="0.2">
      <c r="A6699" s="1" t="s">
        <v>1578</v>
      </c>
      <c r="B6699" s="1" t="s">
        <v>1642</v>
      </c>
      <c r="C6699" s="1" t="str">
        <f>"66298848752886"</f>
        <v>66298848752886</v>
      </c>
      <c r="D6699" s="1" t="str">
        <f>"26"</f>
        <v>26</v>
      </c>
      <c r="E6699" s="1" t="s">
        <v>4566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</row>
    <row r="6700" spans="1:11" x14ac:dyDescent="0.2">
      <c r="A6700" s="1" t="s">
        <v>1578</v>
      </c>
      <c r="B6700" s="1" t="s">
        <v>1643</v>
      </c>
      <c r="C6700" s="1" t="str">
        <f>"66298848794784"</f>
        <v>66298848794784</v>
      </c>
      <c r="D6700" s="1" t="str">
        <f>"25"</f>
        <v>25</v>
      </c>
      <c r="E6700" s="1" t="s">
        <v>4566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</row>
    <row r="6701" spans="1:11" x14ac:dyDescent="0.2">
      <c r="A6701" s="1" t="s">
        <v>1578</v>
      </c>
      <c r="B6701" s="1" t="s">
        <v>1644</v>
      </c>
      <c r="C6701" s="1" t="str">
        <f>"66298848831349"</f>
        <v>66298848831349</v>
      </c>
      <c r="D6701" s="1" t="str">
        <f>"85024"</f>
        <v>85024</v>
      </c>
      <c r="E6701" s="1" t="s">
        <v>4566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</row>
    <row r="6702" spans="1:11" x14ac:dyDescent="0.2">
      <c r="A6702" s="1" t="s">
        <v>1578</v>
      </c>
      <c r="B6702" s="1" t="s">
        <v>1645</v>
      </c>
      <c r="C6702" s="1" t="str">
        <f>"GJ012"</f>
        <v>GJ012</v>
      </c>
      <c r="D6702" s="1" t="str">
        <f>"GJ012"</f>
        <v>GJ012</v>
      </c>
      <c r="E6702" s="1" t="s">
        <v>4566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</row>
    <row r="6703" spans="1:11" x14ac:dyDescent="0.2">
      <c r="A6703" s="1" t="s">
        <v>1578</v>
      </c>
      <c r="B6703" s="1" t="s">
        <v>1646</v>
      </c>
      <c r="C6703" s="1" t="str">
        <f>"GJ011"</f>
        <v>GJ011</v>
      </c>
      <c r="D6703" s="1" t="str">
        <f>"GJ011"</f>
        <v>GJ011</v>
      </c>
      <c r="E6703" s="1" t="s">
        <v>4566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</row>
    <row r="6704" spans="1:11" x14ac:dyDescent="0.2">
      <c r="A6704" s="1" t="s">
        <v>1578</v>
      </c>
      <c r="B6704" s="1" t="s">
        <v>1647</v>
      </c>
      <c r="C6704" s="1" t="str">
        <f>"66298848872274"</f>
        <v>66298848872274</v>
      </c>
      <c r="D6704" s="1" t="str">
        <f>"GJ014"</f>
        <v>GJ014</v>
      </c>
      <c r="E6704" s="1" t="s">
        <v>4566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</row>
    <row r="6705" spans="1:11" x14ac:dyDescent="0.2">
      <c r="A6705" s="1" t="s">
        <v>1578</v>
      </c>
      <c r="B6705" s="1" t="s">
        <v>1648</v>
      </c>
      <c r="C6705" s="1" t="str">
        <f>"GJ005"</f>
        <v>GJ005</v>
      </c>
      <c r="D6705" s="1" t="str">
        <f>"GJ005"</f>
        <v>GJ005</v>
      </c>
      <c r="E6705" s="1" t="s">
        <v>4566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</row>
    <row r="6706" spans="1:11" x14ac:dyDescent="0.2">
      <c r="A6706" s="1" t="s">
        <v>1578</v>
      </c>
      <c r="B6706" s="1" t="s">
        <v>1649</v>
      </c>
      <c r="C6706" s="1" t="str">
        <f>"GJ002"</f>
        <v>GJ002</v>
      </c>
      <c r="D6706" s="1" t="str">
        <f>"GJ002"</f>
        <v>GJ002</v>
      </c>
      <c r="E6706" s="1" t="s">
        <v>4566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</row>
    <row r="6707" spans="1:11" x14ac:dyDescent="0.2">
      <c r="A6707" s="1" t="s">
        <v>1213</v>
      </c>
      <c r="B6707" s="1" t="s">
        <v>1650</v>
      </c>
      <c r="C6707" s="1" t="str">
        <f>"11551"</f>
        <v>11551</v>
      </c>
      <c r="D6707" s="1" t="str">
        <f>"11551"</f>
        <v>11551</v>
      </c>
      <c r="E6707" s="1" t="s">
        <v>4566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</row>
    <row r="6708" spans="1:11" x14ac:dyDescent="0.2">
      <c r="A6708" s="1" t="s">
        <v>1213</v>
      </c>
      <c r="B6708" s="1" t="s">
        <v>1651</v>
      </c>
      <c r="C6708" s="1" t="str">
        <f>"66298849226190"</f>
        <v>66298849226190</v>
      </c>
      <c r="D6708" s="1" t="str">
        <f>"2301A-KEC6-C00JP"</f>
        <v>2301A-KEC6-C00JP</v>
      </c>
      <c r="E6708" s="1" t="s">
        <v>4566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</row>
    <row r="6709" spans="1:11" x14ac:dyDescent="0.2">
      <c r="A6709" s="1" t="s">
        <v>1213</v>
      </c>
      <c r="B6709" s="1" t="s">
        <v>1652</v>
      </c>
      <c r="C6709" s="1" t="str">
        <f>"66298849271753"</f>
        <v>66298849271753</v>
      </c>
      <c r="D6709" s="1" t="str">
        <f>"22535-KRW-900"</f>
        <v>22535-KRW-900</v>
      </c>
      <c r="E6709" s="1" t="s">
        <v>4566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</row>
    <row r="6710" spans="1:11" x14ac:dyDescent="0.2">
      <c r="A6710" s="1" t="s">
        <v>1213</v>
      </c>
      <c r="B6710" s="1" t="s">
        <v>1653</v>
      </c>
      <c r="C6710" s="1" t="str">
        <f>"66298849321299"</f>
        <v>66298849321299</v>
      </c>
      <c r="D6710" s="1" t="str">
        <f>"CD018"</f>
        <v>CD018</v>
      </c>
      <c r="E6710" s="1" t="s">
        <v>4566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</row>
    <row r="6711" spans="1:11" x14ac:dyDescent="0.2">
      <c r="A6711" s="1" t="s">
        <v>1213</v>
      </c>
      <c r="B6711" s="1" t="s">
        <v>1653</v>
      </c>
      <c r="C6711" s="1" t="str">
        <f>"66298849326472"</f>
        <v>66298849326472</v>
      </c>
      <c r="D6711" s="1" t="str">
        <f>"CD017"</f>
        <v>CD017</v>
      </c>
      <c r="E6711" s="1" t="s">
        <v>4566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</row>
    <row r="6712" spans="1:11" x14ac:dyDescent="0.2">
      <c r="A6712" s="1" t="s">
        <v>1213</v>
      </c>
      <c r="B6712" s="1" t="s">
        <v>1654</v>
      </c>
      <c r="C6712" s="1" t="str">
        <f>"66298849378315"</f>
        <v>66298849378315</v>
      </c>
      <c r="D6712" s="1" t="str">
        <f>"400714"</f>
        <v>400714</v>
      </c>
      <c r="E6712" s="1" t="s">
        <v>4566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</row>
    <row r="6713" spans="1:11" x14ac:dyDescent="0.2">
      <c r="A6713" s="1" t="s">
        <v>1213</v>
      </c>
      <c r="B6713" s="1" t="s">
        <v>1655</v>
      </c>
      <c r="C6713" s="1" t="str">
        <f>"66298849417655"</f>
        <v>66298849417655</v>
      </c>
      <c r="D6713" s="1" t="str">
        <f>"400715"</f>
        <v>400715</v>
      </c>
      <c r="E6713" s="1" t="s">
        <v>4566</v>
      </c>
      <c r="F6713" s="1">
        <v>18</v>
      </c>
      <c r="G6713" s="1">
        <v>11953</v>
      </c>
      <c r="H6713" s="1">
        <v>215154</v>
      </c>
      <c r="I6713" s="1">
        <v>0</v>
      </c>
      <c r="J6713" s="1">
        <v>18</v>
      </c>
      <c r="K6713" s="1">
        <v>0</v>
      </c>
    </row>
    <row r="6714" spans="1:11" x14ac:dyDescent="0.2">
      <c r="A6714" s="1" t="s">
        <v>1213</v>
      </c>
      <c r="B6714" s="1" t="s">
        <v>1656</v>
      </c>
      <c r="C6714" s="1" t="str">
        <f>"66298849458330"</f>
        <v>66298849458330</v>
      </c>
      <c r="D6714" s="1" t="str">
        <f>"400716"</f>
        <v>400716</v>
      </c>
      <c r="E6714" s="1" t="s">
        <v>4566</v>
      </c>
      <c r="F6714" s="1">
        <v>24</v>
      </c>
      <c r="G6714" s="1">
        <v>17281</v>
      </c>
      <c r="H6714" s="1">
        <v>414744</v>
      </c>
      <c r="I6714" s="1">
        <v>0</v>
      </c>
      <c r="J6714" s="1">
        <v>24</v>
      </c>
      <c r="K6714" s="1">
        <v>0</v>
      </c>
    </row>
    <row r="6715" spans="1:11" ht="30" x14ac:dyDescent="0.2">
      <c r="A6715" s="1" t="s">
        <v>1213</v>
      </c>
      <c r="B6715" s="1" t="s">
        <v>1657</v>
      </c>
      <c r="C6715" s="1" t="str">
        <f>"66298849496895"</f>
        <v>66298849496895</v>
      </c>
      <c r="D6715" s="1" t="str">
        <f>"C202"</f>
        <v>C202</v>
      </c>
      <c r="E6715" s="1" t="s">
        <v>4566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</row>
    <row r="6716" spans="1:11" x14ac:dyDescent="0.2">
      <c r="A6716" s="1" t="s">
        <v>1213</v>
      </c>
      <c r="B6716" s="1" t="s">
        <v>1658</v>
      </c>
      <c r="C6716" s="1" t="str">
        <f>"66298849542073"</f>
        <v>66298849542073</v>
      </c>
      <c r="D6716" s="1" t="str">
        <f>"CA003"</f>
        <v>CA003</v>
      </c>
      <c r="E6716" s="1" t="s">
        <v>4566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</row>
    <row r="6717" spans="1:11" x14ac:dyDescent="0.2">
      <c r="A6717" s="1" t="s">
        <v>1213</v>
      </c>
      <c r="B6717" s="1" t="s">
        <v>1658</v>
      </c>
      <c r="C6717" s="1" t="str">
        <f>"66298849548648"</f>
        <v>66298849548648</v>
      </c>
      <c r="D6717" s="1" t="str">
        <f>"CA003-A"</f>
        <v>CA003-A</v>
      </c>
      <c r="E6717" s="1" t="s">
        <v>4566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</row>
    <row r="6718" spans="1:11" x14ac:dyDescent="0.2">
      <c r="A6718" s="1" t="s">
        <v>1213</v>
      </c>
      <c r="B6718" s="1" t="s">
        <v>1659</v>
      </c>
      <c r="C6718" s="1" t="str">
        <f>"66298849607619"</f>
        <v>66298849607619</v>
      </c>
      <c r="D6718" s="1" t="str">
        <f>"C212"</f>
        <v>C212</v>
      </c>
      <c r="E6718" s="1" t="s">
        <v>4566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</row>
    <row r="6719" spans="1:11" x14ac:dyDescent="0.2">
      <c r="A6719" s="1" t="s">
        <v>1213</v>
      </c>
      <c r="B6719" s="1" t="s">
        <v>1660</v>
      </c>
      <c r="C6719" s="1" t="str">
        <f>"49CC91"</f>
        <v>49CC91</v>
      </c>
      <c r="D6719" s="1" t="str">
        <f>"49CC91"</f>
        <v>49CC91</v>
      </c>
      <c r="E6719" s="1" t="s">
        <v>4566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</row>
    <row r="6720" spans="1:11" x14ac:dyDescent="0.2">
      <c r="A6720" s="1" t="s">
        <v>1213</v>
      </c>
      <c r="B6720" s="1" t="s">
        <v>1661</v>
      </c>
      <c r="C6720" s="1" t="str">
        <f>"11484"</f>
        <v>11484</v>
      </c>
      <c r="D6720" s="1" t="str">
        <f>"11484"</f>
        <v>11484</v>
      </c>
      <c r="E6720" s="1" t="s">
        <v>4566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</row>
    <row r="6721" spans="1:11" x14ac:dyDescent="0.2">
      <c r="A6721" s="1" t="s">
        <v>1213</v>
      </c>
      <c r="B6721" s="1" t="s">
        <v>1662</v>
      </c>
      <c r="C6721" s="1" t="str">
        <f>"66298849657839"</f>
        <v>66298849657839</v>
      </c>
      <c r="D6721" s="1" t="str">
        <f>"22120-KWS-901-K"</f>
        <v>22120-KWS-901-K</v>
      </c>
      <c r="E6721" s="1" t="s">
        <v>4566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</row>
    <row r="6722" spans="1:11" x14ac:dyDescent="0.2">
      <c r="A6722" s="1" t="s">
        <v>1213</v>
      </c>
      <c r="B6722" s="1" t="s">
        <v>1662</v>
      </c>
      <c r="C6722" s="1" t="str">
        <f>"66298849664651"</f>
        <v>66298849664651</v>
      </c>
      <c r="D6722" s="1" t="str">
        <f>"C210"</f>
        <v>C210</v>
      </c>
      <c r="E6722" s="1" t="s">
        <v>4566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</row>
    <row r="6723" spans="1:11" x14ac:dyDescent="0.2">
      <c r="A6723" s="1" t="s">
        <v>1213</v>
      </c>
      <c r="B6723" s="1" t="s">
        <v>1663</v>
      </c>
      <c r="C6723" s="1" t="str">
        <f>"66298849720603"</f>
        <v>66298849720603</v>
      </c>
      <c r="D6723" s="1" t="str">
        <f>"400729"</f>
        <v>400729</v>
      </c>
      <c r="E6723" s="1" t="s">
        <v>4566</v>
      </c>
      <c r="F6723" s="1">
        <v>31</v>
      </c>
      <c r="G6723" s="1">
        <v>6701</v>
      </c>
      <c r="H6723" s="1">
        <v>207731</v>
      </c>
      <c r="I6723" s="1">
        <v>0</v>
      </c>
      <c r="J6723" s="1">
        <v>31</v>
      </c>
      <c r="K6723" s="1">
        <v>0</v>
      </c>
    </row>
    <row r="6724" spans="1:11" x14ac:dyDescent="0.2">
      <c r="A6724" s="1" t="s">
        <v>1213</v>
      </c>
      <c r="B6724" s="1" t="s">
        <v>1664</v>
      </c>
      <c r="C6724" s="1" t="str">
        <f>"66298849761333"</f>
        <v>66298849761333</v>
      </c>
      <c r="D6724" s="1" t="str">
        <f>"22120-KTE-901-K"</f>
        <v>22120-KTE-901-K</v>
      </c>
      <c r="E6724" s="1" t="s">
        <v>4566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</row>
    <row r="6725" spans="1:11" x14ac:dyDescent="0.2">
      <c r="A6725" s="1" t="s">
        <v>1213</v>
      </c>
      <c r="B6725" s="1" t="s">
        <v>1665</v>
      </c>
      <c r="C6725" s="1" t="str">
        <f>"66298849801400"</f>
        <v>66298849801400</v>
      </c>
      <c r="D6725" s="1" t="str">
        <f>"400727"</f>
        <v>400727</v>
      </c>
      <c r="E6725" s="1" t="s">
        <v>4566</v>
      </c>
      <c r="F6725" s="1">
        <v>20</v>
      </c>
      <c r="G6725" s="1">
        <v>4801</v>
      </c>
      <c r="H6725" s="1">
        <v>96020</v>
      </c>
      <c r="I6725" s="1">
        <v>0</v>
      </c>
      <c r="J6725" s="1">
        <v>20</v>
      </c>
      <c r="K6725" s="1">
        <v>0</v>
      </c>
    </row>
    <row r="6726" spans="1:11" x14ac:dyDescent="0.2">
      <c r="A6726" s="1" t="s">
        <v>1213</v>
      </c>
      <c r="B6726" s="1" t="s">
        <v>1666</v>
      </c>
      <c r="C6726" s="1" t="str">
        <f>"66298849924730"</f>
        <v>66298849924730</v>
      </c>
      <c r="D6726" s="1" t="str">
        <f>"400730"</f>
        <v>400730</v>
      </c>
      <c r="E6726" s="1" t="s">
        <v>4566</v>
      </c>
      <c r="F6726" s="1">
        <v>60</v>
      </c>
      <c r="G6726" s="1">
        <v>8265</v>
      </c>
      <c r="H6726" s="1">
        <v>495900</v>
      </c>
      <c r="I6726" s="1">
        <v>0</v>
      </c>
      <c r="J6726" s="1">
        <v>60</v>
      </c>
      <c r="K6726" s="1">
        <v>0</v>
      </c>
    </row>
    <row r="6727" spans="1:11" x14ac:dyDescent="0.2">
      <c r="A6727" s="1" t="s">
        <v>1213</v>
      </c>
      <c r="B6727" s="1" t="s">
        <v>1667</v>
      </c>
      <c r="C6727" s="1" t="str">
        <f>"66298849839322"</f>
        <v>66298849839322</v>
      </c>
      <c r="D6727" s="1" t="str">
        <f>"21C-E6371-00-K"</f>
        <v>21C-E6371-00-K</v>
      </c>
      <c r="E6727" s="1" t="s">
        <v>4566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</row>
    <row r="6728" spans="1:11" x14ac:dyDescent="0.2">
      <c r="A6728" s="1" t="s">
        <v>1213</v>
      </c>
      <c r="B6728" s="1" t="s">
        <v>1667</v>
      </c>
      <c r="C6728" s="1" t="str">
        <f>"66298849879548"</f>
        <v>66298849879548</v>
      </c>
      <c r="D6728" s="1" t="str">
        <f>"C209"</f>
        <v>C209</v>
      </c>
      <c r="E6728" s="1" t="s">
        <v>4566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</row>
    <row r="6729" spans="1:11" x14ac:dyDescent="0.2">
      <c r="A6729" s="1" t="s">
        <v>1213</v>
      </c>
      <c r="B6729" s="1" t="s">
        <v>1668</v>
      </c>
      <c r="C6729" s="1" t="str">
        <f>"66298849966815"</f>
        <v>66298849966815</v>
      </c>
      <c r="D6729" s="1" t="str">
        <f>"400731"</f>
        <v>400731</v>
      </c>
      <c r="E6729" s="1" t="s">
        <v>4566</v>
      </c>
      <c r="F6729" s="1">
        <v>10</v>
      </c>
      <c r="G6729" s="1">
        <v>5254</v>
      </c>
      <c r="H6729" s="1">
        <v>52540</v>
      </c>
      <c r="I6729" s="1">
        <v>0</v>
      </c>
      <c r="J6729" s="1">
        <v>10</v>
      </c>
      <c r="K6729" s="1">
        <v>0</v>
      </c>
    </row>
    <row r="6730" spans="1:11" x14ac:dyDescent="0.2">
      <c r="A6730" s="1" t="s">
        <v>1213</v>
      </c>
      <c r="B6730" s="1" t="s">
        <v>1669</v>
      </c>
      <c r="C6730" s="1" t="str">
        <f>"66298850017182"</f>
        <v>66298850017182</v>
      </c>
      <c r="D6730" s="1" t="str">
        <f>"JE-5514-00"</f>
        <v>JE-5514-00</v>
      </c>
      <c r="E6730" s="1" t="s">
        <v>4566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</row>
    <row r="6731" spans="1:11" x14ac:dyDescent="0.2">
      <c r="A6731" s="1" t="s">
        <v>1213</v>
      </c>
      <c r="B6731" s="1" t="s">
        <v>1670</v>
      </c>
      <c r="C6731" s="1" t="str">
        <f>"DK-1015-63"</f>
        <v>DK-1015-63</v>
      </c>
      <c r="D6731" s="1" t="str">
        <f>"DK-1015-63"</f>
        <v>DK-1015-63</v>
      </c>
      <c r="E6731" s="1" t="s">
        <v>4566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</row>
    <row r="6732" spans="1:11" x14ac:dyDescent="0.2">
      <c r="A6732" s="1" t="s">
        <v>1213</v>
      </c>
      <c r="B6732" s="1" t="s">
        <v>1671</v>
      </c>
      <c r="C6732" s="1" t="str">
        <f>"66298850115445"</f>
        <v>66298850115445</v>
      </c>
      <c r="D6732" s="1" t="str">
        <f>"400725"</f>
        <v>400725</v>
      </c>
      <c r="E6732" s="1" t="s">
        <v>4566</v>
      </c>
      <c r="F6732" s="1">
        <v>30</v>
      </c>
      <c r="G6732" s="1">
        <v>7924</v>
      </c>
      <c r="H6732" s="1">
        <v>237720</v>
      </c>
      <c r="I6732" s="1">
        <v>0</v>
      </c>
      <c r="J6732" s="1">
        <v>30</v>
      </c>
      <c r="K6732" s="1">
        <v>0</v>
      </c>
    </row>
    <row r="6733" spans="1:11" x14ac:dyDescent="0.2">
      <c r="A6733" s="1" t="s">
        <v>1213</v>
      </c>
      <c r="B6733" s="1" t="s">
        <v>1672</v>
      </c>
      <c r="C6733" s="1" t="str">
        <f>"C217"</f>
        <v>C217</v>
      </c>
      <c r="D6733" s="1" t="str">
        <f>"C217"</f>
        <v>C217</v>
      </c>
      <c r="E6733" s="1" t="s">
        <v>4566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</row>
    <row r="6734" spans="1:11" ht="30" x14ac:dyDescent="0.2">
      <c r="A6734" s="1" t="s">
        <v>1213</v>
      </c>
      <c r="B6734" s="1" t="s">
        <v>1673</v>
      </c>
      <c r="C6734" s="1" t="str">
        <f>"66298850195872"</f>
        <v>66298850195872</v>
      </c>
      <c r="D6734" s="1" t="str">
        <f>"400726"</f>
        <v>400726</v>
      </c>
      <c r="E6734" s="1" t="s">
        <v>4566</v>
      </c>
      <c r="F6734" s="1">
        <v>36</v>
      </c>
      <c r="G6734" s="1">
        <v>11291</v>
      </c>
      <c r="H6734" s="1">
        <v>406476</v>
      </c>
      <c r="I6734" s="1">
        <v>0</v>
      </c>
      <c r="J6734" s="1">
        <v>36</v>
      </c>
      <c r="K6734" s="1">
        <v>0</v>
      </c>
    </row>
    <row r="6735" spans="1:11" x14ac:dyDescent="0.2">
      <c r="A6735" s="1" t="s">
        <v>1213</v>
      </c>
      <c r="B6735" s="1" t="s">
        <v>1674</v>
      </c>
      <c r="C6735" s="1" t="str">
        <f>"66298850347445"</f>
        <v>66298850347445</v>
      </c>
      <c r="D6735" s="1" t="str">
        <f>"400733"</f>
        <v>400733</v>
      </c>
      <c r="E6735" s="1" t="s">
        <v>4566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</row>
    <row r="6736" spans="1:11" x14ac:dyDescent="0.2">
      <c r="A6736" s="1" t="s">
        <v>1213</v>
      </c>
      <c r="B6736" s="1" t="s">
        <v>1675</v>
      </c>
      <c r="C6736" s="1" t="str">
        <f>"66298850257140"</f>
        <v>66298850257140</v>
      </c>
      <c r="D6736" s="1" t="str">
        <f>"5RE-E6371-00-K"</f>
        <v>5RE-E6371-00-K</v>
      </c>
      <c r="E6736" s="1" t="s">
        <v>4566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</row>
    <row r="6737" spans="1:11" ht="30" x14ac:dyDescent="0.2">
      <c r="A6737" s="1" t="s">
        <v>1213</v>
      </c>
      <c r="B6737" s="1" t="s">
        <v>1676</v>
      </c>
      <c r="C6737" s="1" t="str">
        <f>"66298850301405"</f>
        <v>66298850301405</v>
      </c>
      <c r="D6737" s="1" t="str">
        <f>"400734"</f>
        <v>400734</v>
      </c>
      <c r="E6737" s="1" t="s">
        <v>4566</v>
      </c>
      <c r="F6737" s="1">
        <v>13</v>
      </c>
      <c r="G6737" s="1">
        <v>4652</v>
      </c>
      <c r="H6737" s="1">
        <v>60476</v>
      </c>
      <c r="I6737" s="1">
        <v>0</v>
      </c>
      <c r="J6737" s="1">
        <v>13</v>
      </c>
      <c r="K6737" s="1">
        <v>0</v>
      </c>
    </row>
    <row r="6738" spans="1:11" x14ac:dyDescent="0.2">
      <c r="A6738" s="1" t="s">
        <v>1213</v>
      </c>
      <c r="B6738" s="1" t="s">
        <v>1677</v>
      </c>
      <c r="C6738" s="1" t="str">
        <f>"C205"</f>
        <v>C205</v>
      </c>
      <c r="D6738" s="1" t="str">
        <f>"C205"</f>
        <v>C205</v>
      </c>
      <c r="E6738" s="1" t="s">
        <v>4566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</row>
    <row r="6739" spans="1:11" x14ac:dyDescent="0.2">
      <c r="A6739" s="1" t="s">
        <v>1678</v>
      </c>
      <c r="B6739" s="1" t="s">
        <v>1679</v>
      </c>
      <c r="C6739" s="1" t="str">
        <f>"3MTB101303"</f>
        <v>3MTB101303</v>
      </c>
      <c r="D6739" s="1" t="str">
        <f>"3MTB101303"</f>
        <v>3MTB101303</v>
      </c>
      <c r="E6739" s="1" t="s">
        <v>4566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</row>
    <row r="6740" spans="1:11" ht="30" x14ac:dyDescent="0.2">
      <c r="A6740" s="1" t="s">
        <v>1213</v>
      </c>
      <c r="B6740" s="1" t="s">
        <v>1680</v>
      </c>
      <c r="C6740" s="1" t="str">
        <f>"66298850521522"</f>
        <v>66298850521522</v>
      </c>
      <c r="D6740" s="1" t="str">
        <f>"400907"</f>
        <v>400907</v>
      </c>
      <c r="E6740" s="1" t="s">
        <v>4566</v>
      </c>
      <c r="F6740" s="1">
        <v>76</v>
      </c>
      <c r="G6740" s="1">
        <v>4161</v>
      </c>
      <c r="H6740" s="1">
        <v>316236</v>
      </c>
      <c r="I6740" s="1">
        <v>0</v>
      </c>
      <c r="J6740" s="1">
        <v>76</v>
      </c>
      <c r="K6740" s="1">
        <v>0</v>
      </c>
    </row>
    <row r="6741" spans="1:11" ht="30" x14ac:dyDescent="0.2">
      <c r="A6741" s="1" t="s">
        <v>1213</v>
      </c>
      <c r="B6741" s="1" t="s">
        <v>1681</v>
      </c>
      <c r="C6741" s="1" t="str">
        <f>"66298850478250"</f>
        <v>66298850478250</v>
      </c>
      <c r="D6741" s="1" t="str">
        <f>"CB008"</f>
        <v>CB008</v>
      </c>
      <c r="E6741" s="1" t="s">
        <v>4566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</row>
    <row r="6742" spans="1:11" x14ac:dyDescent="0.2">
      <c r="A6742" s="1" t="s">
        <v>1213</v>
      </c>
      <c r="B6742" s="1" t="s">
        <v>1682</v>
      </c>
      <c r="C6742" s="1" t="str">
        <f>"66298850561804"</f>
        <v>66298850561804</v>
      </c>
      <c r="D6742" s="1" t="str">
        <f>"28125-KW3-006"</f>
        <v>28125-KW3-006</v>
      </c>
      <c r="E6742" s="1" t="s">
        <v>4566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</row>
    <row r="6743" spans="1:11" ht="30" x14ac:dyDescent="0.2">
      <c r="A6743" s="1" t="s">
        <v>1213</v>
      </c>
      <c r="B6743" s="1" t="s">
        <v>1683</v>
      </c>
      <c r="C6743" s="1" t="str">
        <f>"66298850603420"</f>
        <v>66298850603420</v>
      </c>
      <c r="D6743" s="1" t="str">
        <f>"28120-KWA-941JP"</f>
        <v>28120-KWA-941JP</v>
      </c>
      <c r="E6743" s="1" t="s">
        <v>4566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</row>
    <row r="6744" spans="1:11" ht="30" x14ac:dyDescent="0.2">
      <c r="A6744" s="1" t="s">
        <v>1213</v>
      </c>
      <c r="B6744" s="1" t="s">
        <v>1684</v>
      </c>
      <c r="C6744" s="1" t="str">
        <f>"66298850425402"</f>
        <v>66298850425402</v>
      </c>
      <c r="D6744" s="1" t="str">
        <f>"400685"</f>
        <v>400685</v>
      </c>
      <c r="E6744" s="1" t="s">
        <v>4566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</row>
    <row r="6745" spans="1:11" x14ac:dyDescent="0.2">
      <c r="A6745" s="1" t="s">
        <v>1213</v>
      </c>
      <c r="B6745" s="1" t="s">
        <v>1685</v>
      </c>
      <c r="C6745" s="1" t="str">
        <f>"CB007"</f>
        <v>CB007</v>
      </c>
      <c r="D6745" s="1" t="str">
        <f>"CB007"</f>
        <v>CB007</v>
      </c>
      <c r="E6745" s="1" t="s">
        <v>4566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</row>
    <row r="6746" spans="1:11" x14ac:dyDescent="0.2">
      <c r="A6746" s="1" t="s">
        <v>1213</v>
      </c>
      <c r="B6746" s="1" t="s">
        <v>1686</v>
      </c>
      <c r="C6746" s="1" t="str">
        <f>"66298850697260"</f>
        <v>66298850697260</v>
      </c>
      <c r="D6746" s="1" t="str">
        <f>"400693"</f>
        <v>400693</v>
      </c>
      <c r="E6746" s="1" t="s">
        <v>4566</v>
      </c>
      <c r="F6746" s="1">
        <v>63</v>
      </c>
      <c r="G6746" s="1">
        <v>2301</v>
      </c>
      <c r="H6746" s="1">
        <v>144963</v>
      </c>
      <c r="I6746" s="1">
        <v>0</v>
      </c>
      <c r="J6746" s="1">
        <v>63</v>
      </c>
      <c r="K6746" s="1">
        <v>0</v>
      </c>
    </row>
    <row r="6747" spans="1:11" x14ac:dyDescent="0.2">
      <c r="A6747" s="1" t="s">
        <v>1213</v>
      </c>
      <c r="B6747" s="1" t="s">
        <v>1687</v>
      </c>
      <c r="C6747" s="1" t="str">
        <f>"66298850649342"</f>
        <v>66298850649342</v>
      </c>
      <c r="D6747" s="1" t="str">
        <f>"21C-E5580-10JP"</f>
        <v>21C-E5580-10JP</v>
      </c>
      <c r="E6747" s="1" t="s">
        <v>4566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</row>
    <row r="6748" spans="1:11" x14ac:dyDescent="0.2">
      <c r="A6748" s="1" t="s">
        <v>1213</v>
      </c>
      <c r="B6748" s="1" t="s">
        <v>1688</v>
      </c>
      <c r="C6748" s="1" t="str">
        <f>"66298850735679"</f>
        <v>66298850735679</v>
      </c>
      <c r="D6748" s="1" t="str">
        <f>"400688"</f>
        <v>400688</v>
      </c>
      <c r="E6748" s="1" t="s">
        <v>4566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</row>
    <row r="6749" spans="1:11" ht="30" x14ac:dyDescent="0.2">
      <c r="A6749" s="1" t="s">
        <v>1213</v>
      </c>
      <c r="B6749" s="1" t="s">
        <v>1689</v>
      </c>
      <c r="C6749" s="1" t="str">
        <f>"400687"</f>
        <v>400687</v>
      </c>
      <c r="D6749" s="1" t="str">
        <f>"400687"</f>
        <v>400687</v>
      </c>
      <c r="E6749" s="1" t="s">
        <v>4566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</row>
    <row r="6750" spans="1:11" x14ac:dyDescent="0.2">
      <c r="A6750" s="1" t="s">
        <v>1213</v>
      </c>
      <c r="B6750" s="1" t="s">
        <v>1690</v>
      </c>
      <c r="C6750" s="1" t="str">
        <f>"66298850824682"</f>
        <v>66298850824682</v>
      </c>
      <c r="D6750" s="1" t="str">
        <f>"28125-KFC-791JP"</f>
        <v>28125-KFC-791JP</v>
      </c>
      <c r="E6750" s="1" t="s">
        <v>4566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</row>
    <row r="6751" spans="1:11" x14ac:dyDescent="0.2">
      <c r="A6751" s="1" t="s">
        <v>1213</v>
      </c>
      <c r="B6751" s="1" t="s">
        <v>1691</v>
      </c>
      <c r="C6751" s="1" t="str">
        <f>"66298850865518"</f>
        <v>66298850865518</v>
      </c>
      <c r="D6751" s="1" t="str">
        <f>"JA-6214-14"</f>
        <v>JA-6214-14</v>
      </c>
      <c r="E6751" s="1" t="s">
        <v>4566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</row>
    <row r="6752" spans="1:11" x14ac:dyDescent="0.2">
      <c r="A6752" s="1" t="s">
        <v>1213</v>
      </c>
      <c r="B6752" s="1" t="s">
        <v>1692</v>
      </c>
      <c r="C6752" s="1" t="str">
        <f>"66298850903182"</f>
        <v>66298850903182</v>
      </c>
      <c r="D6752" s="1" t="str">
        <f>"36-DH40-08JP"</f>
        <v>36-DH40-08JP</v>
      </c>
      <c r="E6752" s="1" t="s">
        <v>4566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</row>
    <row r="6753" spans="1:11" x14ac:dyDescent="0.2">
      <c r="A6753" s="1" t="s">
        <v>1213</v>
      </c>
      <c r="B6753" s="1" t="s">
        <v>1693</v>
      </c>
      <c r="C6753" s="1" t="str">
        <f>"66298850943601"</f>
        <v>66298850943601</v>
      </c>
      <c r="D6753" s="1" t="str">
        <f>"400689"</f>
        <v>400689</v>
      </c>
      <c r="E6753" s="1" t="s">
        <v>4566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</row>
    <row r="6754" spans="1:11" x14ac:dyDescent="0.2">
      <c r="A6754" s="1" t="s">
        <v>1213</v>
      </c>
      <c r="B6754" s="1" t="s">
        <v>1694</v>
      </c>
      <c r="C6754" s="1" t="str">
        <f>"66298850985832"</f>
        <v>66298850985832</v>
      </c>
      <c r="D6754" s="1" t="str">
        <f>"U008"</f>
        <v>U008</v>
      </c>
      <c r="E6754" s="1" t="s">
        <v>4566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</row>
    <row r="6755" spans="1:11" ht="30" x14ac:dyDescent="0.2">
      <c r="A6755" s="1" t="s">
        <v>1213</v>
      </c>
      <c r="B6755" s="1" t="s">
        <v>1695</v>
      </c>
      <c r="C6755" s="1" t="str">
        <f>"66298850386378"</f>
        <v>66298850386378</v>
      </c>
      <c r="D6755" s="1" t="str">
        <f>"400686"</f>
        <v>400686</v>
      </c>
      <c r="E6755" s="1" t="s">
        <v>4566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</row>
    <row r="6756" spans="1:11" x14ac:dyDescent="0.2">
      <c r="A6756" s="1" t="s">
        <v>1213</v>
      </c>
      <c r="B6756" s="1" t="s">
        <v>1696</v>
      </c>
      <c r="C6756" s="1" t="str">
        <f>"66298851030229"</f>
        <v>66298851030229</v>
      </c>
      <c r="D6756" s="1" t="str">
        <f>"28120-GFY6-C10JP"</f>
        <v>28120-GFY6-C10JP</v>
      </c>
      <c r="E6756" s="1" t="s">
        <v>4566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</row>
    <row r="6757" spans="1:11" x14ac:dyDescent="0.2">
      <c r="A6757" s="1" t="s">
        <v>1213</v>
      </c>
      <c r="B6757" s="1" t="s">
        <v>1697</v>
      </c>
      <c r="C6757" s="1" t="str">
        <f>"66298851070515"</f>
        <v>66298851070515</v>
      </c>
      <c r="D6757" s="1" t="str">
        <f>"400683"</f>
        <v>400683</v>
      </c>
      <c r="E6757" s="1" t="s">
        <v>4566</v>
      </c>
      <c r="F6757" s="1">
        <v>36</v>
      </c>
      <c r="G6757" s="1">
        <v>3544</v>
      </c>
      <c r="H6757" s="1">
        <v>127584</v>
      </c>
      <c r="I6757" s="1">
        <v>0</v>
      </c>
      <c r="J6757" s="1">
        <v>36</v>
      </c>
      <c r="K6757" s="1">
        <v>0</v>
      </c>
    </row>
    <row r="6758" spans="1:11" x14ac:dyDescent="0.2">
      <c r="A6758" s="1" t="s">
        <v>1213</v>
      </c>
      <c r="B6758" s="1" t="s">
        <v>1698</v>
      </c>
      <c r="C6758" s="1" t="str">
        <f>"66298851116894"</f>
        <v>66298851116894</v>
      </c>
      <c r="D6758" s="1" t="str">
        <f>"400684"</f>
        <v>400684</v>
      </c>
      <c r="E6758" s="1" t="s">
        <v>4566</v>
      </c>
      <c r="F6758" s="1">
        <v>62</v>
      </c>
      <c r="G6758" s="1">
        <v>4592</v>
      </c>
      <c r="H6758" s="1">
        <v>284704</v>
      </c>
      <c r="I6758" s="1">
        <v>0</v>
      </c>
      <c r="J6758" s="1">
        <v>62</v>
      </c>
      <c r="K6758" s="1">
        <v>0</v>
      </c>
    </row>
    <row r="6759" spans="1:11" ht="30" x14ac:dyDescent="0.2">
      <c r="A6759" s="1" t="s">
        <v>1213</v>
      </c>
      <c r="B6759" s="1" t="s">
        <v>1699</v>
      </c>
      <c r="C6759" s="1" t="str">
        <f>"66298851159887"</f>
        <v>66298851159887</v>
      </c>
      <c r="D6759" s="1" t="str">
        <f>"400691"</f>
        <v>400691</v>
      </c>
      <c r="E6759" s="1" t="s">
        <v>4566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</row>
    <row r="6760" spans="1:11" x14ac:dyDescent="0.2">
      <c r="A6760" s="1" t="s">
        <v>1213</v>
      </c>
      <c r="B6760" s="1" t="s">
        <v>1700</v>
      </c>
      <c r="C6760" s="1" t="str">
        <f>"66298851197731"</f>
        <v>66298851197731</v>
      </c>
      <c r="D6760" s="1" t="str">
        <f>"5US-E5590-00JP"</f>
        <v>5US-E5590-00JP</v>
      </c>
      <c r="E6760" s="1" t="s">
        <v>4566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</row>
    <row r="6761" spans="1:11" x14ac:dyDescent="0.2">
      <c r="A6761" s="1" t="s">
        <v>1213</v>
      </c>
      <c r="B6761" s="1" t="s">
        <v>1701</v>
      </c>
      <c r="C6761" s="1" t="str">
        <f>"66298851312763"</f>
        <v>66298851312763</v>
      </c>
      <c r="D6761" s="1" t="str">
        <f>"400690"</f>
        <v>400690</v>
      </c>
      <c r="E6761" s="1" t="s">
        <v>4566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</row>
    <row r="6762" spans="1:11" x14ac:dyDescent="0.2">
      <c r="A6762" s="1" t="s">
        <v>1213</v>
      </c>
      <c r="B6762" s="1" t="s">
        <v>1702</v>
      </c>
      <c r="C6762" s="1" t="str">
        <f>"66298851245011"</f>
        <v>66298851245011</v>
      </c>
      <c r="D6762" s="1" t="str">
        <f>"1BK-E5580-00"</f>
        <v>1BK-E5580-00</v>
      </c>
      <c r="E6762" s="1" t="s">
        <v>4566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</row>
    <row r="6763" spans="1:11" x14ac:dyDescent="0.2">
      <c r="A6763" s="1" t="s">
        <v>1213</v>
      </c>
      <c r="B6763" s="1" t="s">
        <v>1702</v>
      </c>
      <c r="C6763" s="1" t="str">
        <f>"66298851254701"</f>
        <v>66298851254701</v>
      </c>
      <c r="D6763" s="1" t="str">
        <f>"CB002"</f>
        <v>CB002</v>
      </c>
      <c r="E6763" s="1" t="s">
        <v>4566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</row>
    <row r="6764" spans="1:11" x14ac:dyDescent="0.2">
      <c r="A6764" s="1" t="s">
        <v>1213</v>
      </c>
      <c r="B6764" s="1" t="s">
        <v>1703</v>
      </c>
      <c r="C6764" s="1" t="str">
        <f>"66298851357650"</f>
        <v>66298851357650</v>
      </c>
      <c r="D6764" s="1" t="str">
        <f>"5TY-E5570-01JP"</f>
        <v>5TY-E5570-01JP</v>
      </c>
      <c r="E6764" s="1" t="s">
        <v>4566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</row>
    <row r="6765" spans="1:11" x14ac:dyDescent="0.2">
      <c r="A6765" s="1" t="s">
        <v>1213</v>
      </c>
      <c r="B6765" s="1" t="s">
        <v>1704</v>
      </c>
      <c r="C6765" s="1" t="str">
        <f>"66298851407886"</f>
        <v>66298851407886</v>
      </c>
      <c r="D6765" s="1" t="str">
        <f>"257"</f>
        <v>257</v>
      </c>
      <c r="E6765" s="1" t="s">
        <v>4566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</row>
    <row r="6766" spans="1:11" x14ac:dyDescent="0.2">
      <c r="A6766" s="1" t="s">
        <v>1213</v>
      </c>
      <c r="B6766" s="1" t="s">
        <v>1704</v>
      </c>
      <c r="C6766" s="1" t="str">
        <f>"66298851413715"</f>
        <v>66298851413715</v>
      </c>
      <c r="D6766" s="1" t="str">
        <f>"54B-E5580-00"</f>
        <v>54B-E5580-00</v>
      </c>
      <c r="E6766" s="1" t="s">
        <v>4566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</row>
    <row r="6767" spans="1:11" x14ac:dyDescent="0.2">
      <c r="A6767" s="1" t="s">
        <v>1705</v>
      </c>
      <c r="B6767" s="1" t="s">
        <v>1706</v>
      </c>
      <c r="C6767" s="1" t="str">
        <f>"66298851470524"</f>
        <v>66298851470524</v>
      </c>
      <c r="D6767" s="1" t="str">
        <f>"02K274"</f>
        <v>02K274</v>
      </c>
      <c r="E6767" s="1" t="s">
        <v>4566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</row>
    <row r="6768" spans="1:11" x14ac:dyDescent="0.2">
      <c r="A6768" s="1" t="s">
        <v>1705</v>
      </c>
      <c r="B6768" s="1" t="s">
        <v>1707</v>
      </c>
      <c r="C6768" s="1" t="str">
        <f>"66298851512658"</f>
        <v>66298851512658</v>
      </c>
      <c r="D6768" s="1" t="str">
        <f>"E06020023"</f>
        <v>E06020023</v>
      </c>
      <c r="E6768" s="1" t="s">
        <v>4566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</row>
    <row r="6769" spans="1:11" x14ac:dyDescent="0.2">
      <c r="A6769" s="1" t="s">
        <v>1705</v>
      </c>
      <c r="B6769" s="1" t="s">
        <v>1708</v>
      </c>
      <c r="C6769" s="1" t="str">
        <f>"66298851555050"</f>
        <v>66298851555050</v>
      </c>
      <c r="D6769" s="1" t="str">
        <f>"02K318"</f>
        <v>02K318</v>
      </c>
      <c r="E6769" s="1" t="s">
        <v>4566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</row>
    <row r="6770" spans="1:11" x14ac:dyDescent="0.2">
      <c r="A6770" s="1" t="s">
        <v>1705</v>
      </c>
      <c r="B6770" s="1" t="s">
        <v>1709</v>
      </c>
      <c r="C6770" s="1" t="str">
        <f>"66298851596782"</f>
        <v>66298851596782</v>
      </c>
      <c r="D6770" s="1" t="str">
        <f>"11241-34J00"</f>
        <v>11241-34J00</v>
      </c>
      <c r="E6770" s="1" t="s">
        <v>4566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</row>
    <row r="6771" spans="1:11" x14ac:dyDescent="0.2">
      <c r="A6771" s="1" t="s">
        <v>1705</v>
      </c>
      <c r="B6771" s="1" t="s">
        <v>1709</v>
      </c>
      <c r="C6771" s="1" t="str">
        <f>"66298851639571"</f>
        <v>66298851639571</v>
      </c>
      <c r="D6771" s="1" t="str">
        <f>"02K340"</f>
        <v>02K340</v>
      </c>
      <c r="E6771" s="1" t="s">
        <v>4566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</row>
    <row r="6772" spans="1:11" x14ac:dyDescent="0.2">
      <c r="A6772" s="1" t="s">
        <v>1705</v>
      </c>
      <c r="B6772" s="1" t="s">
        <v>1710</v>
      </c>
      <c r="C6772" s="1" t="str">
        <f>"66298851680701"</f>
        <v>66298851680701</v>
      </c>
      <c r="D6772" s="1" t="str">
        <f>"12191-KPF-900BR"</f>
        <v>12191-KPF-900BR</v>
      </c>
      <c r="E6772" s="1" t="s">
        <v>4566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</row>
    <row r="6773" spans="1:11" x14ac:dyDescent="0.2">
      <c r="A6773" s="1" t="s">
        <v>1705</v>
      </c>
      <c r="B6773" s="1" t="s">
        <v>1710</v>
      </c>
      <c r="C6773" s="1" t="str">
        <f>"66298851721867"</f>
        <v>66298851721867</v>
      </c>
      <c r="D6773" s="1" t="str">
        <f>"02K278"</f>
        <v>02K278</v>
      </c>
      <c r="E6773" s="1" t="s">
        <v>4566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</row>
    <row r="6774" spans="1:11" x14ac:dyDescent="0.2">
      <c r="A6774" s="1" t="s">
        <v>1705</v>
      </c>
      <c r="B6774" s="1" t="s">
        <v>1711</v>
      </c>
      <c r="C6774" s="1" t="str">
        <f>"66298851762316"</f>
        <v>66298851762316</v>
      </c>
      <c r="D6774" s="1" t="str">
        <f>"12191-KZ1-920BR"</f>
        <v>12191-KZ1-920BR</v>
      </c>
      <c r="E6774" s="1" t="s">
        <v>4566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</row>
    <row r="6775" spans="1:11" x14ac:dyDescent="0.2">
      <c r="A6775" s="1" t="s">
        <v>1705</v>
      </c>
      <c r="B6775" s="1" t="s">
        <v>1712</v>
      </c>
      <c r="C6775" s="1" t="str">
        <f>"66298851802276"</f>
        <v>66298851802276</v>
      </c>
      <c r="D6775" s="1" t="str">
        <f>"02K200"</f>
        <v>02K200</v>
      </c>
      <c r="E6775" s="1" t="s">
        <v>4566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</row>
    <row r="6776" spans="1:11" x14ac:dyDescent="0.2">
      <c r="A6776" s="1" t="s">
        <v>1705</v>
      </c>
      <c r="B6776" s="1" t="s">
        <v>1713</v>
      </c>
      <c r="C6776" s="1" t="str">
        <f>"66298851842980"</f>
        <v>66298851842980</v>
      </c>
      <c r="D6776" s="1" t="str">
        <f>"02K219"</f>
        <v>02K219</v>
      </c>
      <c r="E6776" s="1" t="s">
        <v>4566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</row>
    <row r="6777" spans="1:11" x14ac:dyDescent="0.2">
      <c r="A6777" s="1" t="s">
        <v>1705</v>
      </c>
      <c r="B6777" s="1" t="s">
        <v>1714</v>
      </c>
      <c r="C6777" s="1" t="str">
        <f>"66298851883661"</f>
        <v>66298851883661</v>
      </c>
      <c r="D6777" s="1" t="str">
        <f>"02K290"</f>
        <v>02K290</v>
      </c>
      <c r="E6777" s="1" t="s">
        <v>4566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</row>
    <row r="6778" spans="1:11" x14ac:dyDescent="0.2">
      <c r="A6778" s="1" t="s">
        <v>1705</v>
      </c>
      <c r="B6778" s="1" t="s">
        <v>1715</v>
      </c>
      <c r="C6778" s="1" t="str">
        <f>"03M520LA"</f>
        <v>03M520LA</v>
      </c>
      <c r="D6778" s="1" t="str">
        <f>"03M520LA"</f>
        <v>03M520LA</v>
      </c>
      <c r="E6778" s="1" t="s">
        <v>4566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</row>
    <row r="6779" spans="1:11" x14ac:dyDescent="0.2">
      <c r="A6779" s="1" t="s">
        <v>1705</v>
      </c>
      <c r="B6779" s="1" t="s">
        <v>1716</v>
      </c>
      <c r="C6779" s="1" t="str">
        <f>"U004"</f>
        <v>U004</v>
      </c>
      <c r="D6779" s="1" t="str">
        <f>"U004"</f>
        <v>U004</v>
      </c>
      <c r="E6779" s="1" t="s">
        <v>4566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</row>
    <row r="6780" spans="1:11" x14ac:dyDescent="0.2">
      <c r="A6780" s="1" t="s">
        <v>1705</v>
      </c>
      <c r="B6780" s="1" t="s">
        <v>1717</v>
      </c>
      <c r="C6780" s="1" t="str">
        <f>"66298851984807"</f>
        <v>66298851984807</v>
      </c>
      <c r="D6780" s="1" t="str">
        <f>"12251-KPF-900BR"</f>
        <v>12251-KPF-900BR</v>
      </c>
      <c r="E6780" s="1" t="s">
        <v>4566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</row>
    <row r="6781" spans="1:11" x14ac:dyDescent="0.2">
      <c r="A6781" s="1" t="s">
        <v>1705</v>
      </c>
      <c r="B6781" s="1" t="s">
        <v>1718</v>
      </c>
      <c r="C6781" s="1" t="str">
        <f>"66298852029668"</f>
        <v>66298852029668</v>
      </c>
      <c r="D6781" s="1" t="str">
        <f>"03M326LA"</f>
        <v>03M326LA</v>
      </c>
      <c r="E6781" s="1" t="s">
        <v>4566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</row>
    <row r="6782" spans="1:11" x14ac:dyDescent="0.2">
      <c r="A6782" s="1" t="s">
        <v>1705</v>
      </c>
      <c r="B6782" s="1" t="s">
        <v>1719</v>
      </c>
      <c r="C6782" s="1" t="str">
        <f>"66298852067227"</f>
        <v>66298852067227</v>
      </c>
      <c r="D6782" s="1" t="str">
        <f>"03M408LA"</f>
        <v>03M408LA</v>
      </c>
      <c r="E6782" s="1" t="s">
        <v>4566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</row>
    <row r="6783" spans="1:11" x14ac:dyDescent="0.2">
      <c r="A6783" s="1" t="s">
        <v>1705</v>
      </c>
      <c r="B6783" s="1" t="s">
        <v>1720</v>
      </c>
      <c r="C6783" s="1" t="str">
        <f>"EM-ES-CB1"</f>
        <v>EM-ES-CB1</v>
      </c>
      <c r="D6783" s="1" t="str">
        <f>"EM-ES-CB1"</f>
        <v>EM-ES-CB1</v>
      </c>
      <c r="E6783" s="1" t="s">
        <v>4566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</row>
    <row r="6784" spans="1:11" x14ac:dyDescent="0.2">
      <c r="A6784" s="1" t="s">
        <v>1705</v>
      </c>
      <c r="B6784" s="1" t="s">
        <v>1721</v>
      </c>
      <c r="C6784" s="1" t="str">
        <f>"66298852115506"</f>
        <v>66298852115506</v>
      </c>
      <c r="D6784" s="1" t="str">
        <f>"DM-E-00023"</f>
        <v>DM-E-00023</v>
      </c>
      <c r="E6784" s="1" t="s">
        <v>4566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</row>
    <row r="6785" spans="1:11" x14ac:dyDescent="0.2">
      <c r="A6785" s="1" t="s">
        <v>1705</v>
      </c>
      <c r="B6785" s="1" t="s">
        <v>1721</v>
      </c>
      <c r="C6785" s="1" t="str">
        <f>"66298852122804"</f>
        <v>66298852122804</v>
      </c>
      <c r="D6785" s="1" t="str">
        <f>"C022"</f>
        <v>C022</v>
      </c>
      <c r="E6785" s="1" t="s">
        <v>4566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</row>
    <row r="6786" spans="1:11" x14ac:dyDescent="0.2">
      <c r="A6786" s="1" t="s">
        <v>1705</v>
      </c>
      <c r="B6786" s="1" t="s">
        <v>1721</v>
      </c>
      <c r="C6786" s="1" t="str">
        <f>"66298852132980"</f>
        <v>66298852132980</v>
      </c>
      <c r="D6786" s="1" t="str">
        <f>"TK006"</f>
        <v>TK006</v>
      </c>
      <c r="E6786" s="1" t="s">
        <v>4566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</row>
    <row r="6787" spans="1:11" x14ac:dyDescent="0.2">
      <c r="A6787" s="1" t="s">
        <v>1705</v>
      </c>
      <c r="B6787" s="1" t="s">
        <v>1722</v>
      </c>
      <c r="C6787" s="1" t="str">
        <f>"66298852198415"</f>
        <v>66298852198415</v>
      </c>
      <c r="D6787" s="1" t="str">
        <f>"11191-383-000"</f>
        <v>11191-383-000</v>
      </c>
      <c r="E6787" s="1" t="s">
        <v>4566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</row>
    <row r="6788" spans="1:11" x14ac:dyDescent="0.2">
      <c r="A6788" s="1" t="s">
        <v>1705</v>
      </c>
      <c r="B6788" s="1" t="s">
        <v>1723</v>
      </c>
      <c r="C6788" s="1" t="str">
        <f>"S4VS270008044"</f>
        <v>S4VS270008044</v>
      </c>
      <c r="D6788" s="1" t="str">
        <f>"S4VS270008044"</f>
        <v>S4VS270008044</v>
      </c>
      <c r="E6788" s="1" t="s">
        <v>4566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</row>
    <row r="6789" spans="1:11" ht="30" x14ac:dyDescent="0.2">
      <c r="A6789" s="1" t="s">
        <v>1705</v>
      </c>
      <c r="B6789" s="1" t="s">
        <v>1724</v>
      </c>
      <c r="C6789" s="1" t="str">
        <f>"VS10003090183"</f>
        <v>VS10003090183</v>
      </c>
      <c r="D6789" s="1" t="str">
        <f>"VS10003090183"</f>
        <v>VS10003090183</v>
      </c>
      <c r="E6789" s="1" t="s">
        <v>4566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</row>
    <row r="6790" spans="1:11" ht="30" x14ac:dyDescent="0.2">
      <c r="A6790" s="1" t="s">
        <v>1705</v>
      </c>
      <c r="B6790" s="1" t="s">
        <v>1725</v>
      </c>
      <c r="C6790" s="1" t="str">
        <f>"66298852235840"</f>
        <v>66298852235840</v>
      </c>
      <c r="D6790" s="1" t="str">
        <f>"01P104"</f>
        <v>01P104</v>
      </c>
      <c r="E6790" s="1" t="s">
        <v>4566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</row>
    <row r="6791" spans="1:11" x14ac:dyDescent="0.2">
      <c r="A6791" s="1" t="s">
        <v>1705</v>
      </c>
      <c r="B6791" s="1" t="s">
        <v>1726</v>
      </c>
      <c r="C6791" s="1" t="str">
        <f>"VS05003000263U"</f>
        <v>VS05003000263U</v>
      </c>
      <c r="D6791" s="1" t="str">
        <f>"VS05003000263U"</f>
        <v>VS05003000263U</v>
      </c>
      <c r="E6791" s="1" t="s">
        <v>4566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</row>
    <row r="6792" spans="1:11" ht="30" x14ac:dyDescent="0.2">
      <c r="A6792" s="1" t="s">
        <v>1705</v>
      </c>
      <c r="B6792" s="1" t="s">
        <v>1727</v>
      </c>
      <c r="C6792" s="1" t="str">
        <f>"VS05003000195U"</f>
        <v>VS05003000195U</v>
      </c>
      <c r="D6792" s="1" t="str">
        <f>"VS05003000195U"</f>
        <v>VS05003000195U</v>
      </c>
      <c r="E6792" s="1" t="s">
        <v>4566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</row>
    <row r="6793" spans="1:11" x14ac:dyDescent="0.2">
      <c r="A6793" s="1" t="s">
        <v>1705</v>
      </c>
      <c r="B6793" s="1" t="s">
        <v>1728</v>
      </c>
      <c r="C6793" s="1" t="str">
        <f>"66298852274483"</f>
        <v>66298852274483</v>
      </c>
      <c r="D6793" s="1" t="str">
        <f>"11394-KCY-671"</f>
        <v>11394-KCY-671</v>
      </c>
      <c r="E6793" s="1" t="s">
        <v>4566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</row>
    <row r="6794" spans="1:11" ht="30" x14ac:dyDescent="0.2">
      <c r="A6794" s="1" t="s">
        <v>1705</v>
      </c>
      <c r="B6794" s="1" t="s">
        <v>1729</v>
      </c>
      <c r="C6794" s="1" t="str">
        <f>"66298852320486"</f>
        <v>66298852320486</v>
      </c>
      <c r="D6794" s="1" t="str">
        <f>"01P174"</f>
        <v>01P174</v>
      </c>
      <c r="E6794" s="1" t="s">
        <v>4566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</row>
    <row r="6795" spans="1:11" x14ac:dyDescent="0.2">
      <c r="A6795" s="1" t="s">
        <v>1705</v>
      </c>
      <c r="B6795" s="1" t="s">
        <v>1730</v>
      </c>
      <c r="C6795" s="1" t="str">
        <f>"66298852362247"</f>
        <v>66298852362247</v>
      </c>
      <c r="D6795" s="1" t="str">
        <f>"01P177"</f>
        <v>01P177</v>
      </c>
      <c r="E6795" s="1" t="s">
        <v>4566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</row>
    <row r="6796" spans="1:11" x14ac:dyDescent="0.2">
      <c r="A6796" s="1" t="s">
        <v>1705</v>
      </c>
      <c r="B6796" s="1" t="s">
        <v>1731</v>
      </c>
      <c r="C6796" s="1" t="str">
        <f>"66298852402498"</f>
        <v>66298852402498</v>
      </c>
      <c r="D6796" s="1" t="str">
        <f>"05X179"</f>
        <v>05X179</v>
      </c>
      <c r="E6796" s="1" t="s">
        <v>4566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</row>
    <row r="6797" spans="1:11" x14ac:dyDescent="0.2">
      <c r="A6797" s="1" t="s">
        <v>1705</v>
      </c>
      <c r="B6797" s="1" t="s">
        <v>1732</v>
      </c>
      <c r="C6797" s="1" t="str">
        <f>"VS05004000015U"</f>
        <v>VS05004000015U</v>
      </c>
      <c r="D6797" s="1" t="str">
        <f>"VS05004000015U"</f>
        <v>VS05004000015U</v>
      </c>
      <c r="E6797" s="1" t="s">
        <v>4566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</row>
    <row r="6798" spans="1:11" x14ac:dyDescent="0.2">
      <c r="A6798" s="1" t="s">
        <v>1705</v>
      </c>
      <c r="B6798" s="1" t="s">
        <v>1733</v>
      </c>
      <c r="C6798" s="1" t="str">
        <f>"S4VS270017003"</f>
        <v>S4VS270017003</v>
      </c>
      <c r="D6798" s="1" t="str">
        <f>"S4VS270017003"</f>
        <v>S4VS270017003</v>
      </c>
      <c r="E6798" s="1" t="s">
        <v>4566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</row>
    <row r="6799" spans="1:11" ht="30" x14ac:dyDescent="0.2">
      <c r="A6799" s="1" t="s">
        <v>1705</v>
      </c>
      <c r="B6799" s="1" t="s">
        <v>1734</v>
      </c>
      <c r="C6799" s="1" t="str">
        <f>"66298852442709"</f>
        <v>66298852442709</v>
      </c>
      <c r="D6799" s="1" t="str">
        <f>"05X177"</f>
        <v>05X177</v>
      </c>
      <c r="E6799" s="1" t="s">
        <v>4566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</row>
    <row r="6800" spans="1:11" x14ac:dyDescent="0.2">
      <c r="A6800" s="1" t="s">
        <v>1705</v>
      </c>
      <c r="B6800" s="1" t="s">
        <v>1735</v>
      </c>
      <c r="C6800" s="1" t="str">
        <f>"66298852486114"</f>
        <v>66298852486114</v>
      </c>
      <c r="D6800" s="1" t="str">
        <f>"05X180"</f>
        <v>05X180</v>
      </c>
      <c r="E6800" s="1" t="s">
        <v>4566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</row>
    <row r="6801" spans="1:11" ht="30" x14ac:dyDescent="0.2">
      <c r="A6801" s="1" t="s">
        <v>1705</v>
      </c>
      <c r="B6801" s="1" t="s">
        <v>1736</v>
      </c>
      <c r="C6801" s="1" t="str">
        <f>"VS05004000264U"</f>
        <v>VS05004000264U</v>
      </c>
      <c r="D6801" s="1" t="str">
        <f>"VS05004000264U"</f>
        <v>VS05004000264U</v>
      </c>
      <c r="E6801" s="1" t="s">
        <v>4566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</row>
    <row r="6802" spans="1:11" ht="30" x14ac:dyDescent="0.2">
      <c r="A6802" s="1" t="s">
        <v>1705</v>
      </c>
      <c r="B6802" s="1" t="s">
        <v>1737</v>
      </c>
      <c r="C6802" s="1" t="str">
        <f>"66298852527321"</f>
        <v>66298852527321</v>
      </c>
      <c r="D6802" s="1" t="str">
        <f>"05X076"</f>
        <v>05X076</v>
      </c>
      <c r="E6802" s="1" t="s">
        <v>4566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</row>
    <row r="6803" spans="1:11" x14ac:dyDescent="0.2">
      <c r="A6803" s="1" t="s">
        <v>1705</v>
      </c>
      <c r="B6803" s="1" t="s">
        <v>1738</v>
      </c>
      <c r="C6803" s="1" t="str">
        <f>"VS05004000193U"</f>
        <v>VS05004000193U</v>
      </c>
      <c r="D6803" s="1" t="str">
        <f>"VS05004000193U"</f>
        <v>VS05004000193U</v>
      </c>
      <c r="E6803" s="1" t="s">
        <v>4566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</row>
    <row r="6804" spans="1:11" x14ac:dyDescent="0.2">
      <c r="A6804" s="1" t="s">
        <v>1705</v>
      </c>
      <c r="B6804" s="1" t="s">
        <v>1739</v>
      </c>
      <c r="C6804" s="1" t="str">
        <f>"VS05004000004U"</f>
        <v>VS05004000004U</v>
      </c>
      <c r="D6804" s="1" t="str">
        <f>"VS05004000004U"</f>
        <v>VS05004000004U</v>
      </c>
      <c r="E6804" s="1" t="s">
        <v>4566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</row>
    <row r="6805" spans="1:11" x14ac:dyDescent="0.2">
      <c r="A6805" s="1" t="s">
        <v>1705</v>
      </c>
      <c r="B6805" s="1" t="s">
        <v>1740</v>
      </c>
      <c r="C6805" s="1" t="str">
        <f>"66298852567142"</f>
        <v>66298852567142</v>
      </c>
      <c r="D6805" s="1" t="str">
        <f>"DF053"</f>
        <v>DF053</v>
      </c>
      <c r="E6805" s="1" t="s">
        <v>4566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</row>
    <row r="6806" spans="1:11" x14ac:dyDescent="0.2">
      <c r="A6806" s="1" t="s">
        <v>1705</v>
      </c>
      <c r="B6806" s="1" t="s">
        <v>1741</v>
      </c>
      <c r="C6806" s="1" t="str">
        <f>"VE05016001045"</f>
        <v>VE05016001045</v>
      </c>
      <c r="D6806" s="1" t="str">
        <f>"VE05016001045"</f>
        <v>VE05016001045</v>
      </c>
      <c r="E6806" s="1" t="s">
        <v>4566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</row>
    <row r="6807" spans="1:11" x14ac:dyDescent="0.2">
      <c r="A6807" s="1" t="s">
        <v>1705</v>
      </c>
      <c r="B6807" s="1" t="s">
        <v>1742</v>
      </c>
      <c r="C6807" s="1" t="str">
        <f>"66298852605286"</f>
        <v>66298852605286</v>
      </c>
      <c r="D6807" s="1" t="str">
        <f>"DF017"</f>
        <v>DF017</v>
      </c>
      <c r="E6807" s="1" t="s">
        <v>4566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</row>
    <row r="6808" spans="1:11" x14ac:dyDescent="0.2">
      <c r="A6808" s="1" t="s">
        <v>1705</v>
      </c>
      <c r="B6808" s="1" t="s">
        <v>1743</v>
      </c>
      <c r="C6808" s="1" t="str">
        <f>"VS53016511046"</f>
        <v>VS53016511046</v>
      </c>
      <c r="D6808" s="1" t="str">
        <f>"VS53016511046"</f>
        <v>VS53016511046</v>
      </c>
      <c r="E6808" s="1" t="s">
        <v>4566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</row>
    <row r="6809" spans="1:11" x14ac:dyDescent="0.2">
      <c r="A6809" s="1" t="s">
        <v>1705</v>
      </c>
      <c r="B6809" s="1" t="s">
        <v>1744</v>
      </c>
      <c r="C6809" s="1" t="str">
        <f>"VE15016000150"</f>
        <v>VE15016000150</v>
      </c>
      <c r="D6809" s="1" t="str">
        <f>"VE15016000150"</f>
        <v>VE15016000150</v>
      </c>
      <c r="E6809" s="1" t="s">
        <v>4566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</row>
    <row r="6810" spans="1:11" x14ac:dyDescent="0.2">
      <c r="A6810" s="1" t="s">
        <v>1705</v>
      </c>
      <c r="B6810" s="1" t="s">
        <v>1744</v>
      </c>
      <c r="C6810" s="1" t="str">
        <f>"17H328"</f>
        <v>17H328</v>
      </c>
      <c r="D6810" s="1" t="str">
        <f>"17H328"</f>
        <v>17H328</v>
      </c>
      <c r="E6810" s="1" t="s">
        <v>4566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</row>
    <row r="6811" spans="1:11" x14ac:dyDescent="0.2">
      <c r="A6811" s="1" t="s">
        <v>1705</v>
      </c>
      <c r="B6811" s="1" t="s">
        <v>1745</v>
      </c>
      <c r="C6811" s="1" t="str">
        <f>"66298852649192"</f>
        <v>66298852649192</v>
      </c>
      <c r="D6811" s="1" t="str">
        <f>"17H115"</f>
        <v>17H115</v>
      </c>
      <c r="E6811" s="1" t="s">
        <v>4566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</row>
    <row r="6812" spans="1:11" x14ac:dyDescent="0.2">
      <c r="A6812" s="1" t="s">
        <v>1705</v>
      </c>
      <c r="B6812" s="1" t="s">
        <v>1746</v>
      </c>
      <c r="C6812" s="1" t="str">
        <f>"66298852690812"</f>
        <v>66298852690812</v>
      </c>
      <c r="D6812" s="1" t="str">
        <f>"12391-MF5-750JP"</f>
        <v>12391-MF5-750JP</v>
      </c>
      <c r="E6812" s="1" t="s">
        <v>4566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</row>
    <row r="6813" spans="1:11" x14ac:dyDescent="0.2">
      <c r="A6813" s="1" t="s">
        <v>1705</v>
      </c>
      <c r="B6813" s="1" t="s">
        <v>1747</v>
      </c>
      <c r="C6813" s="1" t="str">
        <f>"VE99016001091"</f>
        <v>VE99016001091</v>
      </c>
      <c r="D6813" s="1" t="str">
        <f>"VE99016001091"</f>
        <v>VE99016001091</v>
      </c>
      <c r="E6813" s="1" t="s">
        <v>4566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</row>
    <row r="6814" spans="1:11" ht="30" x14ac:dyDescent="0.2">
      <c r="A6814" s="1" t="s">
        <v>1705</v>
      </c>
      <c r="B6814" s="1" t="s">
        <v>1748</v>
      </c>
      <c r="C6814" s="1" t="str">
        <f>"VE05084000002"</f>
        <v>VE05084000002</v>
      </c>
      <c r="D6814" s="1" t="str">
        <f>"VE05084000002"</f>
        <v>VE05084000002</v>
      </c>
      <c r="E6814" s="1" t="s">
        <v>4566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</row>
    <row r="6815" spans="1:11" x14ac:dyDescent="0.2">
      <c r="A6815" s="1" t="s">
        <v>1705</v>
      </c>
      <c r="B6815" s="1" t="s">
        <v>1749</v>
      </c>
      <c r="C6815" s="1" t="str">
        <f>"VE05084000003"</f>
        <v>VE05084000003</v>
      </c>
      <c r="D6815" s="1" t="str">
        <f>"VE05084000003"</f>
        <v>VE05084000003</v>
      </c>
      <c r="E6815" s="1" t="s">
        <v>4566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</row>
    <row r="6816" spans="1:11" x14ac:dyDescent="0.2">
      <c r="A6816" s="1" t="s">
        <v>1705</v>
      </c>
      <c r="B6816" s="1" t="s">
        <v>1750</v>
      </c>
      <c r="C6816" s="1" t="str">
        <f>"VE05016000001"</f>
        <v>VE05016000001</v>
      </c>
      <c r="D6816" s="1" t="str">
        <f>"VE05016000001"</f>
        <v>VE05016000001</v>
      </c>
      <c r="E6816" s="1" t="s">
        <v>4566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</row>
    <row r="6817" spans="1:11" x14ac:dyDescent="0.2">
      <c r="A6817" s="1" t="s">
        <v>1705</v>
      </c>
      <c r="B6817" s="1" t="s">
        <v>1751</v>
      </c>
      <c r="C6817" s="1" t="str">
        <f>"66298852730180"</f>
        <v>66298852730180</v>
      </c>
      <c r="D6817" s="1" t="str">
        <f>"755"</f>
        <v>755</v>
      </c>
      <c r="E6817" s="1" t="s">
        <v>4566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</row>
    <row r="6818" spans="1:11" x14ac:dyDescent="0.2">
      <c r="A6818" s="1" t="s">
        <v>1705</v>
      </c>
      <c r="B6818" s="1" t="s">
        <v>1752</v>
      </c>
      <c r="C6818" s="1" t="str">
        <f>"66298852770230"</f>
        <v>66298852770230</v>
      </c>
      <c r="D6818" s="1" t="str">
        <f>"26T34SEV"</f>
        <v>26T34SEV</v>
      </c>
      <c r="E6818" s="1" t="s">
        <v>4566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</row>
    <row r="6819" spans="1:11" x14ac:dyDescent="0.2">
      <c r="A6819" s="1" t="s">
        <v>1705</v>
      </c>
      <c r="B6819" s="1" t="s">
        <v>1753</v>
      </c>
      <c r="C6819" s="1" t="str">
        <f>"66298852812368"</f>
        <v>66298852812368</v>
      </c>
      <c r="D6819" s="1" t="str">
        <f>"20L35CSV"</f>
        <v>20L35CSV</v>
      </c>
      <c r="E6819" s="1" t="s">
        <v>4566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</row>
    <row r="6820" spans="1:11" x14ac:dyDescent="0.2">
      <c r="A6820" s="1" t="s">
        <v>1705</v>
      </c>
      <c r="B6820" s="1" t="s">
        <v>1754</v>
      </c>
      <c r="C6820" s="1" t="str">
        <f>"66298852891526"</f>
        <v>66298852891526</v>
      </c>
      <c r="D6820" s="1" t="str">
        <f>"21L64SEV"</f>
        <v>21L64SEV</v>
      </c>
      <c r="E6820" s="1" t="s">
        <v>4566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</row>
    <row r="6821" spans="1:11" x14ac:dyDescent="0.2">
      <c r="A6821" s="1" t="s">
        <v>1705</v>
      </c>
      <c r="B6821" s="1" t="s">
        <v>1755</v>
      </c>
      <c r="C6821" s="1" t="str">
        <f>"66298852855118"</f>
        <v>66298852855118</v>
      </c>
      <c r="D6821" s="1" t="str">
        <f>"21L57SEV"</f>
        <v>21L57SEV</v>
      </c>
      <c r="E6821" s="1" t="s">
        <v>4566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</row>
    <row r="6822" spans="1:11" x14ac:dyDescent="0.2">
      <c r="A6822" s="1" t="s">
        <v>1705</v>
      </c>
      <c r="B6822" s="1" t="s">
        <v>1756</v>
      </c>
      <c r="C6822" s="1" t="str">
        <f>"66298852931614"</f>
        <v>66298852931614</v>
      </c>
      <c r="D6822" s="1" t="str">
        <f>"21L43SEV"</f>
        <v>21L43SEV</v>
      </c>
      <c r="E6822" s="1" t="s">
        <v>4566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</row>
    <row r="6823" spans="1:11" x14ac:dyDescent="0.2">
      <c r="A6823" s="1" t="s">
        <v>1705</v>
      </c>
      <c r="B6823" s="1" t="s">
        <v>1757</v>
      </c>
      <c r="C6823" s="1" t="str">
        <f>"66298852973557"</f>
        <v>66298852973557</v>
      </c>
      <c r="D6823" s="1" t="str">
        <f>"21L43CSV"</f>
        <v>21L43CSV</v>
      </c>
      <c r="E6823" s="1" t="s">
        <v>4566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</row>
    <row r="6824" spans="1:11" ht="30" x14ac:dyDescent="0.2">
      <c r="A6824" s="1" t="s">
        <v>1705</v>
      </c>
      <c r="B6824" s="1" t="s">
        <v>1758</v>
      </c>
      <c r="C6824" s="1" t="str">
        <f>"66298853015299"</f>
        <v>66298853015299</v>
      </c>
      <c r="D6824" s="1" t="str">
        <f>"21L39SEV-1"</f>
        <v>21L39SEV-1</v>
      </c>
      <c r="E6824" s="1" t="s">
        <v>4566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</row>
    <row r="6825" spans="1:11" ht="30" x14ac:dyDescent="0.2">
      <c r="A6825" s="1" t="s">
        <v>1705</v>
      </c>
      <c r="B6825" s="1" t="s">
        <v>1759</v>
      </c>
      <c r="C6825" s="1" t="str">
        <f>"66298853053455"</f>
        <v>66298853053455</v>
      </c>
      <c r="D6825" s="1" t="str">
        <f>"21L51CSV"</f>
        <v>21L51CSV</v>
      </c>
      <c r="E6825" s="1" t="s">
        <v>4566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</row>
    <row r="6826" spans="1:11" x14ac:dyDescent="0.2">
      <c r="A6826" s="1" t="s">
        <v>1705</v>
      </c>
      <c r="B6826" s="1" t="s">
        <v>1760</v>
      </c>
      <c r="C6826" s="1" t="str">
        <f>"B077"</f>
        <v>B077</v>
      </c>
      <c r="D6826" s="1" t="str">
        <f>"B077"</f>
        <v>B077</v>
      </c>
      <c r="E6826" s="1" t="s">
        <v>4566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</row>
    <row r="6827" spans="1:11" x14ac:dyDescent="0.2">
      <c r="A6827" s="1" t="s">
        <v>1705</v>
      </c>
      <c r="B6827" s="1" t="s">
        <v>1761</v>
      </c>
      <c r="C6827" s="1" t="str">
        <f>"66298853095534"</f>
        <v>66298853095534</v>
      </c>
      <c r="D6827" s="1" t="str">
        <f>"21L28SEV"</f>
        <v>21L28SEV</v>
      </c>
      <c r="E6827" s="1" t="s">
        <v>4566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</row>
    <row r="6828" spans="1:11" x14ac:dyDescent="0.2">
      <c r="A6828" s="1" t="s">
        <v>1705</v>
      </c>
      <c r="B6828" s="1" t="s">
        <v>1762</v>
      </c>
      <c r="C6828" s="1" t="str">
        <f>"DF002"</f>
        <v>DF002</v>
      </c>
      <c r="D6828" s="1" t="str">
        <f>"DF002"</f>
        <v>DF002</v>
      </c>
      <c r="E6828" s="1" t="s">
        <v>4566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</row>
    <row r="6829" spans="1:11" x14ac:dyDescent="0.2">
      <c r="A6829" s="1" t="s">
        <v>1705</v>
      </c>
      <c r="B6829" s="1" t="s">
        <v>1763</v>
      </c>
      <c r="C6829" s="1" t="str">
        <f>"66298853138973"</f>
        <v>66298853138973</v>
      </c>
      <c r="D6829" s="1" t="str">
        <f>"21L36SEV-1"</f>
        <v>21L36SEV-1</v>
      </c>
      <c r="E6829" s="1" t="s">
        <v>4566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</row>
    <row r="6830" spans="1:11" x14ac:dyDescent="0.2">
      <c r="A6830" s="1" t="s">
        <v>1705</v>
      </c>
      <c r="B6830" s="1" t="s">
        <v>1763</v>
      </c>
      <c r="C6830" s="1" t="str">
        <f>"66298853181488"</f>
        <v>66298853181488</v>
      </c>
      <c r="D6830" s="1" t="str">
        <f>"21L36CSV-1"</f>
        <v>21L36CSV-1</v>
      </c>
      <c r="E6830" s="1" t="s">
        <v>4566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</row>
    <row r="6831" spans="1:11" x14ac:dyDescent="0.2">
      <c r="A6831" s="1" t="s">
        <v>1705</v>
      </c>
      <c r="B6831" s="1" t="s">
        <v>1764</v>
      </c>
      <c r="C6831" s="1" t="str">
        <f>"VS05610000950"</f>
        <v>VS05610000950</v>
      </c>
      <c r="D6831" s="1" t="str">
        <f>"VS05610000950"</f>
        <v>VS05610000950</v>
      </c>
      <c r="E6831" s="1" t="s">
        <v>4566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</row>
    <row r="6832" spans="1:11" x14ac:dyDescent="0.2">
      <c r="A6832" s="1" t="s">
        <v>1705</v>
      </c>
      <c r="B6832" s="1" t="s">
        <v>1765</v>
      </c>
      <c r="C6832" s="1" t="str">
        <f>"66298853221345"</f>
        <v>66298853221345</v>
      </c>
      <c r="D6832" s="1" t="str">
        <f>"21L56SEV"</f>
        <v>21L56SEV</v>
      </c>
      <c r="E6832" s="1" t="s">
        <v>4566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</row>
    <row r="6833" spans="1:11" x14ac:dyDescent="0.2">
      <c r="A6833" s="1" t="s">
        <v>1705</v>
      </c>
      <c r="B6833" s="1" t="s">
        <v>1766</v>
      </c>
      <c r="C6833" s="1" t="str">
        <f>"66298853260797"</f>
        <v>66298853260797</v>
      </c>
      <c r="D6833" s="1" t="str">
        <f>"21L50SEV"</f>
        <v>21L50SEV</v>
      </c>
      <c r="E6833" s="1" t="s">
        <v>4566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</row>
    <row r="6834" spans="1:11" x14ac:dyDescent="0.2">
      <c r="A6834" s="1" t="s">
        <v>1705</v>
      </c>
      <c r="B6834" s="1" t="s">
        <v>1767</v>
      </c>
      <c r="C6834" s="1" t="str">
        <f>"66298853300926"</f>
        <v>66298853300926</v>
      </c>
      <c r="D6834" s="1" t="str">
        <f>"VS15610000015"</f>
        <v>VS15610000015</v>
      </c>
      <c r="E6834" s="1" t="s">
        <v>4566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</row>
    <row r="6835" spans="1:11" x14ac:dyDescent="0.2">
      <c r="A6835" s="1" t="s">
        <v>1705</v>
      </c>
      <c r="B6835" s="1" t="s">
        <v>1768</v>
      </c>
      <c r="C6835" s="1" t="str">
        <f>"66298853342718"</f>
        <v>66298853342718</v>
      </c>
      <c r="D6835" s="1" t="str">
        <f>"19L53CSV"</f>
        <v>19L53CSV</v>
      </c>
      <c r="E6835" s="1" t="s">
        <v>4566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</row>
    <row r="6836" spans="1:11" x14ac:dyDescent="0.2">
      <c r="A6836" s="1" t="s">
        <v>1705</v>
      </c>
      <c r="B6836" s="1" t="s">
        <v>1769</v>
      </c>
      <c r="C6836" s="1" t="str">
        <f>"66298853383612"</f>
        <v>66298853383612</v>
      </c>
      <c r="D6836" s="1" t="str">
        <f>"20L40SEV"</f>
        <v>20L40SEV</v>
      </c>
      <c r="E6836" s="1" t="s">
        <v>4566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</row>
    <row r="6837" spans="1:11" x14ac:dyDescent="0.2">
      <c r="A6837" s="1" t="s">
        <v>1705</v>
      </c>
      <c r="B6837" s="1" t="s">
        <v>1770</v>
      </c>
      <c r="C6837" s="1" t="str">
        <f>"66298853425126"</f>
        <v>66298853425126</v>
      </c>
      <c r="D6837" s="1" t="str">
        <f>"20L39SEV"</f>
        <v>20L39SEV</v>
      </c>
      <c r="E6837" s="1" t="s">
        <v>4566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</row>
    <row r="6838" spans="1:11" x14ac:dyDescent="0.2">
      <c r="A6838" s="1" t="s">
        <v>1705</v>
      </c>
      <c r="B6838" s="1" t="s">
        <v>1771</v>
      </c>
      <c r="C6838" s="1" t="str">
        <f>"66298853464854"</f>
        <v>66298853464854</v>
      </c>
      <c r="D6838" s="1" t="str">
        <f>"20L38SEV"</f>
        <v>20L38SEV</v>
      </c>
      <c r="E6838" s="1" t="s">
        <v>4566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</row>
    <row r="6839" spans="1:11" x14ac:dyDescent="0.2">
      <c r="A6839" s="1" t="s">
        <v>1705</v>
      </c>
      <c r="B6839" s="1" t="s">
        <v>1772</v>
      </c>
      <c r="C6839" s="1" t="str">
        <f>"66298853505580"</f>
        <v>66298853505580</v>
      </c>
      <c r="D6839" s="1" t="str">
        <f>"20L42SEV"</f>
        <v>20L42SEV</v>
      </c>
      <c r="E6839" s="1" t="s">
        <v>4566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</row>
    <row r="6840" spans="1:11" x14ac:dyDescent="0.2">
      <c r="A6840" s="1" t="s">
        <v>1705</v>
      </c>
      <c r="B6840" s="1" t="s">
        <v>1773</v>
      </c>
      <c r="C6840" s="1" t="str">
        <f>"66298853543363"</f>
        <v>66298853543363</v>
      </c>
      <c r="D6840" s="1" t="str">
        <f>"18L22SEV"</f>
        <v>18L22SEV</v>
      </c>
      <c r="E6840" s="1" t="s">
        <v>4566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</row>
    <row r="6841" spans="1:11" x14ac:dyDescent="0.2">
      <c r="A6841" s="1" t="s">
        <v>1705</v>
      </c>
      <c r="B6841" s="1" t="s">
        <v>1774</v>
      </c>
      <c r="C6841" s="1" t="str">
        <f>"66298853581784"</f>
        <v>66298853581784</v>
      </c>
      <c r="D6841" s="1" t="str">
        <f>"13L02SEV"</f>
        <v>13L02SEV</v>
      </c>
      <c r="E6841" s="1" t="s">
        <v>4566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</row>
    <row r="6842" spans="1:11" x14ac:dyDescent="0.2">
      <c r="A6842" s="1" t="s">
        <v>1705</v>
      </c>
      <c r="B6842" s="1" t="s">
        <v>1775</v>
      </c>
      <c r="C6842" s="1" t="str">
        <f>"66298853624534"</f>
        <v>66298853624534</v>
      </c>
      <c r="D6842" s="1" t="str">
        <f>"34L398SEV"</f>
        <v>34L398SEV</v>
      </c>
      <c r="E6842" s="1" t="s">
        <v>4566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</row>
    <row r="6843" spans="1:11" x14ac:dyDescent="0.2">
      <c r="A6843" s="1" t="s">
        <v>1705</v>
      </c>
      <c r="B6843" s="1" t="s">
        <v>1775</v>
      </c>
      <c r="C6843" s="1" t="str">
        <f>"66298853667340"</f>
        <v>66298853667340</v>
      </c>
      <c r="D6843" s="1" t="str">
        <f>"34L98SEV"</f>
        <v>34L98SEV</v>
      </c>
      <c r="E6843" s="1" t="s">
        <v>4566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</row>
    <row r="6844" spans="1:11" x14ac:dyDescent="0.2">
      <c r="A6844" s="1" t="s">
        <v>1705</v>
      </c>
      <c r="B6844" s="1" t="s">
        <v>1776</v>
      </c>
      <c r="C6844" s="1" t="str">
        <f>"66298853705704"</f>
        <v>66298853705704</v>
      </c>
      <c r="D6844" s="1" t="str">
        <f>"22L37SEV-1"</f>
        <v>22L37SEV-1</v>
      </c>
      <c r="E6844" s="1" t="s">
        <v>4566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</row>
    <row r="6845" spans="1:11" x14ac:dyDescent="0.2">
      <c r="A6845" s="1" t="s">
        <v>1705</v>
      </c>
      <c r="B6845" s="1" t="s">
        <v>1776</v>
      </c>
      <c r="C6845" s="1" t="str">
        <f>"66298853742984"</f>
        <v>66298853742984</v>
      </c>
      <c r="D6845" s="1" t="str">
        <f>"22L37CSV-1"</f>
        <v>22L37CSV-1</v>
      </c>
      <c r="E6845" s="1" t="s">
        <v>4566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</row>
    <row r="6846" spans="1:11" x14ac:dyDescent="0.2">
      <c r="A6846" s="1" t="s">
        <v>1705</v>
      </c>
      <c r="B6846" s="1" t="s">
        <v>1777</v>
      </c>
      <c r="C6846" s="1" t="str">
        <f>"66298853782931"</f>
        <v>66298853782931</v>
      </c>
      <c r="D6846" s="1" t="str">
        <f>"22L47SEV"</f>
        <v>22L47SEV</v>
      </c>
      <c r="E6846" s="1" t="s">
        <v>4566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</row>
    <row r="6847" spans="1:11" x14ac:dyDescent="0.2">
      <c r="A6847" s="1" t="s">
        <v>1705</v>
      </c>
      <c r="B6847" s="1" t="s">
        <v>1778</v>
      </c>
      <c r="C6847" s="1" t="str">
        <f>"66298853828912"</f>
        <v>66298853828912</v>
      </c>
      <c r="D6847" s="1" t="str">
        <f>"22L46CSV"</f>
        <v>22L46CSV</v>
      </c>
      <c r="E6847" s="1" t="s">
        <v>4566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</row>
    <row r="6848" spans="1:11" x14ac:dyDescent="0.2">
      <c r="A6848" s="1" t="s">
        <v>1705</v>
      </c>
      <c r="B6848" s="1" t="s">
        <v>1778</v>
      </c>
      <c r="C6848" s="1" t="str">
        <f>"22L46SE"</f>
        <v>22L46SE</v>
      </c>
      <c r="D6848" s="1" t="str">
        <f>"22L46SE"</f>
        <v>22L46SE</v>
      </c>
      <c r="E6848" s="1" t="s">
        <v>4566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</row>
    <row r="6849" spans="1:11" x14ac:dyDescent="0.2">
      <c r="A6849" s="1" t="s">
        <v>1705</v>
      </c>
      <c r="B6849" s="1" t="s">
        <v>1779</v>
      </c>
      <c r="C6849" s="1" t="str">
        <f>"66298853869222"</f>
        <v>66298853869222</v>
      </c>
      <c r="D6849" s="1" t="str">
        <f>"13L10SEV"</f>
        <v>13L10SEV</v>
      </c>
      <c r="E6849" s="1" t="s">
        <v>4566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</row>
    <row r="6850" spans="1:11" x14ac:dyDescent="0.2">
      <c r="A6850" s="1" t="s">
        <v>1705</v>
      </c>
      <c r="B6850" s="1" t="s">
        <v>1780</v>
      </c>
      <c r="C6850" s="1" t="str">
        <f>"66298853908053"</f>
        <v>66298853908053</v>
      </c>
      <c r="D6850" s="1" t="str">
        <f>"DF012"</f>
        <v>DF012</v>
      </c>
      <c r="E6850" s="1" t="s">
        <v>4566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</row>
    <row r="6851" spans="1:11" x14ac:dyDescent="0.2">
      <c r="A6851" s="1" t="s">
        <v>1705</v>
      </c>
      <c r="B6851" s="1" t="s">
        <v>1781</v>
      </c>
      <c r="C6851" s="1" t="str">
        <f>"H1038"</f>
        <v>H1038</v>
      </c>
      <c r="D6851" s="1" t="str">
        <f>"H1038"</f>
        <v>H1038</v>
      </c>
      <c r="E6851" s="1" t="s">
        <v>4566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</row>
    <row r="6852" spans="1:11" x14ac:dyDescent="0.2">
      <c r="A6852" s="1" t="s">
        <v>1705</v>
      </c>
      <c r="B6852" s="1" t="s">
        <v>1782</v>
      </c>
      <c r="C6852" s="1" t="str">
        <f>"66298853950956"</f>
        <v>66298853950956</v>
      </c>
      <c r="D6852" s="1" t="str">
        <f>"21L38CSV"</f>
        <v>21L38CSV</v>
      </c>
      <c r="E6852" s="1" t="s">
        <v>4566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</row>
    <row r="6853" spans="1:11" x14ac:dyDescent="0.2">
      <c r="A6853" s="1" t="s">
        <v>1705</v>
      </c>
      <c r="B6853" s="1" t="s">
        <v>1783</v>
      </c>
      <c r="C6853" s="1" t="str">
        <f>"66298853995739"</f>
        <v>66298853995739</v>
      </c>
      <c r="D6853" s="1" t="str">
        <f>"21L31SEV"</f>
        <v>21L31SEV</v>
      </c>
      <c r="E6853" s="1" t="s">
        <v>4566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</row>
    <row r="6854" spans="1:11" ht="30" x14ac:dyDescent="0.2">
      <c r="A6854" s="1" t="s">
        <v>1705</v>
      </c>
      <c r="B6854" s="1" t="s">
        <v>1784</v>
      </c>
      <c r="C6854" s="1" t="str">
        <f>"66298854036302"</f>
        <v>66298854036302</v>
      </c>
      <c r="D6854" s="1" t="str">
        <f>"13L01SE"</f>
        <v>13L01SE</v>
      </c>
      <c r="E6854" s="1" t="s">
        <v>4566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</row>
    <row r="6855" spans="1:11" x14ac:dyDescent="0.2">
      <c r="A6855" s="1" t="s">
        <v>1705</v>
      </c>
      <c r="B6855" s="1" t="s">
        <v>1785</v>
      </c>
      <c r="C6855" s="1" t="str">
        <f>"66298854075194"</f>
        <v>66298854075194</v>
      </c>
      <c r="D6855" s="1" t="str">
        <f>"21L24SEV"</f>
        <v>21L24SEV</v>
      </c>
      <c r="E6855" s="1" t="s">
        <v>4566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</row>
    <row r="6856" spans="1:11" x14ac:dyDescent="0.2">
      <c r="A6856" s="1" t="s">
        <v>1705</v>
      </c>
      <c r="B6856" s="1" t="s">
        <v>1786</v>
      </c>
      <c r="C6856" s="1" t="str">
        <f>"66298854117958"</f>
        <v>66298854117958</v>
      </c>
      <c r="D6856" s="1" t="str">
        <f>"21L48CSV"</f>
        <v>21L48CSV</v>
      </c>
      <c r="E6856" s="1" t="s">
        <v>4566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</row>
    <row r="6857" spans="1:11" x14ac:dyDescent="0.2">
      <c r="A6857" s="1" t="s">
        <v>1705</v>
      </c>
      <c r="B6857" s="1" t="s">
        <v>1787</v>
      </c>
      <c r="C6857" s="1" t="str">
        <f>"66298854158741"</f>
        <v>66298854158741</v>
      </c>
      <c r="D6857" s="1" t="str">
        <f>"21L58SEV"</f>
        <v>21L58SEV</v>
      </c>
      <c r="E6857" s="1" t="s">
        <v>4566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</row>
    <row r="6858" spans="1:11" x14ac:dyDescent="0.2">
      <c r="A6858" s="1" t="s">
        <v>1705</v>
      </c>
      <c r="B6858" s="1" t="s">
        <v>1787</v>
      </c>
      <c r="C6858" s="1" t="str">
        <f>"66298854199566"</f>
        <v>66298854199566</v>
      </c>
      <c r="D6858" s="1" t="str">
        <f>"21L58CSV"</f>
        <v>21L58CSV</v>
      </c>
      <c r="E6858" s="1" t="s">
        <v>4566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</row>
    <row r="6859" spans="1:11" x14ac:dyDescent="0.2">
      <c r="A6859" s="1" t="s">
        <v>1705</v>
      </c>
      <c r="B6859" s="1" t="s">
        <v>1788</v>
      </c>
      <c r="C6859" s="1" t="str">
        <f>"66298854241830"</f>
        <v>66298854241830</v>
      </c>
      <c r="D6859" s="1" t="str">
        <f>"21L66SEV"</f>
        <v>21L66SEV</v>
      </c>
      <c r="E6859" s="1" t="s">
        <v>4566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</row>
    <row r="6860" spans="1:11" x14ac:dyDescent="0.2">
      <c r="A6860" s="1" t="s">
        <v>1705</v>
      </c>
      <c r="B6860" s="1" t="s">
        <v>1789</v>
      </c>
      <c r="C6860" s="1" t="str">
        <f>"66298854285685"</f>
        <v>66298854285685</v>
      </c>
      <c r="D6860" s="1" t="str">
        <f>"21L25SEV"</f>
        <v>21L25SEV</v>
      </c>
      <c r="E6860" s="1" t="s">
        <v>4566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</row>
    <row r="6861" spans="1:11" x14ac:dyDescent="0.2">
      <c r="A6861" s="1" t="s">
        <v>1705</v>
      </c>
      <c r="B6861" s="1" t="s">
        <v>1790</v>
      </c>
      <c r="C6861" s="1" t="str">
        <f>"P4V0210600221"</f>
        <v>P4V0210600221</v>
      </c>
      <c r="D6861" s="1" t="str">
        <f>"P4V0210600221"</f>
        <v>P4V0210600221</v>
      </c>
      <c r="E6861" s="1" t="s">
        <v>4566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</row>
    <row r="6862" spans="1:11" x14ac:dyDescent="0.2">
      <c r="A6862" s="1" t="s">
        <v>1705</v>
      </c>
      <c r="B6862" s="1" t="s">
        <v>1791</v>
      </c>
      <c r="C6862" s="1" t="str">
        <f>"66298854324198"</f>
        <v>66298854324198</v>
      </c>
      <c r="D6862" s="1" t="str">
        <f>"21L37SEV"</f>
        <v>21L37SEV</v>
      </c>
      <c r="E6862" s="1" t="s">
        <v>4566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</row>
    <row r="6863" spans="1:11" x14ac:dyDescent="0.2">
      <c r="A6863" s="1" t="s">
        <v>1705</v>
      </c>
      <c r="B6863" s="1" t="s">
        <v>1792</v>
      </c>
      <c r="C6863" s="1" t="str">
        <f>"66298854367229"</f>
        <v>66298854367229</v>
      </c>
      <c r="D6863" s="1" t="str">
        <f>"21L19SEV"</f>
        <v>21L19SEV</v>
      </c>
      <c r="E6863" s="1" t="s">
        <v>4566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</row>
    <row r="6864" spans="1:11" x14ac:dyDescent="0.2">
      <c r="A6864" s="1" t="s">
        <v>1705</v>
      </c>
      <c r="B6864" s="1" t="s">
        <v>1793</v>
      </c>
      <c r="C6864" s="1" t="str">
        <f>"66298854414993"</f>
        <v>66298854414993</v>
      </c>
      <c r="D6864" s="1" t="str">
        <f>"19L21SEV"</f>
        <v>19L21SEV</v>
      </c>
      <c r="E6864" s="1" t="s">
        <v>4566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</row>
    <row r="6865" spans="1:11" x14ac:dyDescent="0.2">
      <c r="A6865" s="1" t="s">
        <v>1705</v>
      </c>
      <c r="B6865" s="1" t="s">
        <v>1794</v>
      </c>
      <c r="C6865" s="1" t="str">
        <f>"66298854459896"</f>
        <v>66298854459896</v>
      </c>
      <c r="D6865" s="1" t="str">
        <f>"13L20SEV"</f>
        <v>13L20SEV</v>
      </c>
      <c r="E6865" s="1" t="s">
        <v>4566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</row>
    <row r="6866" spans="1:11" x14ac:dyDescent="0.2">
      <c r="A6866" s="1" t="s">
        <v>1705</v>
      </c>
      <c r="B6866" s="1" t="s">
        <v>1795</v>
      </c>
      <c r="C6866" s="1" t="str">
        <f>"66298854502900"</f>
        <v>66298854502900</v>
      </c>
      <c r="D6866" s="1" t="str">
        <f>"19L40SEV"</f>
        <v>19L40SEV</v>
      </c>
      <c r="E6866" s="1" t="s">
        <v>4566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</row>
    <row r="6867" spans="1:11" x14ac:dyDescent="0.2">
      <c r="A6867" s="1" t="s">
        <v>1705</v>
      </c>
      <c r="B6867" s="1" t="s">
        <v>1796</v>
      </c>
      <c r="C6867" s="1" t="str">
        <f>"66298854544417"</f>
        <v>66298854544417</v>
      </c>
      <c r="D6867" s="1" t="str">
        <f>"19L49SEV"</f>
        <v>19L49SEV</v>
      </c>
      <c r="E6867" s="1" t="s">
        <v>4566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</row>
    <row r="6868" spans="1:11" x14ac:dyDescent="0.2">
      <c r="A6868" s="1" t="s">
        <v>1705</v>
      </c>
      <c r="B6868" s="1" t="s">
        <v>1797</v>
      </c>
      <c r="C6868" s="1" t="str">
        <f>"66298854583630"</f>
        <v>66298854583630</v>
      </c>
      <c r="D6868" s="1" t="str">
        <f>"19L33SEV"</f>
        <v>19L33SEV</v>
      </c>
      <c r="E6868" s="1" t="s">
        <v>4566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</row>
    <row r="6869" spans="1:11" x14ac:dyDescent="0.2">
      <c r="A6869" s="1" t="s">
        <v>1705</v>
      </c>
      <c r="B6869" s="1" t="s">
        <v>1798</v>
      </c>
      <c r="C6869" s="1" t="str">
        <f>"DF059"</f>
        <v>DF059</v>
      </c>
      <c r="D6869" s="1" t="str">
        <f>"DF059"</f>
        <v>DF059</v>
      </c>
      <c r="E6869" s="1" t="s">
        <v>4566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</row>
    <row r="6870" spans="1:11" ht="30" x14ac:dyDescent="0.2">
      <c r="A6870" s="1" t="s">
        <v>1705</v>
      </c>
      <c r="B6870" s="1" t="s">
        <v>1799</v>
      </c>
      <c r="C6870" s="1" t="str">
        <f>"66298854623047"</f>
        <v>66298854623047</v>
      </c>
      <c r="D6870" s="1" t="str">
        <f>"19L29CSV"</f>
        <v>19L29CSV</v>
      </c>
      <c r="E6870" s="1" t="s">
        <v>4566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</row>
    <row r="6871" spans="1:11" x14ac:dyDescent="0.2">
      <c r="A6871" s="1" t="s">
        <v>1705</v>
      </c>
      <c r="B6871" s="1" t="s">
        <v>1800</v>
      </c>
      <c r="C6871" s="1" t="str">
        <f>"66298854663115"</f>
        <v>66298854663115</v>
      </c>
      <c r="D6871" s="1" t="str">
        <f>"19L19SEV"</f>
        <v>19L19SEV</v>
      </c>
      <c r="E6871" s="1" t="s">
        <v>4566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</row>
    <row r="6872" spans="1:11" x14ac:dyDescent="0.2">
      <c r="A6872" s="1" t="s">
        <v>1705</v>
      </c>
      <c r="B6872" s="1" t="s">
        <v>1801</v>
      </c>
      <c r="C6872" s="1" t="str">
        <f>"66298854704527"</f>
        <v>66298854704527</v>
      </c>
      <c r="D6872" s="1" t="str">
        <f>"19L45SEV"</f>
        <v>19L45SEV</v>
      </c>
      <c r="E6872" s="1" t="s">
        <v>4566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</row>
    <row r="6873" spans="1:11" x14ac:dyDescent="0.2">
      <c r="A6873" s="1" t="s">
        <v>1705</v>
      </c>
      <c r="B6873" s="1" t="s">
        <v>1802</v>
      </c>
      <c r="C6873" s="1" t="str">
        <f>"66298854742694"</f>
        <v>66298854742694</v>
      </c>
      <c r="D6873" s="1" t="str">
        <f>"19L51SEV"</f>
        <v>19L51SEV</v>
      </c>
      <c r="E6873" s="1" t="s">
        <v>4566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</row>
    <row r="6874" spans="1:11" x14ac:dyDescent="0.2">
      <c r="A6874" s="1" t="s">
        <v>1705</v>
      </c>
      <c r="B6874" s="1" t="s">
        <v>1803</v>
      </c>
      <c r="C6874" s="1" t="str">
        <f>"66298854782657"</f>
        <v>66298854782657</v>
      </c>
      <c r="D6874" s="1" t="str">
        <f>"DF043"</f>
        <v>DF043</v>
      </c>
      <c r="E6874" s="1" t="s">
        <v>4566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</row>
    <row r="6875" spans="1:11" x14ac:dyDescent="0.2">
      <c r="A6875" s="1" t="s">
        <v>1705</v>
      </c>
      <c r="B6875" s="1" t="s">
        <v>1804</v>
      </c>
      <c r="C6875" s="1" t="str">
        <f>"VS10700000006"</f>
        <v>VS10700000006</v>
      </c>
      <c r="D6875" s="1" t="str">
        <f>"VS10700000006"</f>
        <v>VS10700000006</v>
      </c>
      <c r="E6875" s="1" t="s">
        <v>4566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</row>
    <row r="6876" spans="1:11" x14ac:dyDescent="0.2">
      <c r="A6876" s="1" t="s">
        <v>1705</v>
      </c>
      <c r="B6876" s="1" t="s">
        <v>1805</v>
      </c>
      <c r="C6876" s="1" t="str">
        <f>"66298854843025"</f>
        <v>66298854843025</v>
      </c>
      <c r="D6876" s="1" t="str">
        <f>"VS05700000260"</f>
        <v>VS05700000260</v>
      </c>
      <c r="E6876" s="1" t="s">
        <v>4566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</row>
    <row r="6877" spans="1:11" x14ac:dyDescent="0.2">
      <c r="A6877" s="1" t="s">
        <v>1705</v>
      </c>
      <c r="B6877" s="1" t="s">
        <v>1806</v>
      </c>
      <c r="C6877" s="1" t="str">
        <f>"VS05700000330"</f>
        <v>VS05700000330</v>
      </c>
      <c r="D6877" s="1" t="str">
        <f>"VS05700000330"</f>
        <v>VS05700000330</v>
      </c>
      <c r="E6877" s="1" t="s">
        <v>4566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</row>
    <row r="6878" spans="1:11" x14ac:dyDescent="0.2">
      <c r="A6878" s="1" t="s">
        <v>1705</v>
      </c>
      <c r="B6878" s="1" t="s">
        <v>1807</v>
      </c>
      <c r="C6878" s="1" t="str">
        <f>"VS05850000015"</f>
        <v>VS05850000015</v>
      </c>
      <c r="D6878" s="1" t="str">
        <f>"VS05850000015"</f>
        <v>VS05850000015</v>
      </c>
      <c r="E6878" s="1" t="s">
        <v>4566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</row>
    <row r="6879" spans="1:11" ht="30" x14ac:dyDescent="0.2">
      <c r="A6879" s="1" t="s">
        <v>1705</v>
      </c>
      <c r="B6879" s="1" t="s">
        <v>1808</v>
      </c>
      <c r="C6879" s="1" t="str">
        <f>"66298854953435"</f>
        <v>66298854953435</v>
      </c>
      <c r="D6879" s="1" t="str">
        <f>"26T51SEV"</f>
        <v>26T51SEV</v>
      </c>
      <c r="E6879" s="1" t="s">
        <v>4566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</row>
    <row r="6880" spans="1:11" x14ac:dyDescent="0.2">
      <c r="A6880" s="1" t="s">
        <v>1705</v>
      </c>
      <c r="B6880" s="1" t="s">
        <v>1809</v>
      </c>
      <c r="C6880" s="1" t="str">
        <f>"66298854909981"</f>
        <v>66298854909981</v>
      </c>
      <c r="D6880" s="1" t="str">
        <f>"VS05700000002"</f>
        <v>VS05700000002</v>
      </c>
      <c r="E6880" s="1" t="s">
        <v>4566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</row>
    <row r="6881" spans="1:11" ht="30" x14ac:dyDescent="0.2">
      <c r="A6881" s="1" t="s">
        <v>1705</v>
      </c>
      <c r="B6881" s="1" t="s">
        <v>1810</v>
      </c>
      <c r="C6881" s="1" t="str">
        <f>"VS05850010001"</f>
        <v>VS05850010001</v>
      </c>
      <c r="D6881" s="1" t="str">
        <f>"VS05850010001"</f>
        <v>VS05850010001</v>
      </c>
      <c r="E6881" s="1" t="s">
        <v>4566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</row>
    <row r="6882" spans="1:11" x14ac:dyDescent="0.2">
      <c r="A6882" s="1" t="s">
        <v>1705</v>
      </c>
      <c r="B6882" s="1" t="s">
        <v>1811</v>
      </c>
      <c r="C6882" s="1" t="str">
        <f>"228009"</f>
        <v>228009</v>
      </c>
      <c r="D6882" s="1" t="str">
        <f>"228009"</f>
        <v>228009</v>
      </c>
      <c r="E6882" s="1" t="s">
        <v>4566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</row>
    <row r="6883" spans="1:11" ht="30" x14ac:dyDescent="0.2">
      <c r="A6883" s="1" t="s">
        <v>1705</v>
      </c>
      <c r="B6883" s="1" t="s">
        <v>1812</v>
      </c>
      <c r="C6883" s="1" t="str">
        <f>"66298854994505"</f>
        <v>66298854994505</v>
      </c>
      <c r="D6883" s="1" t="str">
        <f>"DF032"</f>
        <v>DF032</v>
      </c>
      <c r="E6883" s="1" t="s">
        <v>4566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</row>
    <row r="6884" spans="1:11" x14ac:dyDescent="0.2">
      <c r="A6884" s="1" t="s">
        <v>1705</v>
      </c>
      <c r="B6884" s="1" t="s">
        <v>1813</v>
      </c>
      <c r="C6884" s="1" t="str">
        <f>"66298855036619"</f>
        <v>66298855036619</v>
      </c>
      <c r="D6884" s="1" t="str">
        <f>"DF039"</f>
        <v>DF039</v>
      </c>
      <c r="E6884" s="1" t="s">
        <v>4566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</row>
    <row r="6885" spans="1:11" x14ac:dyDescent="0.2">
      <c r="A6885" s="1" t="s">
        <v>1705</v>
      </c>
      <c r="B6885" s="1" t="s">
        <v>1814</v>
      </c>
      <c r="C6885" s="1" t="str">
        <f>"66298855079182"</f>
        <v>66298855079182</v>
      </c>
      <c r="D6885" s="1" t="str">
        <f>"06120-KYJ-000BR"</f>
        <v>06120-KYJ-000BR</v>
      </c>
      <c r="E6885" s="1" t="s">
        <v>4566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</row>
    <row r="6886" spans="1:11" x14ac:dyDescent="0.2">
      <c r="A6886" s="1" t="s">
        <v>1705</v>
      </c>
      <c r="B6886" s="1" t="s">
        <v>1814</v>
      </c>
      <c r="C6886" s="1" t="str">
        <f>"VS05700000950"</f>
        <v>VS05700000950</v>
      </c>
      <c r="D6886" s="1" t="str">
        <f>"VS05700000950"</f>
        <v>VS05700000950</v>
      </c>
      <c r="E6886" s="1" t="s">
        <v>4566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</row>
    <row r="6887" spans="1:11" ht="30" x14ac:dyDescent="0.2">
      <c r="A6887" s="1" t="s">
        <v>1705</v>
      </c>
      <c r="B6887" s="1" t="s">
        <v>1815</v>
      </c>
      <c r="C6887" s="1" t="str">
        <f>"66298855121113"</f>
        <v>66298855121113</v>
      </c>
      <c r="D6887" s="1" t="str">
        <f>"26T59CSV"</f>
        <v>26T59CSV</v>
      </c>
      <c r="E6887" s="1" t="s">
        <v>4566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</row>
    <row r="6888" spans="1:11" ht="30" x14ac:dyDescent="0.2">
      <c r="A6888" s="1" t="s">
        <v>1705</v>
      </c>
      <c r="B6888" s="1" t="s">
        <v>1815</v>
      </c>
      <c r="C6888" s="1" t="str">
        <f>"66298855125778"</f>
        <v>66298855125778</v>
      </c>
      <c r="D6888" s="1" t="str">
        <f>"DF036"</f>
        <v>DF036</v>
      </c>
      <c r="E6888" s="1" t="s">
        <v>4566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</row>
    <row r="6889" spans="1:11" x14ac:dyDescent="0.2">
      <c r="A6889" s="1" t="s">
        <v>1705</v>
      </c>
      <c r="B6889" s="1" t="s">
        <v>1816</v>
      </c>
      <c r="C6889" s="1" t="str">
        <f>"66298855177554"</f>
        <v>66298855177554</v>
      </c>
      <c r="D6889" s="1" t="str">
        <f>"26T28SEV"</f>
        <v>26T28SEV</v>
      </c>
      <c r="E6889" s="1" t="s">
        <v>4566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</row>
    <row r="6890" spans="1:11" ht="30" x14ac:dyDescent="0.2">
      <c r="A6890" s="1" t="s">
        <v>1705</v>
      </c>
      <c r="B6890" s="1" t="s">
        <v>1817</v>
      </c>
      <c r="C6890" s="1" t="str">
        <f>"VS05700010001"</f>
        <v>VS05700010001</v>
      </c>
      <c r="D6890" s="1" t="str">
        <f>"VS05700010001"</f>
        <v>VS05700010001</v>
      </c>
      <c r="E6890" s="1" t="s">
        <v>4566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</row>
    <row r="6891" spans="1:11" ht="30" x14ac:dyDescent="0.2">
      <c r="A6891" s="1" t="s">
        <v>1705</v>
      </c>
      <c r="B6891" s="1" t="s">
        <v>1818</v>
      </c>
      <c r="C6891" s="1" t="str">
        <f>"66298855223154"</f>
        <v>66298855223154</v>
      </c>
      <c r="D6891" s="1" t="str">
        <f>"26T52SEV"</f>
        <v>26T52SEV</v>
      </c>
      <c r="E6891" s="1" t="s">
        <v>4566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</row>
    <row r="6892" spans="1:11" x14ac:dyDescent="0.2">
      <c r="A6892" s="1" t="s">
        <v>1705</v>
      </c>
      <c r="B6892" s="1" t="s">
        <v>1819</v>
      </c>
      <c r="C6892" s="1" t="str">
        <f>"66298855269140"</f>
        <v>66298855269140</v>
      </c>
      <c r="D6892" s="1" t="str">
        <f>"DF011"</f>
        <v>DF011</v>
      </c>
      <c r="E6892" s="1" t="s">
        <v>4566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</row>
    <row r="6893" spans="1:11" ht="30" x14ac:dyDescent="0.2">
      <c r="A6893" s="1" t="s">
        <v>1705</v>
      </c>
      <c r="B6893" s="1" t="s">
        <v>1820</v>
      </c>
      <c r="C6893" s="1" t="str">
        <f>"66298855345143"</f>
        <v>66298855345143</v>
      </c>
      <c r="D6893" s="1" t="str">
        <f>"DF016"</f>
        <v>DF016</v>
      </c>
      <c r="E6893" s="1" t="s">
        <v>4566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</row>
    <row r="6894" spans="1:11" x14ac:dyDescent="0.2">
      <c r="A6894" s="1" t="s">
        <v>1705</v>
      </c>
      <c r="B6894" s="1" t="s">
        <v>1821</v>
      </c>
      <c r="C6894" s="1" t="str">
        <f>"66298855308647"</f>
        <v>66298855308647</v>
      </c>
      <c r="D6894" s="1" t="str">
        <f>"34T96SEV"</f>
        <v>34T96SEV</v>
      </c>
      <c r="E6894" s="1" t="s">
        <v>4566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</row>
    <row r="6895" spans="1:11" x14ac:dyDescent="0.2">
      <c r="A6895" s="1" t="s">
        <v>1705</v>
      </c>
      <c r="B6895" s="1" t="s">
        <v>1822</v>
      </c>
      <c r="C6895" s="1" t="str">
        <f>"66298855384909"</f>
        <v>66298855384909</v>
      </c>
      <c r="D6895" s="1" t="str">
        <f>"26T16CSV"</f>
        <v>26T16CSV</v>
      </c>
      <c r="E6895" s="1" t="s">
        <v>4566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</row>
    <row r="6896" spans="1:11" ht="30" x14ac:dyDescent="0.2">
      <c r="A6896" s="1" t="s">
        <v>1705</v>
      </c>
      <c r="B6896" s="1" t="s">
        <v>1823</v>
      </c>
      <c r="C6896" s="1" t="str">
        <f>"66298855429008"</f>
        <v>66298855429008</v>
      </c>
      <c r="D6896" s="1" t="str">
        <f>"26T62CSV"</f>
        <v>26T62CSV</v>
      </c>
      <c r="E6896" s="1" t="s">
        <v>4566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</row>
    <row r="6897" spans="1:11" x14ac:dyDescent="0.2">
      <c r="A6897" s="1" t="s">
        <v>1705</v>
      </c>
      <c r="B6897" s="1" t="s">
        <v>1824</v>
      </c>
      <c r="C6897" s="1" t="str">
        <f>"66298855541186"</f>
        <v>66298855541186</v>
      </c>
      <c r="D6897" s="1" t="str">
        <f>"27T70SEV"</f>
        <v>27T70SEV</v>
      </c>
      <c r="E6897" s="1" t="s">
        <v>4566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</row>
    <row r="6898" spans="1:11" x14ac:dyDescent="0.2">
      <c r="A6898" s="1" t="s">
        <v>1705</v>
      </c>
      <c r="B6898" s="1" t="s">
        <v>1824</v>
      </c>
      <c r="C6898" s="1" t="str">
        <f>"VS53700000400"</f>
        <v>VS53700000400</v>
      </c>
      <c r="D6898" s="1" t="str">
        <f>"VS53700000400"</f>
        <v>VS53700000400</v>
      </c>
      <c r="E6898" s="1" t="s">
        <v>4566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</row>
    <row r="6899" spans="1:11" x14ac:dyDescent="0.2">
      <c r="A6899" s="1" t="s">
        <v>1705</v>
      </c>
      <c r="B6899" s="1" t="s">
        <v>1825</v>
      </c>
      <c r="C6899" s="1" t="str">
        <f>"VS15700000021"</f>
        <v>VS15700000021</v>
      </c>
      <c r="D6899" s="1" t="str">
        <f>"VS15700000021"</f>
        <v>VS15700000021</v>
      </c>
      <c r="E6899" s="1" t="s">
        <v>4566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</row>
    <row r="6900" spans="1:11" x14ac:dyDescent="0.2">
      <c r="A6900" s="1" t="s">
        <v>1705</v>
      </c>
      <c r="B6900" s="1" t="s">
        <v>1826</v>
      </c>
      <c r="C6900" s="1" t="str">
        <f>"P4VS270700064"</f>
        <v>P4VS270700064</v>
      </c>
      <c r="D6900" s="1" t="str">
        <f>"P4VS270700064"</f>
        <v>P4VS270700064</v>
      </c>
      <c r="E6900" s="1" t="s">
        <v>4566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</row>
    <row r="6901" spans="1:11" x14ac:dyDescent="0.2">
      <c r="A6901" s="1" t="s">
        <v>1705</v>
      </c>
      <c r="B6901" s="1" t="s">
        <v>1826</v>
      </c>
      <c r="C6901" s="1" t="str">
        <f>"P4V5270700064"</f>
        <v>P4V5270700064</v>
      </c>
      <c r="D6901" s="1" t="str">
        <f>"P4V5270700064"</f>
        <v>P4V5270700064</v>
      </c>
      <c r="E6901" s="1" t="s">
        <v>4566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</row>
    <row r="6902" spans="1:11" x14ac:dyDescent="0.2">
      <c r="A6902" s="1" t="s">
        <v>1705</v>
      </c>
      <c r="B6902" s="1" t="s">
        <v>1827</v>
      </c>
      <c r="C6902" s="1" t="str">
        <f>"66298855583789"</f>
        <v>66298855583789</v>
      </c>
      <c r="D6902" s="1" t="str">
        <f>"30T20SEV"</f>
        <v>30T20SEV</v>
      </c>
      <c r="E6902" s="1" t="s">
        <v>4566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</row>
    <row r="6903" spans="1:11" x14ac:dyDescent="0.2">
      <c r="A6903" s="1" t="s">
        <v>1705</v>
      </c>
      <c r="B6903" s="1" t="s">
        <v>1828</v>
      </c>
      <c r="C6903" s="1" t="str">
        <f>"VS52700000110"</f>
        <v>VS52700000110</v>
      </c>
      <c r="D6903" s="1" t="str">
        <f>"VS52700000110"</f>
        <v>VS52700000110</v>
      </c>
      <c r="E6903" s="1" t="s">
        <v>4566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</row>
    <row r="6904" spans="1:11" x14ac:dyDescent="0.2">
      <c r="A6904" s="1" t="s">
        <v>1705</v>
      </c>
      <c r="B6904" s="1" t="s">
        <v>1829</v>
      </c>
      <c r="C6904" s="1" t="str">
        <f>"DF005"</f>
        <v>DF005</v>
      </c>
      <c r="D6904" s="1" t="str">
        <f>"DF005"</f>
        <v>DF005</v>
      </c>
      <c r="E6904" s="1" t="s">
        <v>4566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</row>
    <row r="6905" spans="1:11" x14ac:dyDescent="0.2">
      <c r="A6905" s="1" t="s">
        <v>1705</v>
      </c>
      <c r="B6905" s="1" t="s">
        <v>1829</v>
      </c>
      <c r="C6905" s="1" t="str">
        <f>"21C-W0001-00BR"</f>
        <v>21C-W0001-00BR</v>
      </c>
      <c r="D6905" s="1" t="str">
        <f>"21C-W0001-00BR"</f>
        <v>21C-W0001-00BR</v>
      </c>
      <c r="E6905" s="1" t="s">
        <v>4566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</row>
    <row r="6906" spans="1:11" x14ac:dyDescent="0.2">
      <c r="A6906" s="1" t="s">
        <v>1705</v>
      </c>
      <c r="B6906" s="1" t="s">
        <v>1829</v>
      </c>
      <c r="C6906" s="1" t="str">
        <f>"VS99700000161"</f>
        <v>VS99700000161</v>
      </c>
      <c r="D6906" s="1" t="str">
        <f>"VS99700000161"</f>
        <v>VS99700000161</v>
      </c>
      <c r="E6906" s="1" t="s">
        <v>4566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</row>
    <row r="6907" spans="1:11" ht="30" x14ac:dyDescent="0.2">
      <c r="A6907" s="1" t="s">
        <v>1705</v>
      </c>
      <c r="B6907" s="1" t="s">
        <v>1830</v>
      </c>
      <c r="C6907" s="1" t="str">
        <f>"VS10700090180"</f>
        <v>VS10700090180</v>
      </c>
      <c r="D6907" s="1" t="str">
        <f>"VS10700090180"</f>
        <v>VS10700090180</v>
      </c>
      <c r="E6907" s="1" t="s">
        <v>4566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</row>
    <row r="6908" spans="1:11" x14ac:dyDescent="0.2">
      <c r="A6908" s="1" t="s">
        <v>1705</v>
      </c>
      <c r="B6908" s="1" t="s">
        <v>1831</v>
      </c>
      <c r="C6908" s="1" t="str">
        <f>"11394"</f>
        <v>11394</v>
      </c>
      <c r="D6908" s="1" t="str">
        <f>"11394"</f>
        <v>11394</v>
      </c>
      <c r="E6908" s="1" t="s">
        <v>4566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</row>
    <row r="6909" spans="1:11" x14ac:dyDescent="0.2">
      <c r="A6909" s="1" t="s">
        <v>1705</v>
      </c>
      <c r="B6909" s="1" t="s">
        <v>1832</v>
      </c>
      <c r="C6909" s="1" t="str">
        <f>"66298855638970"</f>
        <v>66298855638970</v>
      </c>
      <c r="D6909" s="1" t="str">
        <f>"DF046"</f>
        <v>DF046</v>
      </c>
      <c r="E6909" s="1" t="s">
        <v>4566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</row>
    <row r="6910" spans="1:11" x14ac:dyDescent="0.2">
      <c r="A6910" s="1" t="s">
        <v>1705</v>
      </c>
      <c r="B6910" s="1" t="s">
        <v>1833</v>
      </c>
      <c r="C6910" s="1" t="str">
        <f>"66298855678670"</f>
        <v>66298855678670</v>
      </c>
      <c r="D6910" s="1" t="str">
        <f>"228031"</f>
        <v>228031</v>
      </c>
      <c r="E6910" s="1" t="s">
        <v>4566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</row>
    <row r="6911" spans="1:11" x14ac:dyDescent="0.2">
      <c r="A6911" s="1" t="s">
        <v>1705</v>
      </c>
      <c r="B6911" s="1" t="s">
        <v>1833</v>
      </c>
      <c r="C6911" s="1" t="str">
        <f>"VS15700000015"</f>
        <v>VS15700000015</v>
      </c>
      <c r="D6911" s="1" t="str">
        <f>"VS15700000015"</f>
        <v>VS15700000015</v>
      </c>
      <c r="E6911" s="1" t="s">
        <v>4566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</row>
    <row r="6912" spans="1:11" x14ac:dyDescent="0.2">
      <c r="A6912" s="1" t="s">
        <v>1705</v>
      </c>
      <c r="B6912" s="1" t="s">
        <v>1834</v>
      </c>
      <c r="C6912" s="1" t="str">
        <f>"66298855727803"</f>
        <v>66298855727803</v>
      </c>
      <c r="D6912" s="1" t="str">
        <f>"25T42SEV"</f>
        <v>25T42SEV</v>
      </c>
      <c r="E6912" s="1" t="s">
        <v>4566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</row>
    <row r="6913" spans="1:11" ht="30" x14ac:dyDescent="0.2">
      <c r="A6913" s="1" t="s">
        <v>1705</v>
      </c>
      <c r="B6913" s="1" t="s">
        <v>1835</v>
      </c>
      <c r="C6913" s="1" t="str">
        <f>"66298855780019"</f>
        <v>66298855780019</v>
      </c>
      <c r="D6913" s="1" t="str">
        <f>"30T11SEV"</f>
        <v>30T11SEV</v>
      </c>
      <c r="E6913" s="1" t="s">
        <v>4566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</row>
    <row r="6914" spans="1:11" x14ac:dyDescent="0.2">
      <c r="A6914" s="1" t="s">
        <v>1705</v>
      </c>
      <c r="B6914" s="1" t="s">
        <v>1836</v>
      </c>
      <c r="C6914" s="1" t="str">
        <f>"66298855820402"</f>
        <v>66298855820402</v>
      </c>
      <c r="D6914" s="1" t="str">
        <f>"28T08SEV"</f>
        <v>28T08SEV</v>
      </c>
      <c r="E6914" s="1" t="s">
        <v>4566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</row>
    <row r="6915" spans="1:11" ht="30" x14ac:dyDescent="0.2">
      <c r="A6915" s="1" t="s">
        <v>1705</v>
      </c>
      <c r="B6915" s="1" t="s">
        <v>1837</v>
      </c>
      <c r="C6915" s="1" t="str">
        <f>"66298855860253"</f>
        <v>66298855860253</v>
      </c>
      <c r="D6915" s="1" t="str">
        <f>"VS99850006150BR"</f>
        <v>VS99850006150BR</v>
      </c>
      <c r="E6915" s="1" t="s">
        <v>4566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</row>
    <row r="6916" spans="1:11" x14ac:dyDescent="0.2">
      <c r="A6916" s="1" t="s">
        <v>1705</v>
      </c>
      <c r="B6916" s="1" t="s">
        <v>1838</v>
      </c>
      <c r="C6916" s="1" t="str">
        <f>"66298855902408"</f>
        <v>66298855902408</v>
      </c>
      <c r="D6916" s="1" t="str">
        <f>"DF042"</f>
        <v>DF042</v>
      </c>
      <c r="E6916" s="1" t="s">
        <v>4566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</row>
    <row r="6917" spans="1:11" x14ac:dyDescent="0.2">
      <c r="A6917" s="1" t="s">
        <v>1705</v>
      </c>
      <c r="B6917" s="1" t="s">
        <v>1839</v>
      </c>
      <c r="C6917" s="1" t="str">
        <f>"66298855943668"</f>
        <v>66298855943668</v>
      </c>
      <c r="D6917" s="1" t="str">
        <f>"23T28SEV"</f>
        <v>23T28SEV</v>
      </c>
      <c r="E6917" s="1" t="s">
        <v>4566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</row>
    <row r="6918" spans="1:11" x14ac:dyDescent="0.2">
      <c r="A6918" s="1" t="s">
        <v>1705</v>
      </c>
      <c r="B6918" s="1" t="s">
        <v>1840</v>
      </c>
      <c r="C6918" s="1" t="str">
        <f>"66298855981424"</f>
        <v>66298855981424</v>
      </c>
      <c r="D6918" s="1" t="str">
        <f>"23T31SEV"</f>
        <v>23T31SEV</v>
      </c>
      <c r="E6918" s="1" t="s">
        <v>4566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</row>
    <row r="6919" spans="1:11" x14ac:dyDescent="0.2">
      <c r="A6919" s="1" t="s">
        <v>1705</v>
      </c>
      <c r="B6919" s="1" t="s">
        <v>1841</v>
      </c>
      <c r="C6919" s="1" t="str">
        <f>"66298856027308"</f>
        <v>66298856027308</v>
      </c>
      <c r="D6919" s="1" t="str">
        <f>"23T32SEV"</f>
        <v>23T32SEV</v>
      </c>
      <c r="E6919" s="1" t="s">
        <v>4566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</row>
    <row r="6920" spans="1:11" x14ac:dyDescent="0.2">
      <c r="A6920" s="1" t="s">
        <v>1705</v>
      </c>
      <c r="B6920" s="1" t="s">
        <v>1842</v>
      </c>
      <c r="C6920" s="1" t="str">
        <f>"66298856069816"</f>
        <v>66298856069816</v>
      </c>
      <c r="D6920" s="1" t="str">
        <f>"34T105SEV"</f>
        <v>34T105SEV</v>
      </c>
      <c r="E6920" s="1" t="s">
        <v>4566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</row>
    <row r="6921" spans="1:11" x14ac:dyDescent="0.2">
      <c r="A6921" s="1" t="s">
        <v>1705</v>
      </c>
      <c r="B6921" s="1" t="s">
        <v>1843</v>
      </c>
      <c r="C6921" s="1" t="str">
        <f>"VS05700000140"</f>
        <v>VS05700000140</v>
      </c>
      <c r="D6921" s="1" t="str">
        <f>"VS05700000140"</f>
        <v>VS05700000140</v>
      </c>
      <c r="E6921" s="1" t="s">
        <v>4566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</row>
    <row r="6922" spans="1:11" x14ac:dyDescent="0.2">
      <c r="A6922" s="1" t="s">
        <v>1705</v>
      </c>
      <c r="B6922" s="1" t="s">
        <v>1844</v>
      </c>
      <c r="C6922" s="1" t="str">
        <f>"66298856112260"</f>
        <v>66298856112260</v>
      </c>
      <c r="D6922" s="1" t="str">
        <f>"33T21SEV"</f>
        <v>33T21SEV</v>
      </c>
      <c r="E6922" s="1" t="s">
        <v>4566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</row>
    <row r="6923" spans="1:11" x14ac:dyDescent="0.2">
      <c r="A6923" s="1" t="s">
        <v>1705</v>
      </c>
      <c r="B6923" s="1" t="s">
        <v>1845</v>
      </c>
      <c r="C6923" s="1" t="str">
        <f>"27T64SE"</f>
        <v>27T64SE</v>
      </c>
      <c r="D6923" s="1" t="str">
        <f>"27T64SE"</f>
        <v>27T64SE</v>
      </c>
      <c r="E6923" s="1" t="s">
        <v>4566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</row>
    <row r="6924" spans="1:11" x14ac:dyDescent="0.2">
      <c r="A6924" s="1" t="s">
        <v>1705</v>
      </c>
      <c r="B6924" s="1" t="s">
        <v>1846</v>
      </c>
      <c r="C6924" s="1" t="str">
        <f>"66298856164399"</f>
        <v>66298856164399</v>
      </c>
      <c r="D6924" s="1" t="str">
        <f>"27T48SEV"</f>
        <v>27T48SEV</v>
      </c>
      <c r="E6924" s="1" t="s">
        <v>4566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</row>
    <row r="6925" spans="1:11" x14ac:dyDescent="0.2">
      <c r="A6925" s="1" t="s">
        <v>1705</v>
      </c>
      <c r="B6925" s="1" t="s">
        <v>1846</v>
      </c>
      <c r="C6925" s="1" t="str">
        <f>"66298856211545"</f>
        <v>66298856211545</v>
      </c>
      <c r="D6925" s="1" t="str">
        <f>"DF007"</f>
        <v>DF007</v>
      </c>
      <c r="E6925" s="1" t="s">
        <v>4566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</row>
    <row r="6926" spans="1:11" ht="30" x14ac:dyDescent="0.2">
      <c r="A6926" s="1" t="s">
        <v>1705</v>
      </c>
      <c r="B6926" s="1" t="s">
        <v>1847</v>
      </c>
      <c r="C6926" s="1" t="str">
        <f>"66298856262242"</f>
        <v>66298856262242</v>
      </c>
      <c r="D6926" s="1" t="str">
        <f>"VS51700000014"</f>
        <v>VS51700000014</v>
      </c>
      <c r="E6926" s="1" t="s">
        <v>4566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</row>
    <row r="6927" spans="1:11" x14ac:dyDescent="0.2">
      <c r="A6927" s="1" t="s">
        <v>1705</v>
      </c>
      <c r="B6927" s="1" t="s">
        <v>1848</v>
      </c>
      <c r="C6927" s="1" t="str">
        <f>"66298856307854"</f>
        <v>66298856307854</v>
      </c>
      <c r="D6927" s="1" t="str">
        <f>"DF030"</f>
        <v>DF030</v>
      </c>
      <c r="E6927" s="1" t="s">
        <v>4566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</row>
    <row r="6928" spans="1:11" x14ac:dyDescent="0.2">
      <c r="A6928" s="1" t="s">
        <v>1705</v>
      </c>
      <c r="B6928" s="1" t="s">
        <v>1848</v>
      </c>
      <c r="C6928" s="1" t="str">
        <f>"P4VS034700015"</f>
        <v>P4VS034700015</v>
      </c>
      <c r="D6928" s="1" t="str">
        <f>"P4VS034700015"</f>
        <v>P4VS034700015</v>
      </c>
      <c r="E6928" s="1" t="s">
        <v>4566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</row>
    <row r="6929" spans="1:11" x14ac:dyDescent="0.2">
      <c r="A6929" s="1" t="s">
        <v>1705</v>
      </c>
      <c r="B6929" s="1" t="s">
        <v>1849</v>
      </c>
      <c r="C6929" s="1" t="str">
        <f>"66298856351813"</f>
        <v>66298856351813</v>
      </c>
      <c r="D6929" s="1" t="str">
        <f>"DF008"</f>
        <v>DF008</v>
      </c>
      <c r="E6929" s="1" t="s">
        <v>4566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</row>
    <row r="6930" spans="1:11" x14ac:dyDescent="0.2">
      <c r="A6930" s="1" t="s">
        <v>1705</v>
      </c>
      <c r="B6930" s="1" t="s">
        <v>1850</v>
      </c>
      <c r="C6930" s="1" t="str">
        <f>"66298856391251"</f>
        <v>66298856391251</v>
      </c>
      <c r="D6930" s="1" t="str">
        <f>"DF031"</f>
        <v>DF031</v>
      </c>
      <c r="E6930" s="1" t="s">
        <v>4566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</row>
    <row r="6931" spans="1:11" ht="30" x14ac:dyDescent="0.2">
      <c r="A6931" s="1" t="s">
        <v>1705</v>
      </c>
      <c r="B6931" s="1" t="s">
        <v>1851</v>
      </c>
      <c r="C6931" s="1" t="str">
        <f>"DF038"</f>
        <v>DF038</v>
      </c>
      <c r="D6931" s="1" t="str">
        <f>"DF038"</f>
        <v>DF038</v>
      </c>
      <c r="E6931" s="1" t="s">
        <v>4566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</row>
    <row r="6932" spans="1:11" ht="30" x14ac:dyDescent="0.2">
      <c r="A6932" s="1" t="s">
        <v>1705</v>
      </c>
      <c r="B6932" s="1" t="s">
        <v>1852</v>
      </c>
      <c r="C6932" s="1" t="str">
        <f>"DF040"</f>
        <v>DF040</v>
      </c>
      <c r="D6932" s="1" t="str">
        <f>"DF040"</f>
        <v>DF040</v>
      </c>
      <c r="E6932" s="1" t="s">
        <v>4566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</row>
    <row r="6933" spans="1:11" x14ac:dyDescent="0.2">
      <c r="A6933" s="1" t="s">
        <v>1705</v>
      </c>
      <c r="B6933" s="1" t="s">
        <v>1853</v>
      </c>
      <c r="C6933" s="1" t="str">
        <f>"VS99850006125"</f>
        <v>VS99850006125</v>
      </c>
      <c r="D6933" s="1" t="str">
        <f>"VS99850006125"</f>
        <v>VS99850006125</v>
      </c>
      <c r="E6933" s="1" t="s">
        <v>4566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</row>
    <row r="6934" spans="1:11" x14ac:dyDescent="0.2">
      <c r="A6934" s="1" t="s">
        <v>1705</v>
      </c>
      <c r="B6934" s="1" t="s">
        <v>1854</v>
      </c>
      <c r="C6934" s="1" t="str">
        <f>"H1039"</f>
        <v>H1039</v>
      </c>
      <c r="D6934" s="1" t="str">
        <f>"H1039"</f>
        <v>H1039</v>
      </c>
      <c r="E6934" s="1" t="s">
        <v>4566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</row>
    <row r="6935" spans="1:11" x14ac:dyDescent="0.2">
      <c r="A6935" s="1" t="s">
        <v>1705</v>
      </c>
      <c r="B6935" s="1" t="s">
        <v>1854</v>
      </c>
      <c r="C6935" s="1" t="str">
        <f>"H1039B"</f>
        <v>H1039B</v>
      </c>
      <c r="D6935" s="1" t="str">
        <f>"H1039B"</f>
        <v>H1039B</v>
      </c>
      <c r="E6935" s="1" t="s">
        <v>4566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</row>
    <row r="6936" spans="1:11" x14ac:dyDescent="0.2">
      <c r="A6936" s="1" t="s">
        <v>1705</v>
      </c>
      <c r="B6936" s="1" t="s">
        <v>1855</v>
      </c>
      <c r="C6936" s="1" t="str">
        <f>"66298856435245"</f>
        <v>66298856435245</v>
      </c>
      <c r="D6936" s="1" t="str">
        <f>"26T43CSV"</f>
        <v>26T43CSV</v>
      </c>
      <c r="E6936" s="1" t="s">
        <v>4566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</row>
    <row r="6937" spans="1:11" x14ac:dyDescent="0.2">
      <c r="A6937" s="1" t="s">
        <v>1705</v>
      </c>
      <c r="B6937" s="1" t="s">
        <v>1855</v>
      </c>
      <c r="C6937" s="1" t="str">
        <f>"66298856476201"</f>
        <v>66298856476201</v>
      </c>
      <c r="D6937" s="1" t="str">
        <f>"DF034"</f>
        <v>DF034</v>
      </c>
      <c r="E6937" s="1" t="s">
        <v>4566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</row>
    <row r="6938" spans="1:11" x14ac:dyDescent="0.2">
      <c r="A6938" s="1" t="s">
        <v>1705</v>
      </c>
      <c r="B6938" s="1" t="s">
        <v>1856</v>
      </c>
      <c r="C6938" s="1" t="str">
        <f>"66298856523499"</f>
        <v>66298856523499</v>
      </c>
      <c r="D6938" s="1" t="str">
        <f>"DF045"</f>
        <v>DF045</v>
      </c>
      <c r="E6938" s="1" t="s">
        <v>4566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</row>
    <row r="6939" spans="1:11" x14ac:dyDescent="0.2">
      <c r="A6939" s="1" t="s">
        <v>1705</v>
      </c>
      <c r="B6939" s="1" t="s">
        <v>1857</v>
      </c>
      <c r="C6939" s="1" t="str">
        <f>"66298856571785"</f>
        <v>66298856571785</v>
      </c>
      <c r="D6939" s="1" t="str">
        <f>"26T09CSV"</f>
        <v>26T09CSV</v>
      </c>
      <c r="E6939" s="1" t="s">
        <v>4566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</row>
    <row r="6940" spans="1:11" x14ac:dyDescent="0.2">
      <c r="A6940" s="1" t="s">
        <v>1705</v>
      </c>
      <c r="B6940" s="1" t="s">
        <v>1858</v>
      </c>
      <c r="C6940" s="1" t="str">
        <f>"66298856620185"</f>
        <v>66298856620185</v>
      </c>
      <c r="D6940" s="1" t="str">
        <f>"26T56CSV"</f>
        <v>26T56CSV</v>
      </c>
      <c r="E6940" s="1" t="s">
        <v>4566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</row>
    <row r="6941" spans="1:11" x14ac:dyDescent="0.2">
      <c r="A6941" s="1" t="s">
        <v>1705</v>
      </c>
      <c r="B6941" s="1" t="s">
        <v>1858</v>
      </c>
      <c r="C6941" s="1" t="str">
        <f>"66298856661585"</f>
        <v>66298856661585</v>
      </c>
      <c r="D6941" s="1" t="str">
        <f>"VS05700000013"</f>
        <v>VS05700000013</v>
      </c>
      <c r="E6941" s="1" t="s">
        <v>4566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</row>
    <row r="6942" spans="1:11" x14ac:dyDescent="0.2">
      <c r="A6942" s="1" t="s">
        <v>1705</v>
      </c>
      <c r="B6942" s="1" t="s">
        <v>1859</v>
      </c>
      <c r="C6942" s="1" t="str">
        <f>"66298856705082"</f>
        <v>66298856705082</v>
      </c>
      <c r="D6942" s="1" t="str">
        <f>"26T73SEV"</f>
        <v>26T73SEV</v>
      </c>
      <c r="E6942" s="1" t="s">
        <v>4566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</row>
    <row r="6943" spans="1:11" x14ac:dyDescent="0.2">
      <c r="A6943" s="1" t="s">
        <v>1705</v>
      </c>
      <c r="B6943" s="1" t="s">
        <v>1860</v>
      </c>
      <c r="C6943" s="1" t="str">
        <f>"66298856743027"</f>
        <v>66298856743027</v>
      </c>
      <c r="D6943" s="1" t="str">
        <f>"26T26CSV"</f>
        <v>26T26CSV</v>
      </c>
      <c r="E6943" s="1" t="s">
        <v>4566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</row>
    <row r="6944" spans="1:11" ht="30" x14ac:dyDescent="0.2">
      <c r="A6944" s="1" t="s">
        <v>1705</v>
      </c>
      <c r="B6944" s="1" t="s">
        <v>1861</v>
      </c>
      <c r="C6944" s="1" t="str">
        <f>"P4V0210700223"</f>
        <v>P4V0210700223</v>
      </c>
      <c r="D6944" s="1" t="str">
        <f>"P4V0210700223"</f>
        <v>P4V0210700223</v>
      </c>
      <c r="E6944" s="1" t="s">
        <v>4566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</row>
    <row r="6945" spans="1:11" x14ac:dyDescent="0.2">
      <c r="A6945" s="1" t="s">
        <v>1705</v>
      </c>
      <c r="B6945" s="1" t="s">
        <v>1862</v>
      </c>
      <c r="C6945" s="1" t="str">
        <f>"66298856781394"</f>
        <v>66298856781394</v>
      </c>
      <c r="D6945" s="1" t="str">
        <f>"26T72SEV"</f>
        <v>26T72SEV</v>
      </c>
      <c r="E6945" s="1" t="s">
        <v>4566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</row>
    <row r="6946" spans="1:11" x14ac:dyDescent="0.2">
      <c r="A6946" s="1" t="s">
        <v>1705</v>
      </c>
      <c r="B6946" s="1" t="s">
        <v>1862</v>
      </c>
      <c r="C6946" s="1" t="str">
        <f>"66298856822890"</f>
        <v>66298856822890</v>
      </c>
      <c r="D6946" s="1" t="str">
        <f>"DF037"</f>
        <v>DF037</v>
      </c>
      <c r="E6946" s="1" t="s">
        <v>4566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</row>
    <row r="6947" spans="1:11" x14ac:dyDescent="0.2">
      <c r="A6947" s="1" t="s">
        <v>1705</v>
      </c>
      <c r="B6947" s="1" t="s">
        <v>1862</v>
      </c>
      <c r="C6947" s="1" t="str">
        <f>"VS05700000110"</f>
        <v>VS05700000110</v>
      </c>
      <c r="D6947" s="1" t="str">
        <f>"VS05700000110"</f>
        <v>VS05700000110</v>
      </c>
      <c r="E6947" s="1" t="s">
        <v>4566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</row>
    <row r="6948" spans="1:11" x14ac:dyDescent="0.2">
      <c r="A6948" s="1" t="s">
        <v>1705</v>
      </c>
      <c r="B6948" s="1" t="s">
        <v>1863</v>
      </c>
      <c r="C6948" s="1" t="str">
        <f>"66298856864001"</f>
        <v>66298856864001</v>
      </c>
      <c r="D6948" s="1" t="str">
        <f>"DF050"</f>
        <v>DF050</v>
      </c>
      <c r="E6948" s="1" t="s">
        <v>4566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</row>
    <row r="6949" spans="1:11" x14ac:dyDescent="0.2">
      <c r="A6949" s="1" t="s">
        <v>1705</v>
      </c>
      <c r="B6949" s="1" t="s">
        <v>1864</v>
      </c>
      <c r="C6949" s="1" t="str">
        <f>"66298856901975"</f>
        <v>66298856901975</v>
      </c>
      <c r="D6949" s="1" t="str">
        <f>"24T41SEV"</f>
        <v>24T41SEV</v>
      </c>
      <c r="E6949" s="1" t="s">
        <v>4566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</row>
    <row r="6950" spans="1:11" x14ac:dyDescent="0.2">
      <c r="A6950" s="1" t="s">
        <v>1705</v>
      </c>
      <c r="B6950" s="1" t="s">
        <v>1865</v>
      </c>
      <c r="C6950" s="1" t="str">
        <f>"66298856940942"</f>
        <v>66298856940942</v>
      </c>
      <c r="D6950" s="1" t="str">
        <f>"24T32SEV"</f>
        <v>24T32SEV</v>
      </c>
      <c r="E6950" s="1" t="s">
        <v>4566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</row>
    <row r="6951" spans="1:11" x14ac:dyDescent="0.2">
      <c r="A6951" s="1" t="s">
        <v>1705</v>
      </c>
      <c r="B6951" s="1" t="s">
        <v>1865</v>
      </c>
      <c r="C6951" s="1" t="str">
        <f>"66298856946436"</f>
        <v>66298856946436</v>
      </c>
      <c r="D6951" s="1" t="str">
        <f>"DF047"</f>
        <v>DF047</v>
      </c>
      <c r="E6951" s="1" t="s">
        <v>4566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</row>
    <row r="6952" spans="1:11" x14ac:dyDescent="0.2">
      <c r="A6952" s="1" t="s">
        <v>1705</v>
      </c>
      <c r="B6952" s="1" t="s">
        <v>1866</v>
      </c>
      <c r="C6952" s="1" t="str">
        <f>"VS10700000830"</f>
        <v>VS10700000830</v>
      </c>
      <c r="D6952" s="1" t="str">
        <f>"VS10700000830"</f>
        <v>VS10700000830</v>
      </c>
      <c r="E6952" s="1" t="s">
        <v>4566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</row>
    <row r="6953" spans="1:11" ht="30" x14ac:dyDescent="0.2">
      <c r="A6953" s="1" t="s">
        <v>1705</v>
      </c>
      <c r="B6953" s="1" t="s">
        <v>1867</v>
      </c>
      <c r="C6953" s="1" t="str">
        <f>"VS10700000660"</f>
        <v>VS10700000660</v>
      </c>
      <c r="D6953" s="1" t="str">
        <f>"VS10700000660"</f>
        <v>VS10700000660</v>
      </c>
      <c r="E6953" s="1" t="s">
        <v>4566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</row>
    <row r="6954" spans="1:11" x14ac:dyDescent="0.2">
      <c r="A6954" s="1" t="s">
        <v>1351</v>
      </c>
      <c r="B6954" s="1" t="s">
        <v>1868</v>
      </c>
      <c r="C6954" s="1" t="str">
        <f>"66298857004120"</f>
        <v>66298857004120</v>
      </c>
      <c r="D6954" s="1" t="str">
        <f>"TA087"</f>
        <v>TA087</v>
      </c>
      <c r="E6954" s="1" t="s">
        <v>4566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</row>
    <row r="6955" spans="1:11" x14ac:dyDescent="0.2">
      <c r="A6955" s="1" t="s">
        <v>1351</v>
      </c>
      <c r="B6955" s="1" t="s">
        <v>1869</v>
      </c>
      <c r="C6955" s="1" t="str">
        <f>"66298857044840"</f>
        <v>66298857044840</v>
      </c>
      <c r="D6955" s="1" t="str">
        <f>"TA095"</f>
        <v>TA095</v>
      </c>
      <c r="E6955" s="1" t="s">
        <v>4566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</row>
    <row r="6956" spans="1:11" x14ac:dyDescent="0.2">
      <c r="A6956" s="1" t="s">
        <v>1351</v>
      </c>
      <c r="B6956" s="1" t="s">
        <v>1870</v>
      </c>
      <c r="C6956" s="1" t="str">
        <f>"66298857090307"</f>
        <v>66298857090307</v>
      </c>
      <c r="D6956" s="1" t="str">
        <f>"TA015"</f>
        <v>TA015</v>
      </c>
      <c r="E6956" s="1" t="s">
        <v>4566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</row>
    <row r="6957" spans="1:11" x14ac:dyDescent="0.2">
      <c r="A6957" s="1" t="s">
        <v>1351</v>
      </c>
      <c r="B6957" s="1" t="s">
        <v>1870</v>
      </c>
      <c r="C6957" s="1" t="str">
        <f>"66298857095927"</f>
        <v>66298857095927</v>
      </c>
      <c r="D6957" s="1" t="str">
        <f>"TA004"</f>
        <v>TA004</v>
      </c>
      <c r="E6957" s="1" t="s">
        <v>4566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</row>
    <row r="6958" spans="1:11" x14ac:dyDescent="0.2">
      <c r="A6958" s="1" t="s">
        <v>1351</v>
      </c>
      <c r="B6958" s="1" t="s">
        <v>1871</v>
      </c>
      <c r="C6958" s="1" t="str">
        <f>"66298857152201"</f>
        <v>66298857152201</v>
      </c>
      <c r="D6958" s="1" t="str">
        <f>"TA010"</f>
        <v>TA010</v>
      </c>
      <c r="E6958" s="1" t="s">
        <v>4566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</row>
    <row r="6959" spans="1:11" x14ac:dyDescent="0.2">
      <c r="A6959" s="1" t="s">
        <v>1872</v>
      </c>
      <c r="B6959" s="1" t="s">
        <v>1873</v>
      </c>
      <c r="C6959" s="1" t="str">
        <f>"66298857191755"</f>
        <v>66298857191755</v>
      </c>
      <c r="D6959" s="1" t="str">
        <f>"80154D"</f>
        <v>80154D</v>
      </c>
      <c r="E6959" s="1" t="s">
        <v>4566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</row>
    <row r="6960" spans="1:11" x14ac:dyDescent="0.2">
      <c r="A6960" s="1" t="s">
        <v>1872</v>
      </c>
      <c r="B6960" s="1" t="s">
        <v>1874</v>
      </c>
      <c r="C6960" s="1" t="str">
        <f>"66298857231699"</f>
        <v>66298857231699</v>
      </c>
      <c r="D6960" s="1" t="str">
        <f>"56600H7H000H000"</f>
        <v>56600H7H000H000</v>
      </c>
      <c r="E6960" s="1" t="s">
        <v>4566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</row>
    <row r="6961" spans="1:11" x14ac:dyDescent="0.2">
      <c r="A6961" s="1" t="s">
        <v>1872</v>
      </c>
      <c r="B6961" s="1" t="s">
        <v>1875</v>
      </c>
      <c r="C6961" s="1" t="str">
        <f>"56500H2J000H000"</f>
        <v>56500H2J000H000</v>
      </c>
      <c r="D6961" s="1" t="str">
        <f>"56500H2J000H000"</f>
        <v>56500H2J000H000</v>
      </c>
      <c r="E6961" s="1" t="s">
        <v>4566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</row>
    <row r="6962" spans="1:11" x14ac:dyDescent="0.2">
      <c r="A6962" s="1" t="s">
        <v>1872</v>
      </c>
      <c r="B6962" s="1" t="s">
        <v>1876</v>
      </c>
      <c r="C6962" s="1" t="str">
        <f>"56500H2A230H000"</f>
        <v>56500H2A230H000</v>
      </c>
      <c r="D6962" s="1" t="str">
        <f>"56500H2A230H000"</f>
        <v>56500H2A230H000</v>
      </c>
      <c r="E6962" s="1" t="s">
        <v>4566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</row>
    <row r="6963" spans="1:11" x14ac:dyDescent="0.2">
      <c r="A6963" s="1" t="s">
        <v>1872</v>
      </c>
      <c r="B6963" s="1" t="s">
        <v>1877</v>
      </c>
      <c r="C6963" s="1" t="str">
        <f>"EMKD00059"</f>
        <v>EMKD00059</v>
      </c>
      <c r="D6963" s="1" t="str">
        <f>"EMKD00059"</f>
        <v>EMKD00059</v>
      </c>
      <c r="E6963" s="1" t="s">
        <v>4566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</row>
    <row r="6964" spans="1:11" x14ac:dyDescent="0.2">
      <c r="A6964" s="1" t="s">
        <v>1872</v>
      </c>
      <c r="B6964" s="1" t="s">
        <v>1878</v>
      </c>
      <c r="C6964" s="1" t="str">
        <f>"EMKD00218"</f>
        <v>EMKD00218</v>
      </c>
      <c r="D6964" s="1" t="str">
        <f>"EMKD00218"</f>
        <v>EMKD00218</v>
      </c>
      <c r="E6964" s="1" t="s">
        <v>4566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</row>
    <row r="6965" spans="1:11" x14ac:dyDescent="0.2">
      <c r="A6965" s="1" t="s">
        <v>1872</v>
      </c>
      <c r="B6965" s="1" t="s">
        <v>1879</v>
      </c>
      <c r="C6965" s="1" t="str">
        <f>"56500H37230H000"</f>
        <v>56500H37230H000</v>
      </c>
      <c r="D6965" s="1" t="str">
        <f>"56500H37230H000"</f>
        <v>56500H37230H000</v>
      </c>
      <c r="E6965" s="1" t="s">
        <v>4566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</row>
    <row r="6966" spans="1:11" x14ac:dyDescent="0.2">
      <c r="A6966" s="1" t="s">
        <v>1872</v>
      </c>
      <c r="B6966" s="1" t="s">
        <v>1880</v>
      </c>
      <c r="C6966" s="1" t="str">
        <f>"56600H7H010H000"</f>
        <v>56600H7H010H000</v>
      </c>
      <c r="D6966" s="1" t="str">
        <f>"56600H7H010H000"</f>
        <v>56600H7H010H000</v>
      </c>
      <c r="E6966" s="1" t="s">
        <v>4566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</row>
    <row r="6967" spans="1:11" x14ac:dyDescent="0.2">
      <c r="A6967" s="1" t="s">
        <v>1872</v>
      </c>
      <c r="B6967" s="1" t="s">
        <v>1881</v>
      </c>
      <c r="C6967" s="1" t="str">
        <f>"56600H2J000H000"</f>
        <v>56600H2J000H000</v>
      </c>
      <c r="D6967" s="1" t="str">
        <f>"56600H2J000H000"</f>
        <v>56600H2J000H000</v>
      </c>
      <c r="E6967" s="1" t="s">
        <v>4566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</row>
    <row r="6968" spans="1:11" x14ac:dyDescent="0.2">
      <c r="A6968" s="1" t="s">
        <v>1872</v>
      </c>
      <c r="B6968" s="1" t="s">
        <v>1882</v>
      </c>
      <c r="C6968" s="1" t="str">
        <f>"56600H2A230H000"</f>
        <v>56600H2A230H000</v>
      </c>
      <c r="D6968" s="1" t="str">
        <f>"56600H2A230H000"</f>
        <v>56600H2A230H000</v>
      </c>
      <c r="E6968" s="1" t="s">
        <v>4566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</row>
    <row r="6969" spans="1:11" x14ac:dyDescent="0.2">
      <c r="A6969" s="1" t="s">
        <v>1872</v>
      </c>
      <c r="B6969" s="1" t="s">
        <v>1883</v>
      </c>
      <c r="C6969" s="1" t="str">
        <f>"EMKD00054"</f>
        <v>EMKD00054</v>
      </c>
      <c r="D6969" s="1" t="str">
        <f>"EMKD00054"</f>
        <v>EMKD00054</v>
      </c>
      <c r="E6969" s="1" t="s">
        <v>4566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</row>
    <row r="6970" spans="1:11" x14ac:dyDescent="0.2">
      <c r="A6970" s="1" t="s">
        <v>1872</v>
      </c>
      <c r="B6970" s="1" t="s">
        <v>1884</v>
      </c>
      <c r="C6970" s="1" t="str">
        <f>"EMKD00219"</f>
        <v>EMKD00219</v>
      </c>
      <c r="D6970" s="1" t="str">
        <f>"EMKD00219"</f>
        <v>EMKD00219</v>
      </c>
      <c r="E6970" s="1" t="s">
        <v>4566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</row>
    <row r="6971" spans="1:11" x14ac:dyDescent="0.2">
      <c r="A6971" s="1" t="s">
        <v>1872</v>
      </c>
      <c r="B6971" s="1" t="s">
        <v>1885</v>
      </c>
      <c r="C6971" s="1" t="str">
        <f>"56600H37230H000"</f>
        <v>56600H37230H000</v>
      </c>
      <c r="D6971" s="1" t="str">
        <f>"56600H37230H000"</f>
        <v>56600H37230H000</v>
      </c>
      <c r="E6971" s="1" t="s">
        <v>4566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</row>
    <row r="6972" spans="1:11" x14ac:dyDescent="0.2">
      <c r="A6972" s="1" t="s">
        <v>1872</v>
      </c>
      <c r="B6972" s="1" t="s">
        <v>1886</v>
      </c>
      <c r="C6972" s="1" t="str">
        <f>"66298857269930"</f>
        <v>66298857269930</v>
      </c>
      <c r="D6972" s="1" t="str">
        <f>"2PB-F6280-00"</f>
        <v>2PB-F6280-00</v>
      </c>
      <c r="E6972" s="1" t="s">
        <v>4566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</row>
    <row r="6973" spans="1:11" x14ac:dyDescent="0.2">
      <c r="A6973" s="1" t="s">
        <v>1872</v>
      </c>
      <c r="B6973" s="1" t="s">
        <v>1887</v>
      </c>
      <c r="C6973" s="1" t="str">
        <f>"66298857309008"</f>
        <v>66298857309008</v>
      </c>
      <c r="D6973" s="1" t="str">
        <f>"400785"</f>
        <v>400785</v>
      </c>
      <c r="E6973" s="1" t="s">
        <v>4566</v>
      </c>
      <c r="F6973" s="1">
        <v>334</v>
      </c>
      <c r="G6973" s="1">
        <v>1012</v>
      </c>
      <c r="H6973" s="1">
        <v>338008</v>
      </c>
      <c r="I6973" s="1">
        <v>0</v>
      </c>
      <c r="J6973" s="1">
        <v>334</v>
      </c>
      <c r="K6973" s="1">
        <v>0</v>
      </c>
    </row>
    <row r="6974" spans="1:11" x14ac:dyDescent="0.2">
      <c r="A6974" s="1" t="s">
        <v>1872</v>
      </c>
      <c r="B6974" s="1" t="s">
        <v>1888</v>
      </c>
      <c r="C6974" s="1" t="str">
        <f>"66298857386447"</f>
        <v>66298857386447</v>
      </c>
      <c r="D6974" s="1" t="str">
        <f>"KA046-A"</f>
        <v>KA046-A</v>
      </c>
      <c r="E6974" s="1" t="s">
        <v>4566</v>
      </c>
      <c r="F6974" s="1">
        <v>9</v>
      </c>
      <c r="G6974" s="1">
        <v>2623</v>
      </c>
      <c r="H6974" s="1">
        <v>23607</v>
      </c>
      <c r="I6974" s="1">
        <v>0</v>
      </c>
      <c r="J6974" s="1">
        <v>9</v>
      </c>
      <c r="K6974" s="1">
        <v>0</v>
      </c>
    </row>
    <row r="6975" spans="1:11" x14ac:dyDescent="0.2">
      <c r="A6975" s="1" t="s">
        <v>1872</v>
      </c>
      <c r="B6975" s="1" t="s">
        <v>1889</v>
      </c>
      <c r="C6975" s="1" t="str">
        <f>"66298857346723"</f>
        <v>66298857346723</v>
      </c>
      <c r="D6975" s="1" t="str">
        <f>"KA045-A"</f>
        <v>KA045-A</v>
      </c>
      <c r="E6975" s="1" t="s">
        <v>4566</v>
      </c>
      <c r="F6975" s="1">
        <v>7</v>
      </c>
      <c r="G6975" s="1">
        <v>2623</v>
      </c>
      <c r="H6975" s="1">
        <v>18361</v>
      </c>
      <c r="I6975" s="1">
        <v>0</v>
      </c>
      <c r="J6975" s="1">
        <v>7</v>
      </c>
      <c r="K6975" s="1">
        <v>0</v>
      </c>
    </row>
    <row r="6976" spans="1:11" x14ac:dyDescent="0.2">
      <c r="A6976" s="1" t="s">
        <v>1872</v>
      </c>
      <c r="B6976" s="1" t="s">
        <v>1890</v>
      </c>
      <c r="C6976" s="1" t="str">
        <f>"10524"</f>
        <v>10524</v>
      </c>
      <c r="D6976" s="1" t="str">
        <f>"10524"</f>
        <v>10524</v>
      </c>
      <c r="E6976" s="1" t="s">
        <v>4566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</row>
    <row r="6977" spans="1:11" x14ac:dyDescent="0.2">
      <c r="A6977" s="1" t="s">
        <v>1872</v>
      </c>
      <c r="B6977" s="1" t="s">
        <v>1891</v>
      </c>
      <c r="C6977" s="1" t="str">
        <f>"66298857429744"</f>
        <v>66298857429744</v>
      </c>
      <c r="D6977" s="1" t="str">
        <f>"K055"</f>
        <v>K055</v>
      </c>
      <c r="E6977" s="1" t="s">
        <v>4566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</row>
    <row r="6978" spans="1:11" x14ac:dyDescent="0.2">
      <c r="A6978" s="1" t="s">
        <v>1872</v>
      </c>
      <c r="B6978" s="1" t="s">
        <v>1892</v>
      </c>
      <c r="C6978" s="1" t="str">
        <f>"66298857469901"</f>
        <v>66298857469901</v>
      </c>
      <c r="D6978" s="1" t="str">
        <f>"00178"</f>
        <v>00178</v>
      </c>
      <c r="E6978" s="1" t="s">
        <v>4566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</row>
    <row r="6979" spans="1:11" x14ac:dyDescent="0.2">
      <c r="A6979" s="1" t="s">
        <v>1872</v>
      </c>
      <c r="B6979" s="1" t="s">
        <v>1893</v>
      </c>
      <c r="C6979" s="1" t="str">
        <f>"KA015"</f>
        <v>KA015</v>
      </c>
      <c r="D6979" s="1" t="str">
        <f>"KA015"</f>
        <v>KA015</v>
      </c>
      <c r="E6979" s="1" t="s">
        <v>4566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</row>
    <row r="6980" spans="1:11" x14ac:dyDescent="0.2">
      <c r="A6980" s="1" t="s">
        <v>1872</v>
      </c>
      <c r="B6980" s="1" t="s">
        <v>1894</v>
      </c>
      <c r="C6980" s="1" t="str">
        <f>"YXC-M8"</f>
        <v>YXC-M8</v>
      </c>
      <c r="D6980" s="1" t="str">
        <f>"YXC-M8"</f>
        <v>YXC-M8</v>
      </c>
      <c r="E6980" s="1" t="s">
        <v>4566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</row>
    <row r="6981" spans="1:11" x14ac:dyDescent="0.2">
      <c r="A6981" s="1" t="s">
        <v>1872</v>
      </c>
      <c r="B6981" s="1" t="s">
        <v>1895</v>
      </c>
      <c r="C6981" s="1" t="str">
        <f>"66298857519524"</f>
        <v>66298857519524</v>
      </c>
      <c r="D6981" s="1" t="str">
        <f>"400787"</f>
        <v>400787</v>
      </c>
      <c r="E6981" s="1" t="s">
        <v>4566</v>
      </c>
      <c r="F6981" s="1">
        <v>350</v>
      </c>
      <c r="G6981" s="1">
        <v>1234</v>
      </c>
      <c r="H6981" s="1">
        <v>431900</v>
      </c>
      <c r="I6981" s="1">
        <v>0</v>
      </c>
      <c r="J6981" s="1">
        <v>350</v>
      </c>
      <c r="K6981" s="1">
        <v>0</v>
      </c>
    </row>
    <row r="6982" spans="1:11" ht="30" x14ac:dyDescent="0.2">
      <c r="A6982" s="1" t="s">
        <v>1872</v>
      </c>
      <c r="B6982" s="1" t="s">
        <v>1896</v>
      </c>
      <c r="C6982" s="1" t="str">
        <f>"KA010"</f>
        <v>KA010</v>
      </c>
      <c r="D6982" s="1" t="str">
        <f>"KA010"</f>
        <v>KA010</v>
      </c>
      <c r="E6982" s="1" t="s">
        <v>4566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</row>
    <row r="6983" spans="1:11" ht="30" x14ac:dyDescent="0.2">
      <c r="A6983" s="1" t="s">
        <v>1872</v>
      </c>
      <c r="B6983" s="1" t="s">
        <v>1897</v>
      </c>
      <c r="C6983" s="1" t="str">
        <f>"KA029"</f>
        <v>KA029</v>
      </c>
      <c r="D6983" s="1" t="str">
        <f>"KA029"</f>
        <v>KA029</v>
      </c>
      <c r="E6983" s="1" t="s">
        <v>4566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</row>
    <row r="6984" spans="1:11" ht="30" x14ac:dyDescent="0.2">
      <c r="A6984" s="1" t="s">
        <v>1872</v>
      </c>
      <c r="B6984" s="1" t="s">
        <v>1898</v>
      </c>
      <c r="C6984" s="1" t="str">
        <f>"123991"</f>
        <v>123991</v>
      </c>
      <c r="D6984" s="1" t="str">
        <f>"123991"</f>
        <v>123991</v>
      </c>
      <c r="E6984" s="1" t="s">
        <v>4566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</row>
    <row r="6985" spans="1:11" x14ac:dyDescent="0.2">
      <c r="A6985" s="1" t="s">
        <v>1872</v>
      </c>
      <c r="B6985" s="1" t="s">
        <v>1899</v>
      </c>
      <c r="C6985" s="1" t="str">
        <f>"66298857565368"</f>
        <v>66298857565368</v>
      </c>
      <c r="D6985" s="1" t="str">
        <f>"KA007"</f>
        <v>KA007</v>
      </c>
      <c r="E6985" s="1" t="s">
        <v>4566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</row>
    <row r="6986" spans="1:11" x14ac:dyDescent="0.2">
      <c r="A6986" s="1" t="s">
        <v>1872</v>
      </c>
      <c r="B6986" s="1" t="s">
        <v>1900</v>
      </c>
      <c r="C6986" s="1" t="str">
        <f>"66298857610174"</f>
        <v>66298857610174</v>
      </c>
      <c r="D6986" s="1" t="str">
        <f>"400008"</f>
        <v>400008</v>
      </c>
      <c r="E6986" s="1" t="s">
        <v>4566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</row>
    <row r="6987" spans="1:11" x14ac:dyDescent="0.2">
      <c r="A6987" s="1" t="s">
        <v>1872</v>
      </c>
      <c r="B6987" s="1" t="s">
        <v>1901</v>
      </c>
      <c r="C6987" s="1" t="str">
        <f>"7363"</f>
        <v>7363</v>
      </c>
      <c r="D6987" s="1" t="str">
        <f>"7363"</f>
        <v>7363</v>
      </c>
      <c r="E6987" s="1" t="s">
        <v>4566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</row>
    <row r="6988" spans="1:11" x14ac:dyDescent="0.2">
      <c r="A6988" s="1" t="s">
        <v>1872</v>
      </c>
      <c r="B6988" s="1" t="s">
        <v>1902</v>
      </c>
      <c r="C6988" s="1" t="str">
        <f>"123497"</f>
        <v>123497</v>
      </c>
      <c r="D6988" s="1" t="str">
        <f>"123947"</f>
        <v>123947</v>
      </c>
      <c r="E6988" s="1" t="s">
        <v>4566</v>
      </c>
      <c r="F6988" s="1">
        <v>10</v>
      </c>
      <c r="G6988" s="1">
        <v>2941</v>
      </c>
      <c r="H6988" s="1">
        <v>29410</v>
      </c>
      <c r="I6988" s="1">
        <v>0</v>
      </c>
      <c r="J6988" s="1">
        <v>10</v>
      </c>
      <c r="K6988" s="1">
        <v>0</v>
      </c>
    </row>
    <row r="6989" spans="1:11" x14ac:dyDescent="0.2">
      <c r="A6989" s="1" t="s">
        <v>1872</v>
      </c>
      <c r="B6989" s="1" t="s">
        <v>1903</v>
      </c>
      <c r="C6989" s="1" t="str">
        <f>"11705"</f>
        <v>11705</v>
      </c>
      <c r="D6989" s="1" t="str">
        <f>"11705"</f>
        <v>11705</v>
      </c>
      <c r="E6989" s="1" t="s">
        <v>4566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</row>
    <row r="6990" spans="1:11" x14ac:dyDescent="0.2">
      <c r="A6990" s="1" t="s">
        <v>1872</v>
      </c>
      <c r="B6990" s="1" t="s">
        <v>1904</v>
      </c>
      <c r="C6990" s="1" t="str">
        <f>"66298857716136"</f>
        <v>66298857716136</v>
      </c>
      <c r="D6990" s="1" t="str">
        <f>"400790"</f>
        <v>400790</v>
      </c>
      <c r="E6990" s="1" t="s">
        <v>4566</v>
      </c>
      <c r="F6990" s="1">
        <v>338</v>
      </c>
      <c r="G6990" s="1">
        <v>1795</v>
      </c>
      <c r="H6990" s="1">
        <v>606710</v>
      </c>
      <c r="I6990" s="1">
        <v>0</v>
      </c>
      <c r="J6990" s="1">
        <v>338</v>
      </c>
      <c r="K6990" s="1">
        <v>0</v>
      </c>
    </row>
    <row r="6991" spans="1:11" x14ac:dyDescent="0.2">
      <c r="A6991" s="1" t="s">
        <v>1872</v>
      </c>
      <c r="B6991" s="1" t="s">
        <v>1905</v>
      </c>
      <c r="C6991" s="1" t="str">
        <f>"66298857652018"</f>
        <v>66298857652018</v>
      </c>
      <c r="D6991" s="1" t="str">
        <f>"E11"</f>
        <v>E11</v>
      </c>
      <c r="E6991" s="1" t="s">
        <v>4566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</row>
    <row r="6992" spans="1:11" x14ac:dyDescent="0.2">
      <c r="A6992" s="1" t="s">
        <v>1872</v>
      </c>
      <c r="B6992" s="1" t="s">
        <v>1905</v>
      </c>
      <c r="C6992" s="1" t="str">
        <f>"66298857658097"</f>
        <v>66298857658097</v>
      </c>
      <c r="D6992" s="1" t="str">
        <f>"KA008"</f>
        <v>KA008</v>
      </c>
      <c r="E6992" s="1" t="s">
        <v>4566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</row>
    <row r="6993" spans="1:11" x14ac:dyDescent="0.2">
      <c r="A6993" s="1" t="s">
        <v>1872</v>
      </c>
      <c r="B6993" s="1" t="s">
        <v>1906</v>
      </c>
      <c r="C6993" s="1" t="str">
        <f>"KA001"</f>
        <v>KA001</v>
      </c>
      <c r="D6993" s="1" t="str">
        <f>"KA001"</f>
        <v>KA001</v>
      </c>
      <c r="E6993" s="1" t="s">
        <v>4566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</row>
    <row r="6994" spans="1:11" x14ac:dyDescent="0.2">
      <c r="A6994" s="1" t="s">
        <v>1872</v>
      </c>
      <c r="B6994" s="1" t="s">
        <v>1907</v>
      </c>
      <c r="C6994" s="1" t="str">
        <f>"66298857803964"</f>
        <v>66298857803964</v>
      </c>
      <c r="D6994" s="1" t="str">
        <f>"400009"</f>
        <v>400009</v>
      </c>
      <c r="E6994" s="1" t="s">
        <v>4566</v>
      </c>
      <c r="F6994" s="1">
        <v>50</v>
      </c>
      <c r="G6994" s="1">
        <v>881</v>
      </c>
      <c r="H6994" s="1">
        <v>44050</v>
      </c>
      <c r="I6994" s="1">
        <v>0</v>
      </c>
      <c r="J6994" s="1">
        <v>50</v>
      </c>
      <c r="K6994" s="1">
        <v>0</v>
      </c>
    </row>
    <row r="6995" spans="1:11" x14ac:dyDescent="0.2">
      <c r="A6995" s="1" t="s">
        <v>1872</v>
      </c>
      <c r="B6995" s="1" t="s">
        <v>1908</v>
      </c>
      <c r="C6995" s="1" t="str">
        <f>"66298857760619"</f>
        <v>66298857760619</v>
      </c>
      <c r="D6995" s="1" t="str">
        <f>"84932"</f>
        <v>84932</v>
      </c>
      <c r="E6995" s="1" t="s">
        <v>4566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</row>
    <row r="6996" spans="1:11" x14ac:dyDescent="0.2">
      <c r="A6996" s="1" t="s">
        <v>1872</v>
      </c>
      <c r="B6996" s="1" t="s">
        <v>1909</v>
      </c>
      <c r="C6996" s="1" t="str">
        <f>"66298857845199"</f>
        <v>66298857845199</v>
      </c>
      <c r="D6996" s="1" t="str">
        <f>"120757"</f>
        <v>120757</v>
      </c>
      <c r="E6996" s="1" t="s">
        <v>4566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</row>
    <row r="6997" spans="1:11" x14ac:dyDescent="0.2">
      <c r="A6997" s="1" t="s">
        <v>1872</v>
      </c>
      <c r="B6997" s="1" t="s">
        <v>1910</v>
      </c>
      <c r="C6997" s="1" t="str">
        <f>"124002"</f>
        <v>124002</v>
      </c>
      <c r="D6997" s="1" t="str">
        <f>"124002"</f>
        <v>124002</v>
      </c>
      <c r="E6997" s="1" t="s">
        <v>4566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</row>
    <row r="6998" spans="1:11" ht="30" x14ac:dyDescent="0.2">
      <c r="A6998" s="1" t="s">
        <v>1872</v>
      </c>
      <c r="B6998" s="1" t="s">
        <v>1911</v>
      </c>
      <c r="C6998" s="1" t="str">
        <f>"66298857886957"</f>
        <v>66298857886957</v>
      </c>
      <c r="D6998" s="1" t="str">
        <f>"00110"</f>
        <v>00110</v>
      </c>
      <c r="E6998" s="1" t="s">
        <v>4566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</row>
    <row r="6999" spans="1:11" x14ac:dyDescent="0.2">
      <c r="A6999" s="1" t="s">
        <v>1872</v>
      </c>
      <c r="B6999" s="1" t="s">
        <v>1912</v>
      </c>
      <c r="C6999" s="1" t="str">
        <f>"ESP-NEW-INVICTA"</f>
        <v>ESP-NEW-INVICTA</v>
      </c>
      <c r="D6999" s="1" t="str">
        <f>"ESP-NEW-INVICTA"</f>
        <v>ESP-NEW-INVICTA</v>
      </c>
      <c r="E6999" s="1" t="s">
        <v>4566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</row>
    <row r="7000" spans="1:11" x14ac:dyDescent="0.2">
      <c r="A7000" s="1" t="s">
        <v>1872</v>
      </c>
      <c r="B7000" s="1" t="s">
        <v>1913</v>
      </c>
      <c r="C7000" s="1" t="str">
        <f>"124024"</f>
        <v>124024</v>
      </c>
      <c r="D7000" s="1" t="str">
        <f>"124024"</f>
        <v>124024</v>
      </c>
      <c r="E7000" s="1" t="s">
        <v>4566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</row>
    <row r="7001" spans="1:11" x14ac:dyDescent="0.2">
      <c r="A7001" s="1" t="s">
        <v>1872</v>
      </c>
      <c r="B7001" s="1" t="s">
        <v>1914</v>
      </c>
      <c r="C7001" s="1" t="str">
        <f>"66298857930127"</f>
        <v>66298857930127</v>
      </c>
      <c r="D7001" s="1" t="str">
        <f>"KA045"</f>
        <v>KA045</v>
      </c>
      <c r="E7001" s="1" t="s">
        <v>4566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</row>
    <row r="7002" spans="1:11" x14ac:dyDescent="0.2">
      <c r="A7002" s="1" t="s">
        <v>1872</v>
      </c>
      <c r="B7002" s="1" t="s">
        <v>1914</v>
      </c>
      <c r="C7002" s="1" t="str">
        <f>"66298857936666"</f>
        <v>66298857936666</v>
      </c>
      <c r="D7002" s="1" t="str">
        <f>"KA056"</f>
        <v>KA056</v>
      </c>
      <c r="E7002" s="1" t="s">
        <v>4566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</row>
    <row r="7003" spans="1:11" x14ac:dyDescent="0.2">
      <c r="A7003" s="1" t="s">
        <v>1872</v>
      </c>
      <c r="B7003" s="1" t="s">
        <v>1914</v>
      </c>
      <c r="C7003" s="1" t="str">
        <f>"66298858001142"</f>
        <v>66298858001142</v>
      </c>
      <c r="D7003" s="1" t="str">
        <f>"KA046"</f>
        <v>KA046</v>
      </c>
      <c r="E7003" s="1" t="s">
        <v>4566</v>
      </c>
      <c r="F7003" s="1">
        <v>11</v>
      </c>
      <c r="G7003" s="1">
        <v>2000</v>
      </c>
      <c r="H7003" s="1">
        <v>22000</v>
      </c>
      <c r="I7003" s="1">
        <v>0</v>
      </c>
      <c r="J7003" s="1">
        <v>11</v>
      </c>
      <c r="K7003" s="1">
        <v>0</v>
      </c>
    </row>
    <row r="7004" spans="1:11" x14ac:dyDescent="0.2">
      <c r="A7004" s="1" t="s">
        <v>1872</v>
      </c>
      <c r="B7004" s="1" t="s">
        <v>1915</v>
      </c>
      <c r="C7004" s="1" t="str">
        <f>"66298858077872"</f>
        <v>66298858077872</v>
      </c>
      <c r="D7004" s="1" t="str">
        <f>"400786"</f>
        <v>400786</v>
      </c>
      <c r="E7004" s="1" t="s">
        <v>4566</v>
      </c>
      <c r="F7004" s="1">
        <v>300</v>
      </c>
      <c r="G7004" s="1">
        <v>1309</v>
      </c>
      <c r="H7004" s="1">
        <v>392700</v>
      </c>
      <c r="I7004" s="1">
        <v>0</v>
      </c>
      <c r="J7004" s="1">
        <v>300</v>
      </c>
      <c r="K7004" s="1">
        <v>0</v>
      </c>
    </row>
    <row r="7005" spans="1:11" x14ac:dyDescent="0.2">
      <c r="A7005" s="1" t="s">
        <v>1872</v>
      </c>
      <c r="B7005" s="1" t="s">
        <v>1916</v>
      </c>
      <c r="C7005" s="1" t="str">
        <f>"66298858039116"</f>
        <v>66298858039116</v>
      </c>
      <c r="D7005" s="1" t="str">
        <f>"82653"</f>
        <v>82653</v>
      </c>
      <c r="E7005" s="1" t="s">
        <v>4566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</row>
    <row r="7006" spans="1:11" x14ac:dyDescent="0.2">
      <c r="A7006" s="1" t="s">
        <v>1872</v>
      </c>
      <c r="B7006" s="1" t="s">
        <v>1916</v>
      </c>
      <c r="C7006" s="1" t="str">
        <f>"15849"</f>
        <v>15849</v>
      </c>
      <c r="D7006" s="1" t="str">
        <f>"15849"</f>
        <v>15849</v>
      </c>
      <c r="E7006" s="1" t="s">
        <v>4566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</row>
    <row r="7007" spans="1:11" x14ac:dyDescent="0.2">
      <c r="A7007" s="1" t="s">
        <v>1872</v>
      </c>
      <c r="B7007" s="1" t="s">
        <v>1917</v>
      </c>
      <c r="C7007" s="1" t="str">
        <f>"66298858118772"</f>
        <v>66298858118772</v>
      </c>
      <c r="D7007" s="1" t="str">
        <f>"00151"</f>
        <v>00151</v>
      </c>
      <c r="E7007" s="1" t="s">
        <v>4566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</row>
    <row r="7008" spans="1:11" x14ac:dyDescent="0.2">
      <c r="A7008" s="1" t="s">
        <v>1872</v>
      </c>
      <c r="B7008" s="1" t="s">
        <v>1918</v>
      </c>
      <c r="C7008" s="1" t="str">
        <f>"66298858162850"</f>
        <v>66298858162850</v>
      </c>
      <c r="D7008" s="1" t="str">
        <f>"E18"</f>
        <v>E18</v>
      </c>
      <c r="E7008" s="1" t="s">
        <v>4566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</row>
    <row r="7009" spans="1:11" x14ac:dyDescent="0.2">
      <c r="A7009" s="1" t="s">
        <v>1872</v>
      </c>
      <c r="B7009" s="1" t="s">
        <v>1919</v>
      </c>
      <c r="C7009" s="1" t="str">
        <f>"66298858203227"</f>
        <v>66298858203227</v>
      </c>
      <c r="D7009" s="1" t="str">
        <f>"400905"</f>
        <v>400905</v>
      </c>
      <c r="E7009" s="1" t="s">
        <v>4566</v>
      </c>
      <c r="F7009" s="1">
        <v>257</v>
      </c>
      <c r="G7009" s="1">
        <v>1831</v>
      </c>
      <c r="H7009" s="1">
        <v>470567</v>
      </c>
      <c r="I7009" s="1">
        <v>0</v>
      </c>
      <c r="J7009" s="1">
        <v>257</v>
      </c>
      <c r="K7009" s="1">
        <v>0</v>
      </c>
    </row>
    <row r="7010" spans="1:11" x14ac:dyDescent="0.2">
      <c r="A7010" s="1" t="s">
        <v>1872</v>
      </c>
      <c r="B7010" s="1" t="s">
        <v>1920</v>
      </c>
      <c r="C7010" s="1" t="str">
        <f>"66298858241165"</f>
        <v>66298858241165</v>
      </c>
      <c r="D7010" s="1" t="str">
        <f>"400789"</f>
        <v>400789</v>
      </c>
      <c r="E7010" s="1" t="s">
        <v>4566</v>
      </c>
      <c r="F7010" s="1">
        <v>424</v>
      </c>
      <c r="G7010" s="1">
        <v>2059</v>
      </c>
      <c r="H7010" s="1">
        <v>873016</v>
      </c>
      <c r="I7010" s="1">
        <v>0</v>
      </c>
      <c r="J7010" s="1">
        <v>424</v>
      </c>
      <c r="K7010" s="1">
        <v>0</v>
      </c>
    </row>
    <row r="7011" spans="1:11" ht="30" x14ac:dyDescent="0.2">
      <c r="A7011" s="1" t="s">
        <v>1872</v>
      </c>
      <c r="B7011" s="1" t="s">
        <v>1921</v>
      </c>
      <c r="C7011" s="1" t="str">
        <f>"66298858280670"</f>
        <v>66298858280670</v>
      </c>
      <c r="D7011" s="1" t="str">
        <f>"400791"</f>
        <v>400791</v>
      </c>
      <c r="E7011" s="1" t="s">
        <v>4566</v>
      </c>
      <c r="F7011" s="1">
        <v>384</v>
      </c>
      <c r="G7011" s="1">
        <v>996</v>
      </c>
      <c r="H7011" s="1">
        <v>382464</v>
      </c>
      <c r="I7011" s="1">
        <v>0</v>
      </c>
      <c r="J7011" s="1">
        <v>384</v>
      </c>
      <c r="K7011" s="1">
        <v>0</v>
      </c>
    </row>
    <row r="7012" spans="1:11" x14ac:dyDescent="0.2">
      <c r="A7012" s="1" t="s">
        <v>1872</v>
      </c>
      <c r="B7012" s="1" t="s">
        <v>1922</v>
      </c>
      <c r="C7012" s="1" t="str">
        <f>"KA003"</f>
        <v>KA003</v>
      </c>
      <c r="D7012" s="1" t="str">
        <f>"KA003"</f>
        <v>KA003</v>
      </c>
      <c r="E7012" s="1" t="s">
        <v>4566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</row>
    <row r="7013" spans="1:11" x14ac:dyDescent="0.2">
      <c r="A7013" s="1" t="s">
        <v>1872</v>
      </c>
      <c r="B7013" s="1" t="s">
        <v>1923</v>
      </c>
      <c r="C7013" s="1" t="str">
        <f>"YXC-M10"</f>
        <v>YXC-M10</v>
      </c>
      <c r="D7013" s="1" t="str">
        <f>"YXC-M10"</f>
        <v>YXC-M10</v>
      </c>
      <c r="E7013" s="1" t="s">
        <v>4566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</row>
    <row r="7014" spans="1:11" x14ac:dyDescent="0.2">
      <c r="A7014" s="1" t="s">
        <v>1872</v>
      </c>
      <c r="B7014" s="1" t="s">
        <v>1923</v>
      </c>
      <c r="C7014" s="1" t="str">
        <f>"K050"</f>
        <v>K050</v>
      </c>
      <c r="D7014" s="1" t="str">
        <f>"K050"</f>
        <v>K050</v>
      </c>
      <c r="E7014" s="1" t="s">
        <v>4566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</row>
    <row r="7015" spans="1:11" x14ac:dyDescent="0.2">
      <c r="A7015" s="1" t="s">
        <v>1872</v>
      </c>
      <c r="B7015" s="1" t="s">
        <v>1924</v>
      </c>
      <c r="C7015" s="1" t="str">
        <f>"66298858361901"</f>
        <v>66298858361901</v>
      </c>
      <c r="D7015" s="1" t="str">
        <f>"82132"</f>
        <v>82132</v>
      </c>
      <c r="E7015" s="1" t="s">
        <v>4566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</row>
    <row r="7016" spans="1:11" x14ac:dyDescent="0.2">
      <c r="A7016" s="1" t="s">
        <v>1872</v>
      </c>
      <c r="B7016" s="1" t="s">
        <v>1925</v>
      </c>
      <c r="C7016" s="1" t="str">
        <f>"KA009"</f>
        <v>KA009</v>
      </c>
      <c r="D7016" s="1" t="str">
        <f>"KA009"</f>
        <v>KA009</v>
      </c>
      <c r="E7016" s="1" t="s">
        <v>4566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</row>
    <row r="7017" spans="1:11" x14ac:dyDescent="0.2">
      <c r="A7017" s="1" t="s">
        <v>1872</v>
      </c>
      <c r="B7017" s="1" t="s">
        <v>1926</v>
      </c>
      <c r="C7017" s="1" t="str">
        <f>"66298858403804"</f>
        <v>66298858403804</v>
      </c>
      <c r="D7017" s="1" t="str">
        <f>"00171"</f>
        <v>00171</v>
      </c>
      <c r="E7017" s="1" t="s">
        <v>4566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</row>
    <row r="7018" spans="1:11" x14ac:dyDescent="0.2">
      <c r="A7018" s="1" t="s">
        <v>1872</v>
      </c>
      <c r="B7018" s="1" t="s">
        <v>1927</v>
      </c>
      <c r="C7018" s="1" t="str">
        <f>"66298858319097"</f>
        <v>66298858319097</v>
      </c>
      <c r="D7018" s="1" t="str">
        <f>"K058"</f>
        <v>K058</v>
      </c>
      <c r="E7018" s="1" t="s">
        <v>4566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</row>
    <row r="7019" spans="1:11" x14ac:dyDescent="0.2">
      <c r="A7019" s="1" t="s">
        <v>1872</v>
      </c>
      <c r="B7019" s="1" t="s">
        <v>1928</v>
      </c>
      <c r="C7019" s="1" t="str">
        <f>"KA030"</f>
        <v>KA030</v>
      </c>
      <c r="D7019" s="1" t="str">
        <f>"KA030"</f>
        <v>KA030</v>
      </c>
      <c r="E7019" s="1" t="s">
        <v>4566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</row>
    <row r="7020" spans="1:11" x14ac:dyDescent="0.2">
      <c r="A7020" s="1" t="s">
        <v>1872</v>
      </c>
      <c r="B7020" s="1" t="s">
        <v>1929</v>
      </c>
      <c r="C7020" s="1" t="str">
        <f>"12312"</f>
        <v>12312</v>
      </c>
      <c r="D7020" s="1" t="str">
        <f>"12312"</f>
        <v>12312</v>
      </c>
      <c r="E7020" s="1" t="s">
        <v>4566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</row>
    <row r="7021" spans="1:11" x14ac:dyDescent="0.2">
      <c r="A7021" s="1" t="s">
        <v>1872</v>
      </c>
      <c r="B7021" s="1" t="s">
        <v>1929</v>
      </c>
      <c r="C7021" s="1" t="str">
        <f>"KA037"</f>
        <v>KA037</v>
      </c>
      <c r="D7021" s="1" t="str">
        <f>"KA037"</f>
        <v>KA037</v>
      </c>
      <c r="E7021" s="1" t="s">
        <v>4566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</row>
    <row r="7022" spans="1:11" x14ac:dyDescent="0.2">
      <c r="A7022" s="1" t="s">
        <v>1872</v>
      </c>
      <c r="B7022" s="1" t="s">
        <v>1930</v>
      </c>
      <c r="C7022" s="1" t="str">
        <f>"KA006"</f>
        <v>KA006</v>
      </c>
      <c r="D7022" s="1" t="str">
        <f>"KA006"</f>
        <v>KA006</v>
      </c>
      <c r="E7022" s="1" t="s">
        <v>4566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</row>
    <row r="7023" spans="1:11" x14ac:dyDescent="0.2">
      <c r="A7023" s="1" t="s">
        <v>1872</v>
      </c>
      <c r="B7023" s="1" t="s">
        <v>1931</v>
      </c>
      <c r="C7023" s="1" t="str">
        <f>"66298858446595"</f>
        <v>66298858446595</v>
      </c>
      <c r="D7023" s="1" t="str">
        <f>"3343"</f>
        <v>3343</v>
      </c>
      <c r="E7023" s="1" t="s">
        <v>4566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</row>
    <row r="7024" spans="1:11" x14ac:dyDescent="0.2">
      <c r="A7024" s="1" t="s">
        <v>1872</v>
      </c>
      <c r="B7024" s="1" t="s">
        <v>1932</v>
      </c>
      <c r="C7024" s="1" t="str">
        <f>"KA033"</f>
        <v>KA033</v>
      </c>
      <c r="D7024" s="1" t="str">
        <f>"KA033"</f>
        <v>KA033</v>
      </c>
      <c r="E7024" s="1" t="s">
        <v>4566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</row>
    <row r="7025" spans="1:11" x14ac:dyDescent="0.2">
      <c r="A7025" s="1" t="s">
        <v>1872</v>
      </c>
      <c r="B7025" s="1" t="s">
        <v>1932</v>
      </c>
      <c r="C7025" s="1" t="str">
        <f>"1318"</f>
        <v>1318</v>
      </c>
      <c r="D7025" s="1" t="str">
        <f>"1318"</f>
        <v>1318</v>
      </c>
      <c r="E7025" s="1" t="s">
        <v>4566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</row>
    <row r="7026" spans="1:11" x14ac:dyDescent="0.2">
      <c r="A7026" s="1" t="s">
        <v>1872</v>
      </c>
      <c r="B7026" s="1" t="s">
        <v>1933</v>
      </c>
      <c r="C7026" s="1" t="str">
        <f>"66298858634762"</f>
        <v>66298858634762</v>
      </c>
      <c r="D7026" s="1" t="str">
        <f>"K014-ROJO"</f>
        <v>K014-ROJO</v>
      </c>
      <c r="E7026" s="1" t="s">
        <v>4566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</row>
    <row r="7027" spans="1:11" x14ac:dyDescent="0.2">
      <c r="A7027" s="1" t="s">
        <v>1872</v>
      </c>
      <c r="B7027" s="1" t="s">
        <v>1934</v>
      </c>
      <c r="C7027" s="1" t="str">
        <f>"66298858486231"</f>
        <v>66298858486231</v>
      </c>
      <c r="D7027" s="1" t="str">
        <f>"K012-AZUL"</f>
        <v>K012-AZUL</v>
      </c>
      <c r="E7027" s="1" t="s">
        <v>4566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</row>
    <row r="7028" spans="1:11" x14ac:dyDescent="0.2">
      <c r="A7028" s="1" t="s">
        <v>1872</v>
      </c>
      <c r="B7028" s="1" t="s">
        <v>1934</v>
      </c>
      <c r="C7028" s="1" t="str">
        <f>"66298858528388"</f>
        <v>66298858528388</v>
      </c>
      <c r="D7028" s="1" t="str">
        <f>"K020-NEGRO"</f>
        <v>K020-NEGRO</v>
      </c>
      <c r="E7028" s="1" t="s">
        <v>4566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</row>
    <row r="7029" spans="1:11" x14ac:dyDescent="0.2">
      <c r="A7029" s="1" t="s">
        <v>1872</v>
      </c>
      <c r="B7029" s="1" t="s">
        <v>1934</v>
      </c>
      <c r="C7029" s="1" t="str">
        <f>"1515"</f>
        <v>1515</v>
      </c>
      <c r="D7029" s="1" t="str">
        <f>"1515"</f>
        <v>1515</v>
      </c>
      <c r="E7029" s="1" t="s">
        <v>4566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</row>
    <row r="7030" spans="1:11" x14ac:dyDescent="0.2">
      <c r="A7030" s="1" t="s">
        <v>1872</v>
      </c>
      <c r="B7030" s="1" t="s">
        <v>1935</v>
      </c>
      <c r="C7030" s="1" t="str">
        <f>"K015-AZUL"</f>
        <v>K015-AZUL</v>
      </c>
      <c r="D7030" s="1" t="str">
        <f>"K015-AZUL"</f>
        <v>K015-AZUL</v>
      </c>
      <c r="E7030" s="1" t="s">
        <v>4566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</row>
    <row r="7031" spans="1:11" x14ac:dyDescent="0.2">
      <c r="A7031" s="1" t="s">
        <v>1872</v>
      </c>
      <c r="B7031" s="1" t="s">
        <v>1936</v>
      </c>
      <c r="C7031" s="1" t="str">
        <f>"K015-NEGRO"</f>
        <v>K015-NEGRO</v>
      </c>
      <c r="D7031" s="1" t="str">
        <f>"K015-NEGRO"</f>
        <v>K015-NEGRO</v>
      </c>
      <c r="E7031" s="1" t="s">
        <v>4566</v>
      </c>
      <c r="F7031" s="1">
        <v>12</v>
      </c>
      <c r="G7031" s="1">
        <v>5553</v>
      </c>
      <c r="H7031" s="1">
        <v>66636</v>
      </c>
      <c r="I7031" s="1">
        <v>0</v>
      </c>
      <c r="J7031" s="1">
        <v>12</v>
      </c>
      <c r="K7031" s="1">
        <v>0</v>
      </c>
    </row>
    <row r="7032" spans="1:11" x14ac:dyDescent="0.2">
      <c r="A7032" s="1" t="s">
        <v>1872</v>
      </c>
      <c r="B7032" s="1" t="s">
        <v>1937</v>
      </c>
      <c r="C7032" s="1" t="str">
        <f>"66298858791085"</f>
        <v>66298858791085</v>
      </c>
      <c r="D7032" s="1" t="str">
        <f>"0011E-AZUL"</f>
        <v>0011E-AZUL</v>
      </c>
      <c r="E7032" s="1" t="s">
        <v>4566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</row>
    <row r="7033" spans="1:11" x14ac:dyDescent="0.2">
      <c r="A7033" s="1" t="s">
        <v>1872</v>
      </c>
      <c r="B7033" s="1" t="s">
        <v>1937</v>
      </c>
      <c r="C7033" s="1" t="str">
        <f>"66298858796504"</f>
        <v>66298858796504</v>
      </c>
      <c r="D7033" s="1" t="str">
        <f>"K032-AZUL"</f>
        <v>K032-AZUL</v>
      </c>
      <c r="E7033" s="1" t="s">
        <v>4566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</row>
    <row r="7034" spans="1:11" x14ac:dyDescent="0.2">
      <c r="A7034" s="1" t="s">
        <v>1872</v>
      </c>
      <c r="B7034" s="1" t="s">
        <v>1937</v>
      </c>
      <c r="C7034" s="1" t="str">
        <f>"66298858849888"</f>
        <v>66298858849888</v>
      </c>
      <c r="D7034" s="1" t="str">
        <f>"K054-AZUL"</f>
        <v>K054-AZUL</v>
      </c>
      <c r="E7034" s="1" t="s">
        <v>4566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</row>
    <row r="7035" spans="1:11" ht="30" x14ac:dyDescent="0.2">
      <c r="A7035" s="1" t="s">
        <v>1872</v>
      </c>
      <c r="B7035" s="1" t="s">
        <v>1938</v>
      </c>
      <c r="C7035" s="1" t="str">
        <f>"66298858899267"</f>
        <v>66298858899267</v>
      </c>
      <c r="D7035" s="1" t="str">
        <f>"0011E-CROMADO"</f>
        <v>0011E-CROMADO</v>
      </c>
      <c r="E7035" s="1" t="s">
        <v>4566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</row>
    <row r="7036" spans="1:11" x14ac:dyDescent="0.2">
      <c r="A7036" s="1" t="s">
        <v>1872</v>
      </c>
      <c r="B7036" s="1" t="s">
        <v>1939</v>
      </c>
      <c r="C7036" s="1" t="str">
        <f>"66298858959747"</f>
        <v>66298858959747</v>
      </c>
      <c r="D7036" s="1" t="str">
        <f>"K054-DORADO"</f>
        <v>K054-DORADO</v>
      </c>
      <c r="E7036" s="1" t="s">
        <v>4566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</row>
    <row r="7037" spans="1:11" x14ac:dyDescent="0.2">
      <c r="A7037" s="1" t="s">
        <v>1872</v>
      </c>
      <c r="B7037" s="1" t="s">
        <v>1940</v>
      </c>
      <c r="C7037" s="1" t="str">
        <f>"66298859023202"</f>
        <v>66298859023202</v>
      </c>
      <c r="D7037" s="1" t="str">
        <f>"0011E-NEGRO"</f>
        <v>0011E-NEGRO</v>
      </c>
      <c r="E7037" s="1" t="s">
        <v>4566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</row>
    <row r="7038" spans="1:11" x14ac:dyDescent="0.2">
      <c r="A7038" s="1" t="s">
        <v>1872</v>
      </c>
      <c r="B7038" s="1" t="s">
        <v>1941</v>
      </c>
      <c r="C7038" s="1" t="str">
        <f>"66298859074963"</f>
        <v>66298859074963</v>
      </c>
      <c r="D7038" s="1" t="str">
        <f>"0011E-ROJO"</f>
        <v>0011E-ROJO</v>
      </c>
      <c r="E7038" s="1" t="s">
        <v>4566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</row>
    <row r="7039" spans="1:11" x14ac:dyDescent="0.2">
      <c r="A7039" s="1" t="s">
        <v>1872</v>
      </c>
      <c r="B7039" s="1" t="s">
        <v>1941</v>
      </c>
      <c r="C7039" s="1" t="str">
        <f>"66298859083204"</f>
        <v>66298859083204</v>
      </c>
      <c r="D7039" s="1" t="str">
        <f>"K032-ROJO"</f>
        <v>K032-ROJO</v>
      </c>
      <c r="E7039" s="1" t="s">
        <v>4566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</row>
    <row r="7040" spans="1:11" x14ac:dyDescent="0.2">
      <c r="A7040" s="1" t="s">
        <v>1872</v>
      </c>
      <c r="B7040" s="1" t="s">
        <v>1942</v>
      </c>
      <c r="C7040" s="1" t="str">
        <f>"66298858683354"</f>
        <v>66298858683354</v>
      </c>
      <c r="D7040" s="1" t="str">
        <f>"K048"</f>
        <v>K048</v>
      </c>
      <c r="E7040" s="1" t="s">
        <v>4566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</row>
    <row r="7041" spans="1:11" x14ac:dyDescent="0.2">
      <c r="A7041" s="1" t="s">
        <v>1872</v>
      </c>
      <c r="B7041" s="1" t="s">
        <v>1942</v>
      </c>
      <c r="C7041" s="1" t="str">
        <f>"66298858690804"</f>
        <v>66298858690804</v>
      </c>
      <c r="D7041" s="1" t="str">
        <f>"KA035"</f>
        <v>KA035</v>
      </c>
      <c r="E7041" s="1" t="s">
        <v>4566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</row>
    <row r="7042" spans="1:11" x14ac:dyDescent="0.2">
      <c r="A7042" s="1" t="s">
        <v>1872</v>
      </c>
      <c r="B7042" s="1" t="s">
        <v>1942</v>
      </c>
      <c r="C7042" s="1" t="str">
        <f>"66298858697414"</f>
        <v>66298858697414</v>
      </c>
      <c r="D7042" s="1" t="str">
        <f>"K066"</f>
        <v>K066</v>
      </c>
      <c r="E7042" s="1" t="s">
        <v>4566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</row>
    <row r="7043" spans="1:11" x14ac:dyDescent="0.2">
      <c r="A7043" s="1" t="s">
        <v>1872</v>
      </c>
      <c r="B7043" s="1" t="s">
        <v>1942</v>
      </c>
      <c r="C7043" s="1" t="str">
        <f>"66298858703158"</f>
        <v>66298858703158</v>
      </c>
      <c r="D7043" s="1" t="str">
        <f>"KA057"</f>
        <v>KA057</v>
      </c>
      <c r="E7043" s="1" t="s">
        <v>4566</v>
      </c>
      <c r="F7043" s="1">
        <v>3</v>
      </c>
      <c r="G7043" s="1">
        <v>12071</v>
      </c>
      <c r="H7043" s="1">
        <v>36213</v>
      </c>
      <c r="I7043" s="1">
        <v>0</v>
      </c>
      <c r="J7043" s="1">
        <v>3</v>
      </c>
      <c r="K7043" s="1">
        <v>0</v>
      </c>
    </row>
    <row r="7044" spans="1:11" x14ac:dyDescent="0.2">
      <c r="A7044" s="1" t="s">
        <v>1872</v>
      </c>
      <c r="B7044" s="1" t="s">
        <v>1943</v>
      </c>
      <c r="C7044" s="1" t="str">
        <f>"66298880865721"</f>
        <v>66298880865721</v>
      </c>
      <c r="D7044" s="1" t="str">
        <f>"KA053"</f>
        <v>KA053</v>
      </c>
      <c r="E7044" s="1" t="s">
        <v>4566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</row>
    <row r="7045" spans="1:11" x14ac:dyDescent="0.2">
      <c r="A7045" s="1" t="s">
        <v>1872</v>
      </c>
      <c r="B7045" s="1" t="s">
        <v>1944</v>
      </c>
      <c r="C7045" s="1" t="str">
        <f>"66298880908070"</f>
        <v>66298880908070</v>
      </c>
      <c r="D7045" s="1" t="str">
        <f>"124013"</f>
        <v>124013</v>
      </c>
      <c r="E7045" s="1" t="s">
        <v>4566</v>
      </c>
      <c r="F7045" s="1">
        <v>13</v>
      </c>
      <c r="G7045" s="1">
        <v>12227</v>
      </c>
      <c r="H7045" s="1">
        <v>158951</v>
      </c>
      <c r="I7045" s="1">
        <v>0</v>
      </c>
      <c r="J7045" s="1">
        <v>13</v>
      </c>
      <c r="K7045" s="1">
        <v>0</v>
      </c>
    </row>
    <row r="7046" spans="1:11" x14ac:dyDescent="0.2">
      <c r="A7046" s="1" t="s">
        <v>18</v>
      </c>
      <c r="B7046" s="1" t="s">
        <v>1945</v>
      </c>
      <c r="C7046" s="1" t="str">
        <f>"4746-AZUL"</f>
        <v>4746-AZUL</v>
      </c>
      <c r="D7046" s="1" t="str">
        <f>"4746-AZUL"</f>
        <v>4746-AZUL</v>
      </c>
      <c r="E7046" s="1" t="s">
        <v>4566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</row>
    <row r="7047" spans="1:11" x14ac:dyDescent="0.2">
      <c r="A7047" s="1" t="s">
        <v>18</v>
      </c>
      <c r="B7047" s="1" t="s">
        <v>1946</v>
      </c>
      <c r="C7047" s="1" t="str">
        <f>"4746-ROJO"</f>
        <v>4746-ROJO</v>
      </c>
      <c r="D7047" s="1" t="str">
        <f>"4746-ROJO"</f>
        <v>4746-ROJO</v>
      </c>
      <c r="E7047" s="1" t="s">
        <v>4566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</row>
    <row r="7048" spans="1:11" x14ac:dyDescent="0.2">
      <c r="A7048" s="1" t="s">
        <v>18</v>
      </c>
      <c r="B7048" s="1" t="s">
        <v>1947</v>
      </c>
      <c r="C7048" s="1" t="str">
        <f>"4746-VERDE"</f>
        <v>4746-VERDE</v>
      </c>
      <c r="D7048" s="1" t="str">
        <f>"4746-VERDE"</f>
        <v>4746-VERDE</v>
      </c>
      <c r="E7048" s="1" t="s">
        <v>4566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</row>
    <row r="7049" spans="1:11" x14ac:dyDescent="0.2">
      <c r="A7049" s="1" t="s">
        <v>1948</v>
      </c>
      <c r="B7049" s="1" t="s">
        <v>1949</v>
      </c>
      <c r="C7049" s="1" t="str">
        <f>"66298880952409"</f>
        <v>66298880952409</v>
      </c>
      <c r="D7049" s="1" t="str">
        <f>"44011H2C020HF01"</f>
        <v>44011H2C020HF01</v>
      </c>
      <c r="E7049" s="1" t="s">
        <v>4566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</row>
    <row r="7050" spans="1:11" x14ac:dyDescent="0.2">
      <c r="A7050" s="1" t="s">
        <v>1948</v>
      </c>
      <c r="B7050" s="1" t="s">
        <v>1950</v>
      </c>
      <c r="C7050" s="1" t="str">
        <f>"A210-ROJO"</f>
        <v>A210-ROJO</v>
      </c>
      <c r="D7050" s="1" t="str">
        <f>"A210-ROJO"</f>
        <v>A210-ROJO</v>
      </c>
      <c r="E7050" s="1" t="s">
        <v>4566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</row>
    <row r="7051" spans="1:11" ht="30" x14ac:dyDescent="0.2">
      <c r="A7051" s="1" t="s">
        <v>1951</v>
      </c>
      <c r="B7051" s="1" t="s">
        <v>1952</v>
      </c>
      <c r="C7051" s="1" t="str">
        <f>"TS35"</f>
        <v>TS35</v>
      </c>
      <c r="D7051" s="1" t="str">
        <f>"TS35"</f>
        <v>TS35</v>
      </c>
      <c r="E7051" s="1" t="s">
        <v>4566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</row>
    <row r="7052" spans="1:11" x14ac:dyDescent="0.2">
      <c r="A7052" s="1" t="s">
        <v>1951</v>
      </c>
      <c r="B7052" s="1" t="s">
        <v>1953</v>
      </c>
      <c r="C7052" s="1" t="str">
        <f>"FB011"</f>
        <v>FB011</v>
      </c>
      <c r="D7052" s="1" t="str">
        <f>"FB011"</f>
        <v>FB011</v>
      </c>
      <c r="E7052" s="1" t="s">
        <v>4566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</row>
    <row r="7053" spans="1:11" x14ac:dyDescent="0.2">
      <c r="A7053" s="1" t="s">
        <v>1951</v>
      </c>
      <c r="B7053" s="1" t="s">
        <v>1954</v>
      </c>
      <c r="C7053" s="1" t="str">
        <f>"384"</f>
        <v>384</v>
      </c>
      <c r="D7053" s="1" t="str">
        <f>"384"</f>
        <v>384</v>
      </c>
      <c r="E7053" s="1" t="s">
        <v>4566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</row>
    <row r="7054" spans="1:11" x14ac:dyDescent="0.2">
      <c r="A7054" s="1" t="s">
        <v>1951</v>
      </c>
      <c r="B7054" s="1" t="s">
        <v>1955</v>
      </c>
      <c r="C7054" s="1" t="str">
        <f>"66298880992931"</f>
        <v>66298880992931</v>
      </c>
      <c r="D7054" s="1" t="str">
        <f>"400704"</f>
        <v>400704</v>
      </c>
      <c r="E7054" s="1" t="s">
        <v>4566</v>
      </c>
      <c r="F7054" s="1">
        <v>155</v>
      </c>
      <c r="G7054" s="1">
        <v>6273</v>
      </c>
      <c r="H7054" s="1">
        <v>972315</v>
      </c>
      <c r="I7054" s="1">
        <v>0</v>
      </c>
      <c r="J7054" s="1">
        <v>155</v>
      </c>
      <c r="K7054" s="1">
        <v>0</v>
      </c>
    </row>
    <row r="7055" spans="1:11" x14ac:dyDescent="0.2">
      <c r="A7055" s="1" t="s">
        <v>1951</v>
      </c>
      <c r="B7055" s="1" t="s">
        <v>1956</v>
      </c>
      <c r="C7055" s="1" t="str">
        <f>"66298881033171"</f>
        <v>66298881033171</v>
      </c>
      <c r="D7055" s="1" t="str">
        <f>"31120-K51-601GH"</f>
        <v>31120-K51-601GH</v>
      </c>
      <c r="E7055" s="1" t="s">
        <v>4566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</row>
    <row r="7056" spans="1:11" x14ac:dyDescent="0.2">
      <c r="A7056" s="1" t="s">
        <v>1951</v>
      </c>
      <c r="B7056" s="1" t="s">
        <v>1957</v>
      </c>
      <c r="C7056" s="1" t="str">
        <f>"66298881147441"</f>
        <v>66298881147441</v>
      </c>
      <c r="D7056" s="1" t="str">
        <f>"31120-KTE-911HB"</f>
        <v>31120-KTE-911HB</v>
      </c>
      <c r="E7056" s="1" t="s">
        <v>4566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</row>
    <row r="7057" spans="1:11" x14ac:dyDescent="0.2">
      <c r="A7057" s="1" t="s">
        <v>1951</v>
      </c>
      <c r="B7057" s="1" t="s">
        <v>1958</v>
      </c>
      <c r="C7057" s="1" t="str">
        <f>"66298881201528"</f>
        <v>66298881201528</v>
      </c>
      <c r="D7057" s="1" t="str">
        <f>"31120-KSP-900HB"</f>
        <v>31120-KSP-900HB</v>
      </c>
      <c r="E7057" s="1" t="s">
        <v>4566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</row>
    <row r="7058" spans="1:11" x14ac:dyDescent="0.2">
      <c r="A7058" s="1" t="s">
        <v>1951</v>
      </c>
      <c r="B7058" s="1" t="s">
        <v>1959</v>
      </c>
      <c r="C7058" s="1" t="str">
        <f>"66298881238898"</f>
        <v>66298881238898</v>
      </c>
      <c r="D7058" s="1" t="str">
        <f>"400708"</f>
        <v>400708</v>
      </c>
      <c r="E7058" s="1" t="s">
        <v>4566</v>
      </c>
      <c r="F7058" s="1">
        <v>34</v>
      </c>
      <c r="G7058" s="1">
        <v>5381</v>
      </c>
      <c r="H7058" s="1">
        <v>182954</v>
      </c>
      <c r="I7058" s="1">
        <v>0</v>
      </c>
      <c r="J7058" s="1">
        <v>34</v>
      </c>
      <c r="K7058" s="1">
        <v>0</v>
      </c>
    </row>
    <row r="7059" spans="1:11" x14ac:dyDescent="0.2">
      <c r="A7059" s="1" t="s">
        <v>1951</v>
      </c>
      <c r="B7059" s="1" t="s">
        <v>1960</v>
      </c>
      <c r="C7059" s="1" t="str">
        <f>"66298881322052"</f>
        <v>66298881322052</v>
      </c>
      <c r="D7059" s="1" t="str">
        <f>"400023"</f>
        <v>400023</v>
      </c>
      <c r="E7059" s="1" t="s">
        <v>4566</v>
      </c>
      <c r="F7059" s="1">
        <v>5</v>
      </c>
      <c r="G7059" s="1">
        <v>4132</v>
      </c>
      <c r="H7059" s="1">
        <v>20660</v>
      </c>
      <c r="I7059" s="1">
        <v>0</v>
      </c>
      <c r="J7059" s="1">
        <v>5</v>
      </c>
      <c r="K7059" s="1">
        <v>0</v>
      </c>
    </row>
    <row r="7060" spans="1:11" x14ac:dyDescent="0.2">
      <c r="A7060" s="1" t="s">
        <v>1951</v>
      </c>
      <c r="B7060" s="1" t="s">
        <v>1961</v>
      </c>
      <c r="C7060" s="1" t="str">
        <f>"B085"</f>
        <v>B085</v>
      </c>
      <c r="D7060" s="1" t="str">
        <f>"B085"</f>
        <v>B085</v>
      </c>
      <c r="E7060" s="1" t="s">
        <v>4566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</row>
    <row r="7061" spans="1:11" x14ac:dyDescent="0.2">
      <c r="A7061" s="1" t="s">
        <v>1951</v>
      </c>
      <c r="B7061" s="1" t="s">
        <v>1961</v>
      </c>
      <c r="C7061" s="1" t="str">
        <f>"FB013"</f>
        <v>FB013</v>
      </c>
      <c r="D7061" s="1" t="str">
        <f>"FB013"</f>
        <v>FB013</v>
      </c>
      <c r="E7061" s="1" t="s">
        <v>4566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</row>
    <row r="7062" spans="1:11" x14ac:dyDescent="0.2">
      <c r="A7062" s="1" t="s">
        <v>1951</v>
      </c>
      <c r="B7062" s="1" t="s">
        <v>1962</v>
      </c>
      <c r="C7062" s="1" t="str">
        <f>"66298881278169"</f>
        <v>66298881278169</v>
      </c>
      <c r="D7062" s="1" t="str">
        <f>"400702"</f>
        <v>400702</v>
      </c>
      <c r="E7062" s="1" t="s">
        <v>4566</v>
      </c>
      <c r="F7062" s="1">
        <v>32</v>
      </c>
      <c r="G7062" s="1">
        <v>4745</v>
      </c>
      <c r="H7062" s="1">
        <v>151840</v>
      </c>
      <c r="I7062" s="1">
        <v>0</v>
      </c>
      <c r="J7062" s="1">
        <v>32</v>
      </c>
      <c r="K7062" s="1">
        <v>0</v>
      </c>
    </row>
    <row r="7063" spans="1:11" x14ac:dyDescent="0.2">
      <c r="A7063" s="1" t="s">
        <v>1951</v>
      </c>
      <c r="B7063" s="1" t="s">
        <v>1963</v>
      </c>
      <c r="C7063" s="1" t="str">
        <f>"FB019"</f>
        <v>FB019</v>
      </c>
      <c r="D7063" s="1" t="str">
        <f>"FB019"</f>
        <v>FB019</v>
      </c>
      <c r="E7063" s="1" t="s">
        <v>4566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</row>
    <row r="7064" spans="1:11" x14ac:dyDescent="0.2">
      <c r="A7064" s="1" t="s">
        <v>1951</v>
      </c>
      <c r="B7064" s="1" t="s">
        <v>1964</v>
      </c>
      <c r="C7064" s="1" t="str">
        <f>"ESTAT-EX100"</f>
        <v>ESTAT-EX100</v>
      </c>
      <c r="D7064" s="1" t="str">
        <f>"ESTAT-EX100"</f>
        <v>ESTAT-EX100</v>
      </c>
      <c r="E7064" s="1" t="s">
        <v>4566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</row>
    <row r="7065" spans="1:11" x14ac:dyDescent="0.2">
      <c r="A7065" s="1" t="s">
        <v>1951</v>
      </c>
      <c r="B7065" s="1" t="s">
        <v>1965</v>
      </c>
      <c r="C7065" s="1" t="str">
        <f>"66298881365586"</f>
        <v>66298881365586</v>
      </c>
      <c r="D7065" s="1" t="str">
        <f>"31120-KST-941HB"</f>
        <v>31120-KST-941HB</v>
      </c>
      <c r="E7065" s="1" t="s">
        <v>4566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</row>
    <row r="7066" spans="1:11" x14ac:dyDescent="0.2">
      <c r="A7066" s="1" t="s">
        <v>1951</v>
      </c>
      <c r="B7066" s="1" t="s">
        <v>1966</v>
      </c>
      <c r="C7066" s="1" t="str">
        <f>"66298881406785"</f>
        <v>66298881406785</v>
      </c>
      <c r="D7066" s="1" t="str">
        <f>"31120-KVH-871HB"</f>
        <v>31120-KVH-871HB</v>
      </c>
      <c r="E7066" s="1" t="s">
        <v>4566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</row>
    <row r="7067" spans="1:11" x14ac:dyDescent="0.2">
      <c r="A7067" s="1" t="s">
        <v>1951</v>
      </c>
      <c r="B7067" s="1" t="s">
        <v>1967</v>
      </c>
      <c r="C7067" s="1" t="str">
        <f>"66298881445246"</f>
        <v>66298881445246</v>
      </c>
      <c r="D7067" s="1" t="str">
        <f>"JP-3510-07HB"</f>
        <v>JP-3510-07HB</v>
      </c>
      <c r="E7067" s="1" t="s">
        <v>4566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</row>
    <row r="7068" spans="1:11" x14ac:dyDescent="0.2">
      <c r="A7068" s="1" t="s">
        <v>1951</v>
      </c>
      <c r="B7068" s="1" t="s">
        <v>1967</v>
      </c>
      <c r="C7068" s="1" t="str">
        <f>"66298881489147"</f>
        <v>66298881489147</v>
      </c>
      <c r="D7068" s="1" t="str">
        <f>"FB002"</f>
        <v>FB002</v>
      </c>
      <c r="E7068" s="1" t="s">
        <v>4566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</row>
    <row r="7069" spans="1:11" x14ac:dyDescent="0.2">
      <c r="A7069" s="1" t="s">
        <v>1951</v>
      </c>
      <c r="B7069" s="1" t="s">
        <v>1968</v>
      </c>
      <c r="C7069" s="1" t="str">
        <f>"66298881532529"</f>
        <v>66298881532529</v>
      </c>
      <c r="D7069" s="1" t="str">
        <f>"FB003"</f>
        <v>FB003</v>
      </c>
      <c r="E7069" s="1" t="s">
        <v>4566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</row>
    <row r="7070" spans="1:11" x14ac:dyDescent="0.2">
      <c r="A7070" s="1" t="s">
        <v>1951</v>
      </c>
      <c r="B7070" s="1" t="s">
        <v>1969</v>
      </c>
      <c r="C7070" s="1" t="str">
        <f>"66298881573312"</f>
        <v>66298881573312</v>
      </c>
      <c r="D7070" s="1" t="str">
        <f>"400703"</f>
        <v>400703</v>
      </c>
      <c r="E7070" s="1" t="s">
        <v>4566</v>
      </c>
      <c r="F7070" s="1">
        <v>81</v>
      </c>
      <c r="G7070" s="1">
        <v>6426</v>
      </c>
      <c r="H7070" s="1">
        <v>520506</v>
      </c>
      <c r="I7070" s="1">
        <v>0</v>
      </c>
      <c r="J7070" s="1">
        <v>81</v>
      </c>
      <c r="K7070" s="1">
        <v>0</v>
      </c>
    </row>
    <row r="7071" spans="1:11" x14ac:dyDescent="0.2">
      <c r="A7071" s="1" t="s">
        <v>1951</v>
      </c>
      <c r="B7071" s="1" t="s">
        <v>1970</v>
      </c>
      <c r="C7071" s="1" t="str">
        <f>"FB012"</f>
        <v>FB012</v>
      </c>
      <c r="D7071" s="1" t="str">
        <f>"FB012"</f>
        <v>FB012</v>
      </c>
      <c r="E7071" s="1" t="s">
        <v>4566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</row>
    <row r="7072" spans="1:11" x14ac:dyDescent="0.2">
      <c r="A7072" s="1" t="s">
        <v>1951</v>
      </c>
      <c r="B7072" s="1" t="s">
        <v>1971</v>
      </c>
      <c r="C7072" s="1" t="str">
        <f>"12598"</f>
        <v>12598</v>
      </c>
      <c r="D7072" s="1" t="str">
        <f>"12598"</f>
        <v>12598</v>
      </c>
      <c r="E7072" s="1" t="s">
        <v>4566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</row>
    <row r="7073" spans="1:11" x14ac:dyDescent="0.2">
      <c r="A7073" s="1" t="s">
        <v>1951</v>
      </c>
      <c r="B7073" s="1" t="s">
        <v>1972</v>
      </c>
      <c r="C7073" s="1" t="str">
        <f>"66298881628745"</f>
        <v>66298881628745</v>
      </c>
      <c r="D7073" s="1" t="str">
        <f>"400705"</f>
        <v>400705</v>
      </c>
      <c r="E7073" s="1" t="s">
        <v>4566</v>
      </c>
      <c r="F7073" s="1">
        <v>178</v>
      </c>
      <c r="G7073" s="1">
        <v>7509</v>
      </c>
      <c r="H7073" s="1">
        <v>1336602</v>
      </c>
      <c r="I7073" s="1">
        <v>0</v>
      </c>
      <c r="J7073" s="1">
        <v>178</v>
      </c>
      <c r="K7073" s="1">
        <v>0</v>
      </c>
    </row>
    <row r="7074" spans="1:11" x14ac:dyDescent="0.2">
      <c r="A7074" s="1" t="s">
        <v>1951</v>
      </c>
      <c r="B7074" s="1" t="s">
        <v>1973</v>
      </c>
      <c r="C7074" s="1" t="str">
        <f>"7821"</f>
        <v>7821</v>
      </c>
      <c r="D7074" s="1" t="str">
        <f>"7821"</f>
        <v>7821</v>
      </c>
      <c r="E7074" s="1" t="s">
        <v>4566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</row>
    <row r="7075" spans="1:11" x14ac:dyDescent="0.2">
      <c r="A7075" s="1" t="s">
        <v>1951</v>
      </c>
      <c r="B7075" s="1" t="s">
        <v>1974</v>
      </c>
      <c r="C7075" s="1" t="str">
        <f>"66298881683654"</f>
        <v>66298881683654</v>
      </c>
      <c r="D7075" s="1" t="str">
        <f>"400710"</f>
        <v>400710</v>
      </c>
      <c r="E7075" s="1" t="s">
        <v>4566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</row>
    <row r="7076" spans="1:11" x14ac:dyDescent="0.2">
      <c r="A7076" s="1" t="s">
        <v>1951</v>
      </c>
      <c r="B7076" s="1" t="s">
        <v>1975</v>
      </c>
      <c r="C7076" s="1" t="str">
        <f>"66298881728965"</f>
        <v>66298881728965</v>
      </c>
      <c r="D7076" s="1" t="str">
        <f>"400713"</f>
        <v>400713</v>
      </c>
      <c r="E7076" s="1" t="s">
        <v>4566</v>
      </c>
      <c r="F7076" s="1">
        <v>42</v>
      </c>
      <c r="G7076" s="1">
        <v>7871</v>
      </c>
      <c r="H7076" s="1">
        <v>330582</v>
      </c>
      <c r="I7076" s="1">
        <v>0</v>
      </c>
      <c r="J7076" s="1">
        <v>42</v>
      </c>
      <c r="K7076" s="1">
        <v>0</v>
      </c>
    </row>
    <row r="7077" spans="1:11" x14ac:dyDescent="0.2">
      <c r="A7077" s="1" t="s">
        <v>1951</v>
      </c>
      <c r="B7077" s="1" t="s">
        <v>1976</v>
      </c>
      <c r="C7077" s="1" t="str">
        <f>"66298881771543"</f>
        <v>66298881771543</v>
      </c>
      <c r="D7077" s="1" t="str">
        <f>"400709"</f>
        <v>400709</v>
      </c>
      <c r="E7077" s="1" t="s">
        <v>4566</v>
      </c>
      <c r="F7077" s="1">
        <v>29</v>
      </c>
      <c r="G7077" s="1">
        <v>6604</v>
      </c>
      <c r="H7077" s="1">
        <v>191516</v>
      </c>
      <c r="I7077" s="1">
        <v>0</v>
      </c>
      <c r="J7077" s="1">
        <v>29</v>
      </c>
      <c r="K7077" s="1">
        <v>0</v>
      </c>
    </row>
    <row r="7078" spans="1:11" x14ac:dyDescent="0.2">
      <c r="A7078" s="1" t="s">
        <v>1951</v>
      </c>
      <c r="B7078" s="1" t="s">
        <v>1977</v>
      </c>
      <c r="C7078" s="1" t="str">
        <f>"66298881882959"</f>
        <v>66298881882959</v>
      </c>
      <c r="D7078" s="1" t="str">
        <f>"400707"</f>
        <v>400707</v>
      </c>
      <c r="E7078" s="1" t="s">
        <v>4566</v>
      </c>
      <c r="F7078" s="1">
        <v>6</v>
      </c>
      <c r="G7078" s="1">
        <v>8442</v>
      </c>
      <c r="H7078" s="1">
        <v>50652</v>
      </c>
      <c r="I7078" s="1">
        <v>0</v>
      </c>
      <c r="J7078" s="1">
        <v>6</v>
      </c>
      <c r="K7078" s="1">
        <v>0</v>
      </c>
    </row>
    <row r="7079" spans="1:11" x14ac:dyDescent="0.2">
      <c r="A7079" s="1" t="s">
        <v>1951</v>
      </c>
      <c r="B7079" s="1" t="s">
        <v>1978</v>
      </c>
      <c r="C7079" s="1" t="str">
        <f>"66298881819426"</f>
        <v>66298881819426</v>
      </c>
      <c r="D7079" s="1" t="str">
        <f>"JL351003"</f>
        <v>JL351003</v>
      </c>
      <c r="E7079" s="1" t="s">
        <v>4566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</row>
    <row r="7080" spans="1:11" x14ac:dyDescent="0.2">
      <c r="A7080" s="1" t="s">
        <v>1951</v>
      </c>
      <c r="B7080" s="1" t="s">
        <v>1978</v>
      </c>
      <c r="C7080" s="1" t="str">
        <f>"66298881827378"</f>
        <v>66298881827378</v>
      </c>
      <c r="D7080" s="1" t="str">
        <f>"JL-3510-03HB"</f>
        <v>JL-3510-03HB</v>
      </c>
      <c r="E7080" s="1" t="s">
        <v>4566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</row>
    <row r="7081" spans="1:11" ht="30" x14ac:dyDescent="0.2">
      <c r="A7081" s="1" t="s">
        <v>1951</v>
      </c>
      <c r="B7081" s="1" t="s">
        <v>1979</v>
      </c>
      <c r="C7081" s="1" t="str">
        <f>"FB026"</f>
        <v>FB026</v>
      </c>
      <c r="D7081" s="1" t="str">
        <f>"FB026"</f>
        <v>FB026</v>
      </c>
      <c r="E7081" s="1" t="s">
        <v>4566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</row>
    <row r="7082" spans="1:11" x14ac:dyDescent="0.2">
      <c r="A7082" s="1" t="s">
        <v>1951</v>
      </c>
      <c r="B7082" s="1" t="s">
        <v>1980</v>
      </c>
      <c r="C7082" s="1" t="str">
        <f>"66298881922102"</f>
        <v>66298881922102</v>
      </c>
      <c r="D7082" s="1" t="str">
        <f>"400712"</f>
        <v>400712</v>
      </c>
      <c r="E7082" s="1" t="s">
        <v>4566</v>
      </c>
      <c r="F7082" s="1">
        <v>54</v>
      </c>
      <c r="G7082" s="1">
        <v>7042</v>
      </c>
      <c r="H7082" s="1">
        <v>380268</v>
      </c>
      <c r="I7082" s="1">
        <v>0</v>
      </c>
      <c r="J7082" s="1">
        <v>54</v>
      </c>
      <c r="K7082" s="1">
        <v>0</v>
      </c>
    </row>
    <row r="7083" spans="1:11" x14ac:dyDescent="0.2">
      <c r="A7083" s="1" t="s">
        <v>1951</v>
      </c>
      <c r="B7083" s="1" t="s">
        <v>1981</v>
      </c>
      <c r="C7083" s="1" t="str">
        <f>"BK045"</f>
        <v>BK045</v>
      </c>
      <c r="D7083" s="1" t="str">
        <f>"BK045"</f>
        <v>BK045</v>
      </c>
      <c r="E7083" s="1" t="s">
        <v>4566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</row>
    <row r="7084" spans="1:11" x14ac:dyDescent="0.2">
      <c r="A7084" s="1" t="s">
        <v>1951</v>
      </c>
      <c r="B7084" s="1" t="s">
        <v>1982</v>
      </c>
      <c r="C7084" s="1" t="str">
        <f>"66298881959954"</f>
        <v>66298881959954</v>
      </c>
      <c r="D7084" s="1" t="str">
        <f>"APY311200016"</f>
        <v>APY311200016</v>
      </c>
      <c r="E7084" s="1" t="s">
        <v>4566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</row>
    <row r="7085" spans="1:11" x14ac:dyDescent="0.2">
      <c r="A7085" s="1" t="s">
        <v>1951</v>
      </c>
      <c r="B7085" s="1" t="s">
        <v>1983</v>
      </c>
      <c r="C7085" s="1" t="str">
        <f>"66298882004514"</f>
        <v>66298882004514</v>
      </c>
      <c r="D7085" s="1" t="str">
        <f>"400711"</f>
        <v>400711</v>
      </c>
      <c r="E7085" s="1" t="s">
        <v>4566</v>
      </c>
      <c r="F7085" s="1">
        <v>66</v>
      </c>
      <c r="G7085" s="1">
        <v>8076</v>
      </c>
      <c r="H7085" s="1">
        <v>533016</v>
      </c>
      <c r="I7085" s="1">
        <v>0</v>
      </c>
      <c r="J7085" s="1">
        <v>66</v>
      </c>
      <c r="K7085" s="1">
        <v>0</v>
      </c>
    </row>
    <row r="7086" spans="1:11" x14ac:dyDescent="0.2">
      <c r="A7086" s="1" t="s">
        <v>1951</v>
      </c>
      <c r="B7086" s="1" t="s">
        <v>1984</v>
      </c>
      <c r="C7086" s="1" t="str">
        <f>"379"</f>
        <v>379</v>
      </c>
      <c r="D7086" s="1" t="str">
        <f>"379"</f>
        <v>379</v>
      </c>
      <c r="E7086" s="1" t="s">
        <v>4566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</row>
    <row r="7087" spans="1:11" x14ac:dyDescent="0.2">
      <c r="A7087" s="1" t="s">
        <v>1951</v>
      </c>
      <c r="B7087" s="1" t="s">
        <v>1985</v>
      </c>
      <c r="C7087" s="1" t="str">
        <f>"66298882042209"</f>
        <v>66298882042209</v>
      </c>
      <c r="D7087" s="1" t="str">
        <f>"FB008"</f>
        <v>FB008</v>
      </c>
      <c r="E7087" s="1" t="s">
        <v>4566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</row>
    <row r="7088" spans="1:11" x14ac:dyDescent="0.2">
      <c r="A7088" s="1" t="s">
        <v>1951</v>
      </c>
      <c r="B7088" s="1" t="s">
        <v>1986</v>
      </c>
      <c r="C7088" s="1" t="str">
        <f>"8023"</f>
        <v>8023</v>
      </c>
      <c r="D7088" s="1" t="str">
        <f>"8023"</f>
        <v>8023</v>
      </c>
      <c r="E7088" s="1" t="s">
        <v>4566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</row>
    <row r="7089" spans="1:11" ht="30" x14ac:dyDescent="0.2">
      <c r="A7089" s="1" t="s">
        <v>1951</v>
      </c>
      <c r="B7089" s="1" t="s">
        <v>1987</v>
      </c>
      <c r="C7089" s="1" t="str">
        <f>"K353186600"</f>
        <v>K353186600</v>
      </c>
      <c r="D7089" s="1" t="str">
        <f>"K353186600"</f>
        <v>K353186600</v>
      </c>
      <c r="E7089" s="1" t="s">
        <v>4566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</row>
    <row r="7090" spans="1:11" x14ac:dyDescent="0.2">
      <c r="A7090" s="1" t="s">
        <v>1951</v>
      </c>
      <c r="B7090" s="1" t="s">
        <v>1988</v>
      </c>
      <c r="C7090" s="1" t="str">
        <f>"66298882082757"</f>
        <v>66298882082757</v>
      </c>
      <c r="D7090" s="1" t="str">
        <f>"12518"</f>
        <v>12518</v>
      </c>
      <c r="E7090" s="1" t="s">
        <v>4566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</row>
    <row r="7091" spans="1:11" x14ac:dyDescent="0.2">
      <c r="A7091" s="1" t="s">
        <v>608</v>
      </c>
      <c r="B7091" s="1" t="s">
        <v>1989</v>
      </c>
      <c r="C7091" s="1" t="str">
        <f>"26608"</f>
        <v>26608</v>
      </c>
      <c r="D7091" s="1" t="str">
        <f>"26608"</f>
        <v>26608</v>
      </c>
      <c r="E7091" s="1" t="s">
        <v>4566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</row>
    <row r="7092" spans="1:11" x14ac:dyDescent="0.2">
      <c r="A7092" s="1" t="s">
        <v>608</v>
      </c>
      <c r="B7092" s="1" t="s">
        <v>1990</v>
      </c>
      <c r="C7092" s="1" t="str">
        <f>"66298882164309"</f>
        <v>66298882164309</v>
      </c>
      <c r="D7092" s="1" t="str">
        <f>"1401"</f>
        <v>1401</v>
      </c>
      <c r="E7092" s="1" t="s">
        <v>4566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</row>
    <row r="7093" spans="1:11" x14ac:dyDescent="0.2">
      <c r="A7093" s="1" t="s">
        <v>608</v>
      </c>
      <c r="B7093" s="1" t="s">
        <v>1990</v>
      </c>
      <c r="C7093" s="1" t="str">
        <f>"66298882202201"</f>
        <v>66298882202201</v>
      </c>
      <c r="D7093" s="1" t="str">
        <f>"884"</f>
        <v>884</v>
      </c>
      <c r="E7093" s="1" t="s">
        <v>4566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</row>
    <row r="7094" spans="1:11" x14ac:dyDescent="0.2">
      <c r="A7094" s="1" t="s">
        <v>608</v>
      </c>
      <c r="B7094" s="1" t="s">
        <v>1991</v>
      </c>
      <c r="C7094" s="1" t="str">
        <f>"66298882121525"</f>
        <v>66298882121525</v>
      </c>
      <c r="D7094" s="1" t="str">
        <f>"5892"</f>
        <v>5892</v>
      </c>
      <c r="E7094" s="1" t="s">
        <v>4566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</row>
    <row r="7095" spans="1:11" x14ac:dyDescent="0.2">
      <c r="A7095" s="1" t="s">
        <v>608</v>
      </c>
      <c r="B7095" s="1" t="s">
        <v>1992</v>
      </c>
      <c r="C7095" s="1" t="str">
        <f>"386"</f>
        <v>386</v>
      </c>
      <c r="D7095" s="1" t="str">
        <f>"386"</f>
        <v>386</v>
      </c>
      <c r="E7095" s="1" t="s">
        <v>4566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</row>
    <row r="7096" spans="1:11" x14ac:dyDescent="0.2">
      <c r="A7096" s="1" t="s">
        <v>98</v>
      </c>
      <c r="B7096" s="1" t="s">
        <v>1993</v>
      </c>
      <c r="C7096" s="1" t="str">
        <f>"66298882242016"</f>
        <v>66298882242016</v>
      </c>
      <c r="D7096" s="1" t="str">
        <f>"H152"</f>
        <v>H152</v>
      </c>
      <c r="E7096" s="1" t="s">
        <v>4566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</row>
    <row r="7097" spans="1:11" x14ac:dyDescent="0.2">
      <c r="A7097" s="1" t="s">
        <v>98</v>
      </c>
      <c r="B7097" s="1" t="s">
        <v>1994</v>
      </c>
      <c r="C7097" s="1" t="str">
        <f>"66298882281732"</f>
        <v>66298882281732</v>
      </c>
      <c r="D7097" s="1" t="str">
        <f>"H024"</f>
        <v>H024</v>
      </c>
      <c r="E7097" s="1" t="s">
        <v>4566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</row>
    <row r="7098" spans="1:11" x14ac:dyDescent="0.2">
      <c r="A7098" s="1" t="s">
        <v>98</v>
      </c>
      <c r="B7098" s="1" t="s">
        <v>1995</v>
      </c>
      <c r="C7098" s="1" t="str">
        <f>"66298882322011"</f>
        <v>66298882322011</v>
      </c>
      <c r="D7098" s="1" t="str">
        <f>"H078"</f>
        <v>H078</v>
      </c>
      <c r="E7098" s="1" t="s">
        <v>4566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</row>
    <row r="7099" spans="1:11" x14ac:dyDescent="0.2">
      <c r="A7099" s="1" t="s">
        <v>98</v>
      </c>
      <c r="B7099" s="1" t="s">
        <v>1996</v>
      </c>
      <c r="C7099" s="1" t="str">
        <f>"66298882364438"</f>
        <v>66298882364438</v>
      </c>
      <c r="D7099" s="1" t="str">
        <f>"H077"</f>
        <v>H077</v>
      </c>
      <c r="E7099" s="1" t="s">
        <v>4566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</row>
    <row r="7100" spans="1:11" x14ac:dyDescent="0.2">
      <c r="A7100" s="1" t="s">
        <v>98</v>
      </c>
      <c r="B7100" s="1" t="s">
        <v>1997</v>
      </c>
      <c r="C7100" s="1" t="str">
        <f>"66298882440869"</f>
        <v>66298882440869</v>
      </c>
      <c r="D7100" s="1" t="str">
        <f>"H050"</f>
        <v>H050</v>
      </c>
      <c r="E7100" s="1" t="s">
        <v>4566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</row>
    <row r="7101" spans="1:11" x14ac:dyDescent="0.2">
      <c r="A7101" s="1" t="s">
        <v>98</v>
      </c>
      <c r="B7101" s="1" t="s">
        <v>1998</v>
      </c>
      <c r="C7101" s="1" t="str">
        <f>"66298882482443"</f>
        <v>66298882482443</v>
      </c>
      <c r="D7101" s="1" t="str">
        <f>"H129"</f>
        <v>H129</v>
      </c>
      <c r="E7101" s="1" t="s">
        <v>4566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</row>
    <row r="7102" spans="1:11" x14ac:dyDescent="0.2">
      <c r="A7102" s="1" t="s">
        <v>98</v>
      </c>
      <c r="B7102" s="1" t="s">
        <v>1998</v>
      </c>
      <c r="C7102" s="1" t="str">
        <f>"66298882529116"</f>
        <v>66298882529116</v>
      </c>
      <c r="D7102" s="1" t="str">
        <f>"H211"</f>
        <v>H211</v>
      </c>
      <c r="E7102" s="1" t="s">
        <v>4566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</row>
    <row r="7103" spans="1:11" x14ac:dyDescent="0.2">
      <c r="A7103" s="1" t="s">
        <v>98</v>
      </c>
      <c r="B7103" s="1" t="s">
        <v>1998</v>
      </c>
      <c r="C7103" s="1" t="str">
        <f>"66298882535007"</f>
        <v>66298882535007</v>
      </c>
      <c r="D7103" s="1" t="str">
        <f>"H214"</f>
        <v>H214</v>
      </c>
      <c r="E7103" s="1" t="s">
        <v>4566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</row>
    <row r="7104" spans="1:11" x14ac:dyDescent="0.2">
      <c r="A7104" s="1" t="s">
        <v>98</v>
      </c>
      <c r="B7104" s="1" t="s">
        <v>1999</v>
      </c>
      <c r="C7104" s="1" t="str">
        <f>"66298882592849"</f>
        <v>66298882592849</v>
      </c>
      <c r="D7104" s="1" t="str">
        <f>"H080"</f>
        <v>H080</v>
      </c>
      <c r="E7104" s="1" t="s">
        <v>4566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</row>
    <row r="7105" spans="1:11" x14ac:dyDescent="0.2">
      <c r="A7105" s="1" t="s">
        <v>98</v>
      </c>
      <c r="B7105" s="1" t="s">
        <v>2000</v>
      </c>
      <c r="C7105" s="1" t="str">
        <f>"66298882401408"</f>
        <v>66298882401408</v>
      </c>
      <c r="D7105" s="1" t="str">
        <f>"H022"</f>
        <v>H022</v>
      </c>
      <c r="E7105" s="1" t="s">
        <v>4566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</row>
    <row r="7106" spans="1:11" x14ac:dyDescent="0.2">
      <c r="A7106" s="1" t="s">
        <v>98</v>
      </c>
      <c r="B7106" s="1" t="s">
        <v>2001</v>
      </c>
      <c r="C7106" s="1" t="str">
        <f>"66298882637854"</f>
        <v>66298882637854</v>
      </c>
      <c r="D7106" s="1" t="str">
        <f>"13524"</f>
        <v>13524</v>
      </c>
      <c r="E7106" s="1" t="s">
        <v>4566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</row>
    <row r="7107" spans="1:11" x14ac:dyDescent="0.2">
      <c r="A7107" s="1" t="s">
        <v>98</v>
      </c>
      <c r="B7107" s="1" t="s">
        <v>2002</v>
      </c>
      <c r="C7107" s="1" t="str">
        <f>"66298882682249"</f>
        <v>66298882682249</v>
      </c>
      <c r="D7107" s="1" t="str">
        <f>"13525"</f>
        <v>13525</v>
      </c>
      <c r="E7107" s="1" t="s">
        <v>4566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</row>
    <row r="7108" spans="1:11" x14ac:dyDescent="0.2">
      <c r="A7108" s="1" t="s">
        <v>98</v>
      </c>
      <c r="B7108" s="1" t="s">
        <v>2003</v>
      </c>
      <c r="C7108" s="1" t="str">
        <f>"66298882721361"</f>
        <v>66298882721361</v>
      </c>
      <c r="D7108" s="1" t="str">
        <f>"H042"</f>
        <v>H042</v>
      </c>
      <c r="E7108" s="1" t="s">
        <v>4566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</row>
    <row r="7109" spans="1:11" x14ac:dyDescent="0.2">
      <c r="A7109" s="1" t="s">
        <v>2004</v>
      </c>
      <c r="B7109" s="1" t="s">
        <v>2005</v>
      </c>
      <c r="C7109" s="1" t="str">
        <f>"66298882764419"</f>
        <v>66298882764419</v>
      </c>
      <c r="D7109" s="1" t="str">
        <f>"KN-556"</f>
        <v>KN-556</v>
      </c>
      <c r="E7109" s="1" t="s">
        <v>4566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</row>
    <row r="7110" spans="1:11" x14ac:dyDescent="0.2">
      <c r="A7110" s="1" t="s">
        <v>2004</v>
      </c>
      <c r="B7110" s="1" t="s">
        <v>2006</v>
      </c>
      <c r="C7110" s="1" t="str">
        <f>"66298882804595"</f>
        <v>66298882804595</v>
      </c>
      <c r="D7110" s="1" t="str">
        <f>"KN-132"</f>
        <v>KN-132</v>
      </c>
      <c r="E7110" s="1" t="s">
        <v>4566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</row>
    <row r="7111" spans="1:11" x14ac:dyDescent="0.2">
      <c r="A7111" s="1" t="s">
        <v>2004</v>
      </c>
      <c r="B7111" s="1" t="s">
        <v>2007</v>
      </c>
      <c r="C7111" s="1" t="str">
        <f>"66298882846876"</f>
        <v>66298882846876</v>
      </c>
      <c r="D7111" s="1" t="str">
        <f>"KN-153"</f>
        <v>KN-153</v>
      </c>
      <c r="E7111" s="1" t="s">
        <v>4566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</row>
    <row r="7112" spans="1:11" x14ac:dyDescent="0.2">
      <c r="A7112" s="1" t="s">
        <v>2004</v>
      </c>
      <c r="B7112" s="1" t="s">
        <v>2008</v>
      </c>
      <c r="C7112" s="1" t="str">
        <f>"66298882886278"</f>
        <v>66298882886278</v>
      </c>
      <c r="D7112" s="1" t="str">
        <f>"KN-401"</f>
        <v>KN-401</v>
      </c>
      <c r="E7112" s="1" t="s">
        <v>4566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</row>
    <row r="7113" spans="1:11" x14ac:dyDescent="0.2">
      <c r="A7113" s="1" t="s">
        <v>2004</v>
      </c>
      <c r="B7113" s="1" t="s">
        <v>2009</v>
      </c>
      <c r="C7113" s="1" t="str">
        <f>"66298882924312"</f>
        <v>66298882924312</v>
      </c>
      <c r="D7113" s="1" t="str">
        <f>"KN-170"</f>
        <v>KN-170</v>
      </c>
      <c r="E7113" s="1" t="s">
        <v>4566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</row>
    <row r="7114" spans="1:11" x14ac:dyDescent="0.2">
      <c r="A7114" s="1" t="s">
        <v>2004</v>
      </c>
      <c r="B7114" s="1" t="s">
        <v>2010</v>
      </c>
      <c r="C7114" s="1" t="str">
        <f>"66298882966865"</f>
        <v>66298882966865</v>
      </c>
      <c r="D7114" s="1" t="str">
        <f>"FFC039"</f>
        <v>FFC039</v>
      </c>
      <c r="E7114" s="1" t="s">
        <v>4566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</row>
    <row r="7115" spans="1:11" x14ac:dyDescent="0.2">
      <c r="A7115" s="1" t="s">
        <v>2004</v>
      </c>
      <c r="B7115" s="1" t="s">
        <v>2010</v>
      </c>
      <c r="C7115" s="1" t="str">
        <f>"11357"</f>
        <v>11357</v>
      </c>
      <c r="D7115" s="1" t="str">
        <f>"11357"</f>
        <v>11357</v>
      </c>
      <c r="E7115" s="1" t="s">
        <v>4566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</row>
    <row r="7116" spans="1:11" x14ac:dyDescent="0.2">
      <c r="A7116" s="1" t="s">
        <v>2004</v>
      </c>
      <c r="B7116" s="1" t="s">
        <v>2011</v>
      </c>
      <c r="C7116" s="1" t="str">
        <f>"12194"</f>
        <v>12194</v>
      </c>
      <c r="D7116" s="1" t="str">
        <f>"12194"</f>
        <v>12194</v>
      </c>
      <c r="E7116" s="1" t="s">
        <v>4566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</row>
    <row r="7117" spans="1:11" x14ac:dyDescent="0.2">
      <c r="A7117" s="1" t="s">
        <v>2004</v>
      </c>
      <c r="B7117" s="1" t="s">
        <v>2012</v>
      </c>
      <c r="C7117" s="1" t="str">
        <f>"66298883007613"</f>
        <v>66298883007613</v>
      </c>
      <c r="D7117" s="1" t="str">
        <f>"SD004"</f>
        <v>SD004</v>
      </c>
      <c r="E7117" s="1" t="s">
        <v>4566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</row>
    <row r="7118" spans="1:11" x14ac:dyDescent="0.2">
      <c r="A7118" s="1" t="s">
        <v>2004</v>
      </c>
      <c r="B7118" s="1" t="s">
        <v>2013</v>
      </c>
      <c r="C7118" s="1" t="str">
        <f>"11359"</f>
        <v>11359</v>
      </c>
      <c r="D7118" s="1" t="str">
        <f>"11359"</f>
        <v>11359</v>
      </c>
      <c r="E7118" s="1" t="s">
        <v>4566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</row>
    <row r="7119" spans="1:11" x14ac:dyDescent="0.2">
      <c r="A7119" s="1" t="s">
        <v>2004</v>
      </c>
      <c r="B7119" s="1" t="s">
        <v>2014</v>
      </c>
      <c r="C7119" s="1" t="str">
        <f>"11353"</f>
        <v>11353</v>
      </c>
      <c r="D7119" s="1" t="str">
        <f>"11353"</f>
        <v>11353</v>
      </c>
      <c r="E7119" s="1" t="s">
        <v>4566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</row>
    <row r="7120" spans="1:11" x14ac:dyDescent="0.2">
      <c r="A7120" s="1" t="s">
        <v>2004</v>
      </c>
      <c r="B7120" s="1" t="s">
        <v>2015</v>
      </c>
      <c r="C7120" s="1" t="str">
        <f>"66298883047007"</f>
        <v>66298883047007</v>
      </c>
      <c r="D7120" s="1" t="str">
        <f>"11427-673-541"</f>
        <v>11427-673-541</v>
      </c>
      <c r="E7120" s="1" t="s">
        <v>4566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</row>
    <row r="7121" spans="1:11" x14ac:dyDescent="0.2">
      <c r="A7121" s="1" t="s">
        <v>2004</v>
      </c>
      <c r="B7121" s="1" t="s">
        <v>2016</v>
      </c>
      <c r="C7121" s="1" t="str">
        <f>"66298883087002"</f>
        <v>66298883087002</v>
      </c>
      <c r="D7121" s="1" t="str">
        <f>"15412-300-325BR"</f>
        <v>15412-300-325BR</v>
      </c>
      <c r="E7121" s="1" t="s">
        <v>4566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</row>
    <row r="7122" spans="1:11" x14ac:dyDescent="0.2">
      <c r="A7122" s="1" t="s">
        <v>2004</v>
      </c>
      <c r="B7122" s="1" t="s">
        <v>2017</v>
      </c>
      <c r="C7122" s="1" t="str">
        <f>"66298883130265"</f>
        <v>66298883130265</v>
      </c>
      <c r="D7122" s="1" t="str">
        <f>"SD001"</f>
        <v>SD001</v>
      </c>
      <c r="E7122" s="1" t="s">
        <v>4566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</row>
    <row r="7123" spans="1:11" x14ac:dyDescent="0.2">
      <c r="A7123" s="1" t="s">
        <v>2004</v>
      </c>
      <c r="B7123" s="1" t="s">
        <v>2018</v>
      </c>
      <c r="C7123" s="1" t="str">
        <f>"66298883173248"</f>
        <v>66298883173248</v>
      </c>
      <c r="D7123" s="1" t="str">
        <f>"80747"</f>
        <v>80747</v>
      </c>
      <c r="E7123" s="1" t="s">
        <v>4566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</row>
    <row r="7124" spans="1:11" x14ac:dyDescent="0.2">
      <c r="A7124" s="1" t="s">
        <v>2004</v>
      </c>
      <c r="B7124" s="1" t="s">
        <v>2018</v>
      </c>
      <c r="C7124" s="1" t="str">
        <f>"B040"</f>
        <v>B040</v>
      </c>
      <c r="D7124" s="1" t="str">
        <f>"B040"</f>
        <v>B040</v>
      </c>
      <c r="E7124" s="1" t="s">
        <v>4566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</row>
    <row r="7125" spans="1:11" x14ac:dyDescent="0.2">
      <c r="A7125" s="1" t="s">
        <v>2004</v>
      </c>
      <c r="B7125" s="1" t="s">
        <v>2019</v>
      </c>
      <c r="C7125" s="1" t="str">
        <f>"66298883212201"</f>
        <v>66298883212201</v>
      </c>
      <c r="D7125" s="1" t="str">
        <f>"400191"</f>
        <v>400191</v>
      </c>
      <c r="E7125" s="1" t="s">
        <v>4566</v>
      </c>
      <c r="F7125" s="1">
        <v>160</v>
      </c>
      <c r="G7125" s="1">
        <v>537</v>
      </c>
      <c r="H7125" s="1">
        <v>85920</v>
      </c>
      <c r="I7125" s="1">
        <v>0</v>
      </c>
      <c r="J7125" s="1">
        <v>160</v>
      </c>
      <c r="K7125" s="1">
        <v>0</v>
      </c>
    </row>
    <row r="7126" spans="1:11" x14ac:dyDescent="0.2">
      <c r="A7126" s="1" t="s">
        <v>2004</v>
      </c>
      <c r="B7126" s="1" t="s">
        <v>2020</v>
      </c>
      <c r="C7126" s="1" t="str">
        <f>"66298883257864"</f>
        <v>66298883257864</v>
      </c>
      <c r="D7126" s="1" t="str">
        <f>"16510-25C00HB"</f>
        <v>16510-25C00HB</v>
      </c>
      <c r="E7126" s="1" t="s">
        <v>4566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</row>
    <row r="7127" spans="1:11" x14ac:dyDescent="0.2">
      <c r="A7127" s="1" t="s">
        <v>2004</v>
      </c>
      <c r="B7127" s="1" t="s">
        <v>2021</v>
      </c>
      <c r="C7127" s="1" t="str">
        <f>"16510-37450HB"</f>
        <v>16510-37450HB</v>
      </c>
      <c r="D7127" s="1" t="str">
        <f>"16510-37450HB"</f>
        <v>16510-37450HB</v>
      </c>
      <c r="E7127" s="1" t="s">
        <v>4566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</row>
    <row r="7128" spans="1:11" x14ac:dyDescent="0.2">
      <c r="A7128" s="1" t="s">
        <v>2004</v>
      </c>
      <c r="B7128" s="1" t="s">
        <v>2022</v>
      </c>
      <c r="C7128" s="1" t="str">
        <f>"4347"</f>
        <v>4347</v>
      </c>
      <c r="D7128" s="1" t="str">
        <f>"4347"</f>
        <v>4347</v>
      </c>
      <c r="E7128" s="1" t="s">
        <v>4566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</row>
    <row r="7129" spans="1:11" ht="30" x14ac:dyDescent="0.2">
      <c r="A7129" s="1" t="s">
        <v>2004</v>
      </c>
      <c r="B7129" s="1" t="s">
        <v>2023</v>
      </c>
      <c r="C7129" s="1" t="str">
        <f>"S001"</f>
        <v>S001</v>
      </c>
      <c r="D7129" s="1" t="str">
        <f>"S001"</f>
        <v>S001</v>
      </c>
      <c r="E7129" s="1" t="s">
        <v>4566</v>
      </c>
      <c r="F7129" s="1">
        <v>175</v>
      </c>
      <c r="G7129" s="1">
        <v>693</v>
      </c>
      <c r="H7129" s="1">
        <v>121275</v>
      </c>
      <c r="I7129" s="1">
        <v>0</v>
      </c>
      <c r="J7129" s="1">
        <v>175</v>
      </c>
      <c r="K7129" s="1">
        <v>0</v>
      </c>
    </row>
    <row r="7130" spans="1:11" ht="30" x14ac:dyDescent="0.2">
      <c r="A7130" s="1" t="s">
        <v>2004</v>
      </c>
      <c r="B7130" s="1" t="s">
        <v>2023</v>
      </c>
      <c r="C7130" s="1" t="str">
        <f>"21C-E3440-00"</f>
        <v>21C-E3440-00</v>
      </c>
      <c r="D7130" s="1" t="str">
        <f>"21C-E3440-00"</f>
        <v>21C-E3440-00</v>
      </c>
      <c r="E7130" s="1" t="s">
        <v>4566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</row>
    <row r="7131" spans="1:11" x14ac:dyDescent="0.2">
      <c r="A7131" s="1" t="s">
        <v>2004</v>
      </c>
      <c r="B7131" s="1" t="s">
        <v>2024</v>
      </c>
      <c r="C7131" s="1" t="str">
        <f>"16510-33G00-001HB"</f>
        <v>16510-33G00-001HB</v>
      </c>
      <c r="D7131" s="1" t="str">
        <f>"16510-33G00-001HB"</f>
        <v>16510-33G00-001HB</v>
      </c>
      <c r="E7131" s="1" t="s">
        <v>4566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</row>
    <row r="7132" spans="1:11" ht="30" x14ac:dyDescent="0.2">
      <c r="A7132" s="1" t="s">
        <v>2004</v>
      </c>
      <c r="B7132" s="1" t="s">
        <v>2025</v>
      </c>
      <c r="C7132" s="1" t="str">
        <f>"66298883338501"</f>
        <v>66298883338501</v>
      </c>
      <c r="D7132" s="1" t="str">
        <f>"S004"</f>
        <v>S004</v>
      </c>
      <c r="E7132" s="1" t="s">
        <v>4566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</row>
    <row r="7133" spans="1:11" ht="30" x14ac:dyDescent="0.2">
      <c r="A7133" s="1" t="s">
        <v>2004</v>
      </c>
      <c r="B7133" s="1" t="s">
        <v>2025</v>
      </c>
      <c r="C7133" s="1" t="str">
        <f>"66298883375287"</f>
        <v>66298883375287</v>
      </c>
      <c r="D7133" s="1" t="str">
        <f>"85180"</f>
        <v>85180</v>
      </c>
      <c r="E7133" s="1" t="s">
        <v>4566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</row>
    <row r="7134" spans="1:11" ht="30" x14ac:dyDescent="0.2">
      <c r="A7134" s="1" t="s">
        <v>2004</v>
      </c>
      <c r="B7134" s="1" t="s">
        <v>2025</v>
      </c>
      <c r="C7134" s="1" t="str">
        <f>"1053"</f>
        <v>1053</v>
      </c>
      <c r="D7134" s="1" t="str">
        <f>"1053"</f>
        <v>1053</v>
      </c>
      <c r="E7134" s="1" t="s">
        <v>4566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</row>
    <row r="7135" spans="1:11" ht="30" x14ac:dyDescent="0.2">
      <c r="A7135" s="1" t="s">
        <v>2004</v>
      </c>
      <c r="B7135" s="1" t="s">
        <v>2025</v>
      </c>
      <c r="C7135" s="1" t="str">
        <f>"B00202"</f>
        <v>B00202</v>
      </c>
      <c r="D7135" s="1" t="str">
        <f>"B00202"</f>
        <v>B00202</v>
      </c>
      <c r="E7135" s="1" t="s">
        <v>4566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</row>
    <row r="7136" spans="1:11" ht="30" x14ac:dyDescent="0.2">
      <c r="A7136" s="1" t="s">
        <v>2004</v>
      </c>
      <c r="B7136" s="1" t="s">
        <v>2025</v>
      </c>
      <c r="C7136" s="1" t="str">
        <f>"16510-45H10-000"</f>
        <v>16510-45H10-000</v>
      </c>
      <c r="D7136" s="1" t="str">
        <f>"16510-45H10-000"</f>
        <v>16510-45H10-000</v>
      </c>
      <c r="E7136" s="1" t="s">
        <v>4566</v>
      </c>
      <c r="F7136" s="1">
        <v>170</v>
      </c>
      <c r="G7136" s="1">
        <v>775</v>
      </c>
      <c r="H7136" s="1">
        <v>131750</v>
      </c>
      <c r="I7136" s="1">
        <v>0</v>
      </c>
      <c r="J7136" s="1">
        <v>170</v>
      </c>
      <c r="K7136" s="1">
        <v>0</v>
      </c>
    </row>
    <row r="7137" spans="1:11" x14ac:dyDescent="0.2">
      <c r="A7137" s="1" t="s">
        <v>2004</v>
      </c>
      <c r="B7137" s="1" t="s">
        <v>2026</v>
      </c>
      <c r="C7137" s="1" t="str">
        <f>"66298883415061"</f>
        <v>66298883415061</v>
      </c>
      <c r="D7137" s="1" t="str">
        <f>"16510-45040HB"</f>
        <v>16510-45040HB</v>
      </c>
      <c r="E7137" s="1" t="s">
        <v>4566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</row>
    <row r="7138" spans="1:11" x14ac:dyDescent="0.2">
      <c r="A7138" s="1" t="s">
        <v>2004</v>
      </c>
      <c r="B7138" s="1" t="s">
        <v>2026</v>
      </c>
      <c r="C7138" s="1" t="str">
        <f>"66298883457442"</f>
        <v>66298883457442</v>
      </c>
      <c r="D7138" s="1" t="str">
        <f>"16500-45810BR"</f>
        <v>16500-45810BR</v>
      </c>
      <c r="E7138" s="1" t="s">
        <v>4566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</row>
    <row r="7139" spans="1:11" x14ac:dyDescent="0.2">
      <c r="A7139" s="1" t="s">
        <v>2004</v>
      </c>
      <c r="B7139" s="1" t="s">
        <v>2027</v>
      </c>
      <c r="C7139" s="1" t="str">
        <f>"16510-07J00HB"</f>
        <v>16510-07J00HB</v>
      </c>
      <c r="D7139" s="1" t="str">
        <f>"16510-07J00HB"</f>
        <v>16510-07J00HB</v>
      </c>
      <c r="E7139" s="1" t="s">
        <v>4566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</row>
    <row r="7140" spans="1:11" ht="30" x14ac:dyDescent="0.2">
      <c r="A7140" s="1" t="s">
        <v>2004</v>
      </c>
      <c r="B7140" s="1" t="s">
        <v>2028</v>
      </c>
      <c r="C7140" s="1" t="str">
        <f>"66298883496183"</f>
        <v>66298883496183</v>
      </c>
      <c r="D7140" s="1" t="str">
        <f>"SD002"</f>
        <v>SD002</v>
      </c>
      <c r="E7140" s="1" t="s">
        <v>4566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</row>
    <row r="7141" spans="1:11" x14ac:dyDescent="0.2">
      <c r="A7141" s="1" t="s">
        <v>2004</v>
      </c>
      <c r="B7141" s="1" t="s">
        <v>2029</v>
      </c>
      <c r="C7141" s="1" t="str">
        <f>"66298883534870"</f>
        <v>66298883534870</v>
      </c>
      <c r="D7141" s="1" t="str">
        <f>"16510-HN910"</f>
        <v>16510-HN910</v>
      </c>
      <c r="E7141" s="1" t="s">
        <v>4566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</row>
    <row r="7142" spans="1:11" x14ac:dyDescent="0.2">
      <c r="A7142" s="1" t="s">
        <v>2004</v>
      </c>
      <c r="B7142" s="1" t="s">
        <v>2030</v>
      </c>
      <c r="C7142" s="1" t="str">
        <f>"66298883578273"</f>
        <v>66298883578273</v>
      </c>
      <c r="D7142" s="1" t="str">
        <f>"82637"</f>
        <v>82637</v>
      </c>
      <c r="E7142" s="1" t="s">
        <v>4566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</row>
    <row r="7143" spans="1:11" x14ac:dyDescent="0.2">
      <c r="A7143" s="1" t="s">
        <v>2004</v>
      </c>
      <c r="B7143" s="1" t="s">
        <v>2030</v>
      </c>
      <c r="C7143" s="1" t="str">
        <f>"66298883585597"</f>
        <v>66298883585597</v>
      </c>
      <c r="D7143" s="1" t="str">
        <f>"S003"</f>
        <v>S003</v>
      </c>
      <c r="E7143" s="1" t="s">
        <v>4566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</row>
    <row r="7144" spans="1:11" x14ac:dyDescent="0.2">
      <c r="A7144" s="1" t="s">
        <v>2004</v>
      </c>
      <c r="B7144" s="1" t="s">
        <v>2031</v>
      </c>
      <c r="C7144" s="1" t="str">
        <f>"B018"</f>
        <v>B018</v>
      </c>
      <c r="D7144" s="1" t="str">
        <f>"B018"</f>
        <v>B018</v>
      </c>
      <c r="E7144" s="1" t="s">
        <v>4566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</row>
    <row r="7145" spans="1:11" x14ac:dyDescent="0.2">
      <c r="A7145" s="1" t="s">
        <v>2004</v>
      </c>
      <c r="B7145" s="1" t="s">
        <v>2032</v>
      </c>
      <c r="C7145" s="1" t="str">
        <f>"200144"</f>
        <v>200144</v>
      </c>
      <c r="D7145" s="1" t="str">
        <f>"200144"</f>
        <v>200144</v>
      </c>
      <c r="E7145" s="1" t="s">
        <v>4566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</row>
    <row r="7146" spans="1:11" x14ac:dyDescent="0.2">
      <c r="A7146" s="1" t="s">
        <v>2004</v>
      </c>
      <c r="B7146" s="1" t="s">
        <v>2033</v>
      </c>
      <c r="C7146" s="1" t="str">
        <f>"1772"</f>
        <v>1772</v>
      </c>
      <c r="D7146" s="1" t="str">
        <f>"1772"</f>
        <v>1772</v>
      </c>
      <c r="E7146" s="1" t="s">
        <v>4566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</row>
    <row r="7147" spans="1:11" ht="30" x14ac:dyDescent="0.2">
      <c r="A7147" s="1" t="s">
        <v>2004</v>
      </c>
      <c r="B7147" s="1" t="s">
        <v>2034</v>
      </c>
      <c r="C7147" s="1" t="str">
        <f>"66298884086323"</f>
        <v>66298884086323</v>
      </c>
      <c r="D7147" s="1" t="str">
        <f>"B021"</f>
        <v>B021</v>
      </c>
      <c r="E7147" s="1" t="s">
        <v>4566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</row>
    <row r="7148" spans="1:11" x14ac:dyDescent="0.2">
      <c r="A7148" s="1" t="s">
        <v>2004</v>
      </c>
      <c r="B7148" s="1" t="s">
        <v>2035</v>
      </c>
      <c r="C7148" s="1" t="str">
        <f>"66298883640445"</f>
        <v>66298883640445</v>
      </c>
      <c r="D7148" s="1" t="str">
        <f>"12080"</f>
        <v>12080</v>
      </c>
      <c r="E7148" s="1" t="s">
        <v>4566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</row>
    <row r="7149" spans="1:11" x14ac:dyDescent="0.2">
      <c r="A7149" s="1" t="s">
        <v>2004</v>
      </c>
      <c r="B7149" s="1" t="s">
        <v>2036</v>
      </c>
      <c r="C7149" s="1" t="str">
        <f>"FVC018"</f>
        <v>FVC018</v>
      </c>
      <c r="D7149" s="1" t="str">
        <f>"FVC018"</f>
        <v>FVC018</v>
      </c>
      <c r="E7149" s="1" t="s">
        <v>4566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</row>
    <row r="7150" spans="1:11" x14ac:dyDescent="0.2">
      <c r="A7150" s="1" t="s">
        <v>2004</v>
      </c>
      <c r="B7150" s="1" t="s">
        <v>2037</v>
      </c>
      <c r="C7150" s="1" t="str">
        <f>"66298883676191"</f>
        <v>66298883676191</v>
      </c>
      <c r="D7150" s="1" t="str">
        <f>"SD005"</f>
        <v>SD005</v>
      </c>
      <c r="E7150" s="1" t="s">
        <v>4566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</row>
    <row r="7151" spans="1:11" x14ac:dyDescent="0.2">
      <c r="A7151" s="1" t="s">
        <v>2004</v>
      </c>
      <c r="B7151" s="1" t="s">
        <v>2038</v>
      </c>
      <c r="C7151" s="1" t="str">
        <f>"66298883717881"</f>
        <v>66298883717881</v>
      </c>
      <c r="D7151" s="1" t="str">
        <f>"SD003"</f>
        <v>SD003</v>
      </c>
      <c r="E7151" s="1" t="s">
        <v>4566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</row>
    <row r="7152" spans="1:11" x14ac:dyDescent="0.2">
      <c r="A7152" s="1" t="s">
        <v>2004</v>
      </c>
      <c r="B7152" s="1" t="s">
        <v>2039</v>
      </c>
      <c r="C7152" s="1" t="str">
        <f>"JE-5710-07"</f>
        <v>JE-5710-07</v>
      </c>
      <c r="D7152" s="1" t="str">
        <f>"JE-5710-07"</f>
        <v>JE-5710-07</v>
      </c>
      <c r="E7152" s="1" t="s">
        <v>4566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</row>
    <row r="7153" spans="1:11" x14ac:dyDescent="0.2">
      <c r="A7153" s="1" t="s">
        <v>2004</v>
      </c>
      <c r="B7153" s="1" t="s">
        <v>2040</v>
      </c>
      <c r="C7153" s="1" t="str">
        <f>"66298883764265"</f>
        <v>66298883764265</v>
      </c>
      <c r="D7153" s="1" t="str">
        <f>"DH-1210-10"</f>
        <v>DH-1210-10</v>
      </c>
      <c r="E7153" s="1" t="s">
        <v>4566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</row>
    <row r="7154" spans="1:11" ht="30" x14ac:dyDescent="0.2">
      <c r="A7154" s="1" t="s">
        <v>2004</v>
      </c>
      <c r="B7154" s="1" t="s">
        <v>2041</v>
      </c>
      <c r="C7154" s="1" t="str">
        <f>"66298883808013"</f>
        <v>66298883808013</v>
      </c>
      <c r="D7154" s="1" t="str">
        <f>"JG-5710-14HB"</f>
        <v>JG-5710-14HB</v>
      </c>
      <c r="E7154" s="1" t="s">
        <v>4566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</row>
    <row r="7155" spans="1:11" ht="30" x14ac:dyDescent="0.2">
      <c r="A7155" s="1" t="s">
        <v>2004</v>
      </c>
      <c r="B7155" s="1" t="s">
        <v>2041</v>
      </c>
      <c r="C7155" s="1" t="str">
        <f>"1775"</f>
        <v>1775</v>
      </c>
      <c r="D7155" s="1" t="str">
        <f>"1775"</f>
        <v>1775</v>
      </c>
      <c r="E7155" s="1" t="s">
        <v>4566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</row>
    <row r="7156" spans="1:11" x14ac:dyDescent="0.2">
      <c r="A7156" s="1" t="s">
        <v>2004</v>
      </c>
      <c r="B7156" s="1" t="s">
        <v>2042</v>
      </c>
      <c r="C7156" s="1" t="str">
        <f>"66298883845172"</f>
        <v>66298883845172</v>
      </c>
      <c r="D7156" s="1" t="str">
        <f>"11427-721-779"</f>
        <v>11427-721-779</v>
      </c>
      <c r="E7156" s="1" t="s">
        <v>4566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</row>
    <row r="7157" spans="1:11" x14ac:dyDescent="0.2">
      <c r="A7157" s="1" t="s">
        <v>2004</v>
      </c>
      <c r="B7157" s="1" t="s">
        <v>2043</v>
      </c>
      <c r="C7157" s="1" t="str">
        <f>"66298883882424"</f>
        <v>66298883882424</v>
      </c>
      <c r="D7157" s="1" t="str">
        <f>"16510-24501"</f>
        <v>16510-24501</v>
      </c>
      <c r="E7157" s="1" t="s">
        <v>4566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</row>
    <row r="7158" spans="1:11" x14ac:dyDescent="0.2">
      <c r="A7158" s="1" t="s">
        <v>2004</v>
      </c>
      <c r="B7158" s="1" t="s">
        <v>2044</v>
      </c>
      <c r="C7158" s="1" t="str">
        <f>"10178"</f>
        <v>10178</v>
      </c>
      <c r="D7158" s="1" t="str">
        <f>"10178"</f>
        <v>10178</v>
      </c>
      <c r="E7158" s="1" t="s">
        <v>4566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1</v>
      </c>
    </row>
    <row r="7159" spans="1:11" x14ac:dyDescent="0.2">
      <c r="A7159" s="1" t="s">
        <v>2004</v>
      </c>
      <c r="B7159" s="1" t="s">
        <v>2045</v>
      </c>
      <c r="C7159" s="1" t="str">
        <f>"66298883924501"</f>
        <v>66298883924501</v>
      </c>
      <c r="D7159" s="1" t="str">
        <f>"15410-MB0-003"</f>
        <v>15410-MB0-003</v>
      </c>
      <c r="E7159" s="1" t="s">
        <v>4566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</row>
    <row r="7160" spans="1:11" x14ac:dyDescent="0.2">
      <c r="A7160" s="1" t="s">
        <v>2004</v>
      </c>
      <c r="B7160" s="1" t="s">
        <v>2046</v>
      </c>
      <c r="C7160" s="1" t="str">
        <f>"16510-26H00-000"</f>
        <v>16510-26H00-000</v>
      </c>
      <c r="D7160" s="1" t="str">
        <f>"16510-26H00-000"</f>
        <v>16510-26H00-000</v>
      </c>
      <c r="E7160" s="1" t="s">
        <v>4566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</row>
    <row r="7161" spans="1:11" ht="30" x14ac:dyDescent="0.2">
      <c r="A7161" s="1" t="s">
        <v>2004</v>
      </c>
      <c r="B7161" s="1" t="s">
        <v>2047</v>
      </c>
      <c r="C7161" s="1" t="str">
        <f>"66298883964095"</f>
        <v>66298883964095</v>
      </c>
      <c r="D7161" s="1" t="str">
        <f>"15410-KF0-315"</f>
        <v>15410-KF0-315</v>
      </c>
      <c r="E7161" s="1" t="s">
        <v>4566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</row>
    <row r="7162" spans="1:11" ht="30" x14ac:dyDescent="0.2">
      <c r="A7162" s="1" t="s">
        <v>2004</v>
      </c>
      <c r="B7162" s="1" t="s">
        <v>2048</v>
      </c>
      <c r="C7162" s="1" t="str">
        <f>"1995"</f>
        <v>1995</v>
      </c>
      <c r="D7162" s="1" t="str">
        <f>"1995"</f>
        <v>1995</v>
      </c>
      <c r="E7162" s="1" t="s">
        <v>4566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</row>
    <row r="7163" spans="1:11" ht="30" x14ac:dyDescent="0.2">
      <c r="A7163" s="1" t="s">
        <v>2004</v>
      </c>
      <c r="B7163" s="1" t="s">
        <v>2049</v>
      </c>
      <c r="C7163" s="1" t="str">
        <f>"66298884005785"</f>
        <v>66298884005785</v>
      </c>
      <c r="D7163" s="1" t="str">
        <f>"S056"</f>
        <v>S056</v>
      </c>
      <c r="E7163" s="1" t="s">
        <v>4566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</row>
    <row r="7164" spans="1:11" ht="30" x14ac:dyDescent="0.2">
      <c r="A7164" s="1" t="s">
        <v>2004</v>
      </c>
      <c r="B7164" s="1" t="s">
        <v>2050</v>
      </c>
      <c r="C7164" s="1" t="str">
        <f>"B045"</f>
        <v>B045</v>
      </c>
      <c r="D7164" s="1" t="str">
        <f>"B045"</f>
        <v>B045</v>
      </c>
      <c r="E7164" s="1" t="s">
        <v>4566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</row>
    <row r="7165" spans="1:11" x14ac:dyDescent="0.2">
      <c r="A7165" s="1" t="s">
        <v>2004</v>
      </c>
      <c r="B7165" s="1" t="s">
        <v>2051</v>
      </c>
      <c r="C7165" s="1" t="str">
        <f>"66298884046349"</f>
        <v>66298884046349</v>
      </c>
      <c r="D7165" s="1" t="str">
        <f>"JB025"</f>
        <v>JB025</v>
      </c>
      <c r="E7165" s="1" t="s">
        <v>4566</v>
      </c>
      <c r="F7165" s="1">
        <v>18</v>
      </c>
      <c r="G7165" s="1">
        <v>1830</v>
      </c>
      <c r="H7165" s="1">
        <v>32940</v>
      </c>
      <c r="I7165" s="1">
        <v>0</v>
      </c>
      <c r="J7165" s="1">
        <v>18</v>
      </c>
      <c r="K7165" s="1">
        <v>0</v>
      </c>
    </row>
    <row r="7166" spans="1:11" x14ac:dyDescent="0.2">
      <c r="A7166" s="1" t="s">
        <v>2004</v>
      </c>
      <c r="B7166" s="1" t="s">
        <v>2052</v>
      </c>
      <c r="C7166" s="1" t="str">
        <f>"66298884127410"</f>
        <v>66298884127410</v>
      </c>
      <c r="D7166" s="1" t="str">
        <f>"80750"</f>
        <v>80750</v>
      </c>
      <c r="E7166" s="1" t="s">
        <v>4566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</row>
    <row r="7167" spans="1:11" ht="30" x14ac:dyDescent="0.2">
      <c r="A7167" s="1" t="s">
        <v>2004</v>
      </c>
      <c r="B7167" s="1" t="s">
        <v>2053</v>
      </c>
      <c r="C7167" s="1" t="str">
        <f>"66298884164680"</f>
        <v>66298884164680</v>
      </c>
      <c r="D7167" s="1" t="str">
        <f>"400195"</f>
        <v>400195</v>
      </c>
      <c r="E7167" s="1" t="s">
        <v>4566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</row>
    <row r="7168" spans="1:11" x14ac:dyDescent="0.2">
      <c r="A7168" s="1" t="s">
        <v>2004</v>
      </c>
      <c r="B7168" s="1" t="s">
        <v>2054</v>
      </c>
      <c r="C7168" s="1" t="str">
        <f>"66298884201679"</f>
        <v>66298884201679</v>
      </c>
      <c r="D7168" s="1" t="str">
        <f>"FFC006"</f>
        <v>FFC006</v>
      </c>
      <c r="E7168" s="1" t="s">
        <v>4566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</row>
    <row r="7169" spans="1:11" x14ac:dyDescent="0.2">
      <c r="A7169" s="1" t="s">
        <v>2004</v>
      </c>
      <c r="B7169" s="1" t="s">
        <v>2055</v>
      </c>
      <c r="C7169" s="1" t="str">
        <f>"66298884242609"</f>
        <v>66298884242609</v>
      </c>
      <c r="D7169" s="1" t="str">
        <f>"85179"</f>
        <v>85179</v>
      </c>
      <c r="E7169" s="1" t="s">
        <v>4566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</row>
    <row r="7170" spans="1:11" x14ac:dyDescent="0.2">
      <c r="A7170" s="1" t="s">
        <v>2004</v>
      </c>
      <c r="B7170" s="1" t="s">
        <v>2055</v>
      </c>
      <c r="C7170" s="1" t="str">
        <f>"157-F3440-00HB"</f>
        <v>157-F3440-00HB</v>
      </c>
      <c r="D7170" s="1" t="str">
        <f>"157-F3440-00HB"</f>
        <v>157-F3440-00HB</v>
      </c>
      <c r="E7170" s="1" t="s">
        <v>4566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</row>
    <row r="7171" spans="1:11" x14ac:dyDescent="0.2">
      <c r="A7171" s="1" t="s">
        <v>2004</v>
      </c>
      <c r="B7171" s="1" t="s">
        <v>2056</v>
      </c>
      <c r="C7171" s="1" t="str">
        <f>"66298884283102"</f>
        <v>66298884283102</v>
      </c>
      <c r="D7171" s="1" t="str">
        <f>"HA-2511"</f>
        <v>HA-2511</v>
      </c>
      <c r="E7171" s="1" t="s">
        <v>4566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</row>
    <row r="7172" spans="1:11" x14ac:dyDescent="0.2">
      <c r="A7172" s="1" t="s">
        <v>2004</v>
      </c>
      <c r="B7172" s="1" t="s">
        <v>2057</v>
      </c>
      <c r="C7172" s="1" t="str">
        <f>"66298884325557"</f>
        <v>66298884325557</v>
      </c>
      <c r="D7172" s="1" t="str">
        <f>"KA-2508"</f>
        <v>KA-2508</v>
      </c>
      <c r="E7172" s="1" t="s">
        <v>4566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</row>
    <row r="7173" spans="1:11" x14ac:dyDescent="0.2">
      <c r="A7173" s="1" t="s">
        <v>2004</v>
      </c>
      <c r="B7173" s="1" t="s">
        <v>2058</v>
      </c>
      <c r="C7173" s="1" t="str">
        <f>"66298884365876"</f>
        <v>66298884365876</v>
      </c>
      <c r="D7173" s="1" t="str">
        <f>"BA-2012"</f>
        <v>BA-2012</v>
      </c>
      <c r="E7173" s="1" t="s">
        <v>4566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</row>
    <row r="7174" spans="1:11" x14ac:dyDescent="0.2">
      <c r="A7174" s="1" t="s">
        <v>2004</v>
      </c>
      <c r="B7174" s="1" t="s">
        <v>2059</v>
      </c>
      <c r="C7174" s="1" t="str">
        <f>"66298884408576"</f>
        <v>66298884408576</v>
      </c>
      <c r="D7174" s="1" t="str">
        <f>"YA-1208"</f>
        <v>YA-1208</v>
      </c>
      <c r="E7174" s="1" t="s">
        <v>4566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</row>
    <row r="7175" spans="1:11" x14ac:dyDescent="0.2">
      <c r="A7175" s="1" t="s">
        <v>2004</v>
      </c>
      <c r="B7175" s="1" t="s">
        <v>2060</v>
      </c>
      <c r="C7175" s="1" t="str">
        <f>"66298884447663"</f>
        <v>66298884447663</v>
      </c>
      <c r="D7175" s="1" t="str">
        <f>"54S-E4450-00HB"</f>
        <v>54S-E4450-00HB</v>
      </c>
      <c r="E7175" s="1" t="s">
        <v>4566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</row>
    <row r="7176" spans="1:11" x14ac:dyDescent="0.2">
      <c r="A7176" s="1" t="s">
        <v>2004</v>
      </c>
      <c r="B7176" s="1" t="s">
        <v>2060</v>
      </c>
      <c r="C7176" s="1" t="str">
        <f>"66298884488185"</f>
        <v>66298884488185</v>
      </c>
      <c r="D7176" s="1" t="str">
        <f>"4D0-E4450-00HB"</f>
        <v>4D0-E4450-00HB</v>
      </c>
      <c r="E7176" s="1" t="s">
        <v>4566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</row>
    <row r="7177" spans="1:11" x14ac:dyDescent="0.2">
      <c r="A7177" s="1" t="s">
        <v>2004</v>
      </c>
      <c r="B7177" s="1" t="s">
        <v>2061</v>
      </c>
      <c r="C7177" s="1" t="str">
        <f>"12483"</f>
        <v>12483</v>
      </c>
      <c r="D7177" s="1" t="str">
        <f>"12483"</f>
        <v>12483</v>
      </c>
      <c r="E7177" s="1" t="s">
        <v>4566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</row>
    <row r="7178" spans="1:11" x14ac:dyDescent="0.2">
      <c r="A7178" s="1" t="s">
        <v>2004</v>
      </c>
      <c r="B7178" s="1" t="s">
        <v>2062</v>
      </c>
      <c r="C7178" s="1" t="str">
        <f>"49CC24"</f>
        <v>49CC24</v>
      </c>
      <c r="D7178" s="1" t="str">
        <f>"49CC24"</f>
        <v>49CC24</v>
      </c>
      <c r="E7178" s="1" t="s">
        <v>4566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</row>
    <row r="7179" spans="1:11" x14ac:dyDescent="0.2">
      <c r="A7179" s="1" t="s">
        <v>2004</v>
      </c>
      <c r="B7179" s="1" t="s">
        <v>2063</v>
      </c>
      <c r="C7179" s="1" t="str">
        <f>"66298884529568"</f>
        <v>66298884529568</v>
      </c>
      <c r="D7179" s="1" t="str">
        <f>"17211-K70-600HB"</f>
        <v>17211-K70-600HB</v>
      </c>
      <c r="E7179" s="1" t="s">
        <v>4566</v>
      </c>
      <c r="F7179" s="1">
        <v>20</v>
      </c>
      <c r="G7179" s="1">
        <v>1762</v>
      </c>
      <c r="H7179" s="1">
        <v>35240</v>
      </c>
      <c r="I7179" s="1">
        <v>0</v>
      </c>
      <c r="J7179" s="1">
        <v>20</v>
      </c>
      <c r="K7179" s="1">
        <v>0</v>
      </c>
    </row>
    <row r="7180" spans="1:11" x14ac:dyDescent="0.2">
      <c r="A7180" s="1" t="s">
        <v>2004</v>
      </c>
      <c r="B7180" s="1" t="s">
        <v>2063</v>
      </c>
      <c r="C7180" s="1" t="str">
        <f>"66298884571731"</f>
        <v>66298884571731</v>
      </c>
      <c r="D7180" s="1" t="str">
        <f>"S038"</f>
        <v>S038</v>
      </c>
      <c r="E7180" s="1" t="s">
        <v>4566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</row>
    <row r="7181" spans="1:11" x14ac:dyDescent="0.2">
      <c r="A7181" s="1" t="s">
        <v>2004</v>
      </c>
      <c r="B7181" s="1" t="s">
        <v>2064</v>
      </c>
      <c r="C7181" s="1" t="str">
        <f>"66298884613812"</f>
        <v>66298884613812</v>
      </c>
      <c r="D7181" s="1" t="str">
        <f>"17211-KWF-950HB"</f>
        <v>17211-KWF-950HB</v>
      </c>
      <c r="E7181" s="1" t="s">
        <v>4566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</row>
    <row r="7182" spans="1:11" x14ac:dyDescent="0.2">
      <c r="A7182" s="1" t="s">
        <v>2004</v>
      </c>
      <c r="B7182" s="1" t="s">
        <v>2065</v>
      </c>
      <c r="C7182" s="1" t="str">
        <f>"66298884654202"</f>
        <v>66298884654202</v>
      </c>
      <c r="D7182" s="1" t="str">
        <f>"400172"</f>
        <v>400172</v>
      </c>
      <c r="E7182" s="1" t="s">
        <v>4566</v>
      </c>
      <c r="F7182" s="1">
        <v>89</v>
      </c>
      <c r="G7182" s="1">
        <v>1183</v>
      </c>
      <c r="H7182" s="1">
        <v>105287</v>
      </c>
      <c r="I7182" s="1">
        <v>0</v>
      </c>
      <c r="J7182" s="1">
        <v>89</v>
      </c>
      <c r="K7182" s="1">
        <v>0</v>
      </c>
    </row>
    <row r="7183" spans="1:11" x14ac:dyDescent="0.2">
      <c r="A7183" s="1" t="s">
        <v>2004</v>
      </c>
      <c r="B7183" s="1" t="s">
        <v>2066</v>
      </c>
      <c r="C7183" s="1" t="str">
        <f>"66298884692045"</f>
        <v>66298884692045</v>
      </c>
      <c r="D7183" s="1" t="str">
        <f>"17211-KSP-900HB"</f>
        <v>17211-KSP-900HB</v>
      </c>
      <c r="E7183" s="1" t="s">
        <v>4566</v>
      </c>
      <c r="F7183" s="1">
        <v>10</v>
      </c>
      <c r="G7183" s="1">
        <v>1724</v>
      </c>
      <c r="H7183" s="1">
        <v>17240</v>
      </c>
      <c r="I7183" s="1">
        <v>0</v>
      </c>
      <c r="J7183" s="1">
        <v>10</v>
      </c>
      <c r="K7183" s="1">
        <v>0</v>
      </c>
    </row>
    <row r="7184" spans="1:11" x14ac:dyDescent="0.2">
      <c r="A7184" s="1" t="s">
        <v>2004</v>
      </c>
      <c r="B7184" s="1" t="s">
        <v>2067</v>
      </c>
      <c r="C7184" s="1" t="str">
        <f>"66298884781917"</f>
        <v>66298884781917</v>
      </c>
      <c r="D7184" s="1" t="str">
        <f>"17211-KYJ-640HB"</f>
        <v>17211-KYJ-640HB</v>
      </c>
      <c r="E7184" s="1" t="s">
        <v>4566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</row>
    <row r="7185" spans="1:11" x14ac:dyDescent="0.2">
      <c r="A7185" s="1" t="s">
        <v>2004</v>
      </c>
      <c r="B7185" s="1" t="s">
        <v>2068</v>
      </c>
      <c r="C7185" s="1" t="str">
        <f>"66298884736504"</f>
        <v>66298884736504</v>
      </c>
      <c r="D7185" s="1" t="str">
        <f>"S024"</f>
        <v>S024</v>
      </c>
      <c r="E7185" s="1" t="s">
        <v>4566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</row>
    <row r="7186" spans="1:11" x14ac:dyDescent="0.2">
      <c r="A7186" s="1" t="s">
        <v>2004</v>
      </c>
      <c r="B7186" s="1" t="s">
        <v>2069</v>
      </c>
      <c r="C7186" s="1" t="str">
        <f>"66298884830308"</f>
        <v>66298884830308</v>
      </c>
      <c r="D7186" s="1" t="str">
        <f>"17213-KPF-960HB"</f>
        <v>17213-KPF-960HB</v>
      </c>
      <c r="E7186" s="1" t="s">
        <v>4566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</row>
    <row r="7187" spans="1:11" x14ac:dyDescent="0.2">
      <c r="A7187" s="1" t="s">
        <v>2004</v>
      </c>
      <c r="B7187" s="1" t="s">
        <v>2069</v>
      </c>
      <c r="C7187" s="1" t="str">
        <f>"66298884836635"</f>
        <v>66298884836635</v>
      </c>
      <c r="D7187" s="1" t="str">
        <f>"82020"</f>
        <v>82020</v>
      </c>
      <c r="E7187" s="1" t="s">
        <v>4566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</row>
    <row r="7188" spans="1:11" x14ac:dyDescent="0.2">
      <c r="A7188" s="1" t="s">
        <v>2004</v>
      </c>
      <c r="B7188" s="1" t="s">
        <v>2070</v>
      </c>
      <c r="C7188" s="1" t="str">
        <f>"66298884888679"</f>
        <v>66298884888679</v>
      </c>
      <c r="D7188" s="1" t="str">
        <f>"17213-397-003"</f>
        <v>17213-397-003</v>
      </c>
      <c r="E7188" s="1" t="s">
        <v>4566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</row>
    <row r="7189" spans="1:11" x14ac:dyDescent="0.2">
      <c r="A7189" s="1" t="s">
        <v>2004</v>
      </c>
      <c r="B7189" s="1" t="s">
        <v>2071</v>
      </c>
      <c r="C7189" s="1" t="str">
        <f>"66298884934540"</f>
        <v>66298884934540</v>
      </c>
      <c r="D7189" s="1" t="str">
        <f>"13538"</f>
        <v>13538</v>
      </c>
      <c r="E7189" s="1" t="s">
        <v>4566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</row>
    <row r="7190" spans="1:11" x14ac:dyDescent="0.2">
      <c r="A7190" s="1" t="s">
        <v>2004</v>
      </c>
      <c r="B7190" s="1" t="s">
        <v>2072</v>
      </c>
      <c r="C7190" s="1" t="str">
        <f>"66298884976362"</f>
        <v>66298884976362</v>
      </c>
      <c r="D7190" s="1" t="str">
        <f>"1535R"</f>
        <v>1535R</v>
      </c>
      <c r="E7190" s="1" t="s">
        <v>4566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</row>
    <row r="7191" spans="1:11" x14ac:dyDescent="0.2">
      <c r="A7191" s="1" t="s">
        <v>2004</v>
      </c>
      <c r="B7191" s="1" t="s">
        <v>2073</v>
      </c>
      <c r="C7191" s="1" t="str">
        <f>"1435C"</f>
        <v>1435C</v>
      </c>
      <c r="D7191" s="1" t="str">
        <f>"1435C"</f>
        <v>1435C</v>
      </c>
      <c r="E7191" s="1" t="s">
        <v>4566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</row>
    <row r="7192" spans="1:11" x14ac:dyDescent="0.2">
      <c r="A7192" s="1" t="s">
        <v>2004</v>
      </c>
      <c r="B7192" s="1" t="s">
        <v>2074</v>
      </c>
      <c r="C7192" s="1" t="str">
        <f>"66298885015660"</f>
        <v>66298885015660</v>
      </c>
      <c r="D7192" s="1" t="str">
        <f>"400794"</f>
        <v>400794</v>
      </c>
      <c r="E7192" s="1" t="s">
        <v>4566</v>
      </c>
      <c r="F7192" s="1">
        <v>107</v>
      </c>
      <c r="G7192" s="1">
        <v>1419</v>
      </c>
      <c r="H7192" s="1">
        <v>151833</v>
      </c>
      <c r="I7192" s="1">
        <v>0</v>
      </c>
      <c r="J7192" s="1">
        <v>107</v>
      </c>
      <c r="K7192" s="1">
        <v>0</v>
      </c>
    </row>
    <row r="7193" spans="1:11" x14ac:dyDescent="0.2">
      <c r="A7193" s="1" t="s">
        <v>2004</v>
      </c>
      <c r="B7193" s="1" t="s">
        <v>2075</v>
      </c>
      <c r="C7193" s="1" t="str">
        <f>"12895-F"</f>
        <v>12895-F</v>
      </c>
      <c r="D7193" s="1" t="str">
        <f>"12895-F"</f>
        <v>12895-F</v>
      </c>
      <c r="E7193" s="1" t="s">
        <v>4566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</row>
    <row r="7194" spans="1:11" x14ac:dyDescent="0.2">
      <c r="A7194" s="1" t="s">
        <v>2004</v>
      </c>
      <c r="B7194" s="1" t="s">
        <v>2076</v>
      </c>
      <c r="C7194" s="1" t="str">
        <f>"66298885056060"</f>
        <v>66298885056060</v>
      </c>
      <c r="D7194" s="1" t="str">
        <f>"DX-1210-10"</f>
        <v>DX-1210-10</v>
      </c>
      <c r="E7194" s="1" t="s">
        <v>4566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</row>
    <row r="7195" spans="1:11" x14ac:dyDescent="0.2">
      <c r="A7195" s="1" t="s">
        <v>2004</v>
      </c>
      <c r="B7195" s="1" t="s">
        <v>2077</v>
      </c>
      <c r="C7195" s="1" t="str">
        <f>"66298885095983"</f>
        <v>66298885095983</v>
      </c>
      <c r="D7195" s="1" t="str">
        <f>"13780-27G10HB"</f>
        <v>13780-27G10HB</v>
      </c>
      <c r="E7195" s="1" t="s">
        <v>4566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</row>
    <row r="7196" spans="1:11" x14ac:dyDescent="0.2">
      <c r="A7196" s="1" t="s">
        <v>2004</v>
      </c>
      <c r="B7196" s="1" t="s">
        <v>2078</v>
      </c>
      <c r="C7196" s="1" t="str">
        <f>"13780H2J000H000"</f>
        <v>13780H2J000H000</v>
      </c>
      <c r="D7196" s="1" t="str">
        <f>"13780H2J000H000"</f>
        <v>13780H2J000H000</v>
      </c>
      <c r="E7196" s="1" t="s">
        <v>4566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</row>
    <row r="7197" spans="1:11" x14ac:dyDescent="0.2">
      <c r="A7197" s="1" t="s">
        <v>2004</v>
      </c>
      <c r="B7197" s="1" t="s">
        <v>2079</v>
      </c>
      <c r="C7197" s="1" t="str">
        <f>"66298885135465"</f>
        <v>66298885135465</v>
      </c>
      <c r="D7197" s="1" t="str">
        <f>"13780-42A01HB"</f>
        <v>13780-42A01HB</v>
      </c>
      <c r="E7197" s="1" t="s">
        <v>4566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</row>
    <row r="7198" spans="1:11" x14ac:dyDescent="0.2">
      <c r="A7198" s="1" t="s">
        <v>2004</v>
      </c>
      <c r="B7198" s="1" t="s">
        <v>2080</v>
      </c>
      <c r="C7198" s="1" t="str">
        <f>"66298885174021"</f>
        <v>66298885174021</v>
      </c>
      <c r="D7198" s="1" t="str">
        <f>"13780-32E00HB"</f>
        <v>13780-32E00HB</v>
      </c>
      <c r="E7198" s="1" t="s">
        <v>4566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</row>
    <row r="7199" spans="1:11" x14ac:dyDescent="0.2">
      <c r="A7199" s="1" t="s">
        <v>2004</v>
      </c>
      <c r="B7199" s="1" t="s">
        <v>2081</v>
      </c>
      <c r="C7199" s="1" t="str">
        <f>"12216"</f>
        <v>12216</v>
      </c>
      <c r="D7199" s="1" t="str">
        <f>"12216"</f>
        <v>12216</v>
      </c>
      <c r="E7199" s="1" t="s">
        <v>4566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</row>
    <row r="7200" spans="1:11" x14ac:dyDescent="0.2">
      <c r="A7200" s="1" t="s">
        <v>2004</v>
      </c>
      <c r="B7200" s="1" t="s">
        <v>2082</v>
      </c>
      <c r="C7200" s="1" t="str">
        <f>"66298885212952"</f>
        <v>66298885212952</v>
      </c>
      <c r="D7200" s="1" t="str">
        <f>"17211-KSY-900HB"</f>
        <v>17211-KSY-900HB</v>
      </c>
      <c r="E7200" s="1" t="s">
        <v>4566</v>
      </c>
      <c r="F7200" s="1">
        <v>9</v>
      </c>
      <c r="G7200" s="1">
        <v>2618</v>
      </c>
      <c r="H7200" s="1">
        <v>23562</v>
      </c>
      <c r="I7200" s="1">
        <v>0</v>
      </c>
      <c r="J7200" s="1">
        <v>9</v>
      </c>
      <c r="K7200" s="1">
        <v>0</v>
      </c>
    </row>
    <row r="7201" spans="1:11" x14ac:dyDescent="0.2">
      <c r="A7201" s="1" t="s">
        <v>2004</v>
      </c>
      <c r="B7201" s="1" t="s">
        <v>2083</v>
      </c>
      <c r="C7201" s="1" t="str">
        <f>"10550"</f>
        <v>10550</v>
      </c>
      <c r="D7201" s="1" t="str">
        <f>"10550"</f>
        <v>10550</v>
      </c>
      <c r="E7201" s="1" t="s">
        <v>4566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</row>
    <row r="7202" spans="1:11" x14ac:dyDescent="0.2">
      <c r="A7202" s="1" t="s">
        <v>2004</v>
      </c>
      <c r="B7202" s="1" t="s">
        <v>2084</v>
      </c>
      <c r="C7202" s="1" t="str">
        <f>"66298885294715"</f>
        <v>66298885294715</v>
      </c>
      <c r="D7202" s="1" t="str">
        <f>"21C-E4450-00"</f>
        <v>21C-E4450-00</v>
      </c>
      <c r="E7202" s="1" t="s">
        <v>4566</v>
      </c>
      <c r="F7202" s="1">
        <v>10</v>
      </c>
      <c r="G7202" s="1">
        <v>2556</v>
      </c>
      <c r="H7202" s="1">
        <v>25560</v>
      </c>
      <c r="I7202" s="1">
        <v>0</v>
      </c>
      <c r="J7202" s="1">
        <v>10</v>
      </c>
      <c r="K7202" s="1">
        <v>0</v>
      </c>
    </row>
    <row r="7203" spans="1:11" x14ac:dyDescent="0.2">
      <c r="A7203" s="1" t="s">
        <v>2004</v>
      </c>
      <c r="B7203" s="1" t="s">
        <v>2085</v>
      </c>
      <c r="C7203" s="1" t="str">
        <f>"66298885343080"</f>
        <v>66298885343080</v>
      </c>
      <c r="D7203" s="1" t="str">
        <f>"400173"</f>
        <v>400173</v>
      </c>
      <c r="E7203" s="1" t="s">
        <v>4566</v>
      </c>
      <c r="F7203" s="1">
        <v>58</v>
      </c>
      <c r="G7203" s="1">
        <v>1435</v>
      </c>
      <c r="H7203" s="1">
        <v>83230</v>
      </c>
      <c r="I7203" s="1">
        <v>0</v>
      </c>
      <c r="J7203" s="1">
        <v>58</v>
      </c>
      <c r="K7203" s="1">
        <v>0</v>
      </c>
    </row>
    <row r="7204" spans="1:11" x14ac:dyDescent="0.2">
      <c r="A7204" s="1" t="s">
        <v>2004</v>
      </c>
      <c r="B7204" s="1" t="s">
        <v>2086</v>
      </c>
      <c r="C7204" s="1" t="str">
        <f>"66298885252434"</f>
        <v>66298885252434</v>
      </c>
      <c r="D7204" s="1" t="str">
        <f>"S002"</f>
        <v>S002</v>
      </c>
      <c r="E7204" s="1" t="s">
        <v>4566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</row>
    <row r="7205" spans="1:11" x14ac:dyDescent="0.2">
      <c r="A7205" s="1" t="s">
        <v>2004</v>
      </c>
      <c r="B7205" s="1" t="s">
        <v>2086</v>
      </c>
      <c r="C7205" s="1" t="str">
        <f>"13540"</f>
        <v>13540</v>
      </c>
      <c r="D7205" s="1" t="str">
        <f>"13540"</f>
        <v>13540</v>
      </c>
      <c r="E7205" s="1" t="s">
        <v>4566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</row>
    <row r="7206" spans="1:11" x14ac:dyDescent="0.2">
      <c r="A7206" s="1" t="s">
        <v>2004</v>
      </c>
      <c r="B7206" s="1" t="s">
        <v>2087</v>
      </c>
      <c r="C7206" s="1" t="str">
        <f>"S4V0485200066"</f>
        <v>S4V0485200066</v>
      </c>
      <c r="D7206" s="1" t="str">
        <f>"S4V0485200066"</f>
        <v>S4V0485200066</v>
      </c>
      <c r="E7206" s="1" t="s">
        <v>4566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</row>
    <row r="7207" spans="1:11" x14ac:dyDescent="0.2">
      <c r="A7207" s="1" t="s">
        <v>2004</v>
      </c>
      <c r="B7207" s="1" t="s">
        <v>2088</v>
      </c>
      <c r="C7207" s="1" t="str">
        <f>"66298885382653"</f>
        <v>66298885382653</v>
      </c>
      <c r="D7207" s="1" t="str">
        <f>"5VX-14451-00HB"</f>
        <v>5VX-14451-00HB</v>
      </c>
      <c r="E7207" s="1" t="s">
        <v>4566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</row>
    <row r="7208" spans="1:11" x14ac:dyDescent="0.2">
      <c r="A7208" s="1" t="s">
        <v>2004</v>
      </c>
      <c r="B7208" s="1" t="s">
        <v>2089</v>
      </c>
      <c r="C7208" s="1" t="str">
        <f>"66298885468255"</f>
        <v>66298885468255</v>
      </c>
      <c r="D7208" s="1" t="str">
        <f>"S026"</f>
        <v>S026</v>
      </c>
      <c r="E7208" s="1" t="s">
        <v>4566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</row>
    <row r="7209" spans="1:11" x14ac:dyDescent="0.2">
      <c r="A7209" s="1" t="s">
        <v>2004</v>
      </c>
      <c r="B7209" s="1" t="s">
        <v>2090</v>
      </c>
      <c r="C7209" s="1" t="str">
        <f>"66298885426943"</f>
        <v>66298885426943</v>
      </c>
      <c r="D7209" s="1" t="str">
        <f>"2GS-E4450-00HB"</f>
        <v>2GS-E4450-00HB</v>
      </c>
      <c r="E7209" s="1" t="s">
        <v>4566</v>
      </c>
      <c r="F7209" s="1">
        <v>6</v>
      </c>
      <c r="G7209" s="1">
        <v>2325</v>
      </c>
      <c r="H7209" s="1">
        <v>13950</v>
      </c>
      <c r="I7209" s="1">
        <v>0</v>
      </c>
      <c r="J7209" s="1">
        <v>6</v>
      </c>
      <c r="K7209" s="1">
        <v>0</v>
      </c>
    </row>
    <row r="7210" spans="1:11" x14ac:dyDescent="0.2">
      <c r="A7210" s="1" t="s">
        <v>2004</v>
      </c>
      <c r="B7210" s="1" t="s">
        <v>2091</v>
      </c>
      <c r="C7210" s="1" t="str">
        <f>"66298885511699"</f>
        <v>66298885511699</v>
      </c>
      <c r="D7210" s="1" t="str">
        <f>"13780-34J00HB"</f>
        <v>13780-34J00HB</v>
      </c>
      <c r="E7210" s="1" t="s">
        <v>4566</v>
      </c>
      <c r="F7210" s="1">
        <v>7</v>
      </c>
      <c r="G7210" s="1">
        <v>3334</v>
      </c>
      <c r="H7210" s="1">
        <v>23338</v>
      </c>
      <c r="I7210" s="1">
        <v>0</v>
      </c>
      <c r="J7210" s="1">
        <v>7</v>
      </c>
      <c r="K7210" s="1">
        <v>0</v>
      </c>
    </row>
    <row r="7211" spans="1:11" x14ac:dyDescent="0.2">
      <c r="A7211" s="1" t="s">
        <v>2004</v>
      </c>
      <c r="B7211" s="1" t="s">
        <v>2091</v>
      </c>
      <c r="C7211" s="1" t="str">
        <f>"66298885518040"</f>
        <v>66298885518040</v>
      </c>
      <c r="D7211" s="1" t="str">
        <f>"S037"</f>
        <v>S037</v>
      </c>
      <c r="E7211" s="1" t="s">
        <v>4566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</row>
    <row r="7212" spans="1:11" x14ac:dyDescent="0.2">
      <c r="A7212" s="1" t="s">
        <v>2004</v>
      </c>
      <c r="B7212" s="1" t="s">
        <v>2092</v>
      </c>
      <c r="C7212" s="1" t="str">
        <f>"66298885568867"</f>
        <v>66298885568867</v>
      </c>
      <c r="D7212" s="1" t="str">
        <f>"13780-45F00-000"</f>
        <v>13780-45F00-000</v>
      </c>
      <c r="E7212" s="1" t="s">
        <v>4566</v>
      </c>
      <c r="F7212" s="1">
        <v>10</v>
      </c>
      <c r="G7212" s="1">
        <v>1123</v>
      </c>
      <c r="H7212" s="1">
        <v>11230</v>
      </c>
      <c r="I7212" s="1">
        <v>0</v>
      </c>
      <c r="J7212" s="1">
        <v>10</v>
      </c>
      <c r="K7212" s="1">
        <v>0</v>
      </c>
    </row>
    <row r="7213" spans="1:11" x14ac:dyDescent="0.2">
      <c r="A7213" s="1" t="s">
        <v>2004</v>
      </c>
      <c r="B7213" s="1" t="s">
        <v>2093</v>
      </c>
      <c r="C7213" s="1" t="str">
        <f>"13780-38301-000"</f>
        <v>13780-38301-000</v>
      </c>
      <c r="D7213" s="1" t="str">
        <f>"13780-38301-000"</f>
        <v>13780-38301-000</v>
      </c>
      <c r="E7213" s="1" t="s">
        <v>4566</v>
      </c>
      <c r="F7213" s="1">
        <v>28</v>
      </c>
      <c r="G7213" s="1">
        <v>1503</v>
      </c>
      <c r="H7213" s="1">
        <v>42084</v>
      </c>
      <c r="I7213" s="1">
        <v>0</v>
      </c>
      <c r="J7213" s="1">
        <v>28</v>
      </c>
      <c r="K7213" s="1">
        <v>0</v>
      </c>
    </row>
    <row r="7214" spans="1:11" x14ac:dyDescent="0.2">
      <c r="A7214" s="1" t="s">
        <v>2004</v>
      </c>
      <c r="B7214" s="1" t="s">
        <v>2094</v>
      </c>
      <c r="C7214" s="1" t="str">
        <f>"66298885609302"</f>
        <v>66298885609302</v>
      </c>
      <c r="D7214" s="1" t="str">
        <f>"A048"</f>
        <v>A048</v>
      </c>
      <c r="E7214" s="1" t="s">
        <v>4566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</row>
    <row r="7215" spans="1:11" x14ac:dyDescent="0.2">
      <c r="A7215" s="1" t="s">
        <v>2004</v>
      </c>
      <c r="B7215" s="1" t="s">
        <v>2095</v>
      </c>
      <c r="C7215" s="1" t="str">
        <f>"13780-30H10-00HB"</f>
        <v>13780-30H10-00HB</v>
      </c>
      <c r="D7215" s="1" t="str">
        <f>"13780-30H10-00HB"</f>
        <v>13780-30H10-00HB</v>
      </c>
      <c r="E7215" s="1" t="s">
        <v>4566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</row>
    <row r="7216" spans="1:11" x14ac:dyDescent="0.2">
      <c r="A7216" s="1" t="s">
        <v>2004</v>
      </c>
      <c r="B7216" s="1" t="s">
        <v>2096</v>
      </c>
      <c r="C7216" s="1" t="str">
        <f>"66298885688082"</f>
        <v>66298885688082</v>
      </c>
      <c r="D7216" s="1" t="str">
        <f>"82636"</f>
        <v>82636</v>
      </c>
      <c r="E7216" s="1" t="s">
        <v>4566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</row>
    <row r="7217" spans="1:11" x14ac:dyDescent="0.2">
      <c r="A7217" s="1" t="s">
        <v>2004</v>
      </c>
      <c r="B7217" s="1" t="s">
        <v>2097</v>
      </c>
      <c r="C7217" s="1" t="str">
        <f>"66298885730990"</f>
        <v>66298885730990</v>
      </c>
      <c r="D7217" s="1" t="str">
        <f>"A037"</f>
        <v>A037</v>
      </c>
      <c r="E7217" s="1" t="s">
        <v>4566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</row>
    <row r="7218" spans="1:11" x14ac:dyDescent="0.2">
      <c r="A7218" s="1" t="s">
        <v>2004</v>
      </c>
      <c r="B7218" s="1" t="s">
        <v>2098</v>
      </c>
      <c r="C7218" s="1" t="str">
        <f>"13780-25H00-000"</f>
        <v>13780-25H00-000</v>
      </c>
      <c r="D7218" s="1" t="str">
        <f>"13780-25H00-000"</f>
        <v>13780-25H00-000</v>
      </c>
      <c r="E7218" s="1" t="s">
        <v>4566</v>
      </c>
      <c r="F7218" s="1">
        <v>3</v>
      </c>
      <c r="G7218" s="1">
        <v>2889</v>
      </c>
      <c r="H7218" s="1">
        <v>8667</v>
      </c>
      <c r="I7218" s="1">
        <v>0</v>
      </c>
      <c r="J7218" s="1">
        <v>3</v>
      </c>
      <c r="K7218" s="1">
        <v>0</v>
      </c>
    </row>
    <row r="7219" spans="1:11" ht="30" x14ac:dyDescent="0.2">
      <c r="A7219" s="1" t="s">
        <v>2004</v>
      </c>
      <c r="B7219" s="1" t="s">
        <v>2099</v>
      </c>
      <c r="C7219" s="1" t="str">
        <f>"EMJM20278"</f>
        <v>EMJM20278</v>
      </c>
      <c r="D7219" s="1" t="str">
        <f>"EMJM20278"</f>
        <v>EMJM20278</v>
      </c>
      <c r="E7219" s="1" t="s">
        <v>4566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</row>
    <row r="7220" spans="1:11" x14ac:dyDescent="0.2">
      <c r="A7220" s="1" t="s">
        <v>2004</v>
      </c>
      <c r="B7220" s="1" t="s">
        <v>2100</v>
      </c>
      <c r="C7220" s="1" t="str">
        <f>"12366"</f>
        <v>12366</v>
      </c>
      <c r="D7220" s="1" t="str">
        <f>"12366"</f>
        <v>12366</v>
      </c>
      <c r="E7220" s="1" t="s">
        <v>4566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</row>
    <row r="7221" spans="1:11" x14ac:dyDescent="0.2">
      <c r="A7221" s="1" t="s">
        <v>2004</v>
      </c>
      <c r="B7221" s="1" t="s">
        <v>2101</v>
      </c>
      <c r="C7221" s="1" t="str">
        <f>"66298885808861"</f>
        <v>66298885808861</v>
      </c>
      <c r="D7221" s="1" t="str">
        <f>"PP-30615-000HB"</f>
        <v>PP-30615-000HB</v>
      </c>
      <c r="E7221" s="1" t="s">
        <v>4566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</row>
    <row r="7222" spans="1:11" x14ac:dyDescent="0.2">
      <c r="A7222" s="1" t="s">
        <v>2004</v>
      </c>
      <c r="B7222" s="1" t="s">
        <v>2102</v>
      </c>
      <c r="C7222" s="1" t="str">
        <f>"13781H2C001H000"</f>
        <v>13781H2C001H000</v>
      </c>
      <c r="D7222" s="1" t="str">
        <f>"13781H2C001H000"</f>
        <v>13781H2C001H000</v>
      </c>
      <c r="E7222" s="1" t="s">
        <v>4566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</row>
    <row r="7223" spans="1:11" x14ac:dyDescent="0.2">
      <c r="A7223" s="1" t="s">
        <v>2004</v>
      </c>
      <c r="B7223" s="1" t="s">
        <v>2102</v>
      </c>
      <c r="C7223" s="1" t="str">
        <f>"11993"</f>
        <v>11993</v>
      </c>
      <c r="D7223" s="1" t="str">
        <f>"11993"</f>
        <v>11993</v>
      </c>
      <c r="E7223" s="1" t="s">
        <v>4566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</row>
    <row r="7224" spans="1:11" x14ac:dyDescent="0.2">
      <c r="A7224" s="1" t="s">
        <v>2004</v>
      </c>
      <c r="B7224" s="1" t="s">
        <v>2103</v>
      </c>
      <c r="C7224" s="1" t="str">
        <f>"66298885849228"</f>
        <v>66298885849228</v>
      </c>
      <c r="D7224" s="1" t="str">
        <f>"11013-0025JP"</f>
        <v>11013-0025JP</v>
      </c>
      <c r="E7224" s="1" t="s">
        <v>4566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</row>
    <row r="7225" spans="1:11" x14ac:dyDescent="0.2">
      <c r="A7225" s="1" t="s">
        <v>2004</v>
      </c>
      <c r="B7225" s="1" t="s">
        <v>2104</v>
      </c>
      <c r="C7225" s="1" t="str">
        <f>"66298885893652"</f>
        <v>66298885893652</v>
      </c>
      <c r="D7225" s="1" t="str">
        <f>"90106015000"</f>
        <v>90106015000</v>
      </c>
      <c r="E7225" s="1" t="s">
        <v>4566</v>
      </c>
      <c r="F7225" s="1">
        <v>13</v>
      </c>
      <c r="G7225" s="1">
        <v>2467</v>
      </c>
      <c r="H7225" s="1">
        <v>32071</v>
      </c>
      <c r="I7225" s="1">
        <v>0</v>
      </c>
      <c r="J7225" s="1">
        <v>13</v>
      </c>
      <c r="K7225" s="1">
        <v>0</v>
      </c>
    </row>
    <row r="7226" spans="1:11" x14ac:dyDescent="0.2">
      <c r="A7226" s="1" t="s">
        <v>2004</v>
      </c>
      <c r="B7226" s="1" t="s">
        <v>2105</v>
      </c>
      <c r="C7226" s="1" t="str">
        <f>"K353352900"</f>
        <v>K353352900</v>
      </c>
      <c r="D7226" s="1" t="str">
        <f>"K353352900"</f>
        <v>K353352900</v>
      </c>
      <c r="E7226" s="1" t="s">
        <v>4566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</row>
    <row r="7227" spans="1:11" x14ac:dyDescent="0.2">
      <c r="A7227" s="1" t="s">
        <v>2004</v>
      </c>
      <c r="B7227" s="1" t="s">
        <v>2106</v>
      </c>
      <c r="C7227" s="1" t="str">
        <f>"7889"</f>
        <v>7889</v>
      </c>
      <c r="D7227" s="1" t="str">
        <f>"7889"</f>
        <v>7889</v>
      </c>
      <c r="E7227" s="1" t="s">
        <v>4566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</row>
    <row r="7228" spans="1:11" x14ac:dyDescent="0.2">
      <c r="A7228" s="1" t="s">
        <v>2004</v>
      </c>
      <c r="B7228" s="1" t="s">
        <v>2107</v>
      </c>
      <c r="C7228" s="1" t="str">
        <f>"1RC-14451-00HB"</f>
        <v>1RC-14451-00HB</v>
      </c>
      <c r="D7228" s="1" t="str">
        <f>"1RC-14451-00HB"</f>
        <v>1RC-14451-00HB</v>
      </c>
      <c r="E7228" s="1" t="s">
        <v>4566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</row>
    <row r="7229" spans="1:11" x14ac:dyDescent="0.2">
      <c r="A7229" s="1" t="s">
        <v>2004</v>
      </c>
      <c r="B7229" s="1" t="s">
        <v>2108</v>
      </c>
      <c r="C7229" s="1" t="str">
        <f>"66298885934567"</f>
        <v>66298885934567</v>
      </c>
      <c r="D7229" s="1" t="str">
        <f>"S022"</f>
        <v>S022</v>
      </c>
      <c r="E7229" s="1" t="s">
        <v>4566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</row>
    <row r="7230" spans="1:11" ht="30" x14ac:dyDescent="0.2">
      <c r="A7230" s="1" t="s">
        <v>2004</v>
      </c>
      <c r="B7230" s="1" t="s">
        <v>2109</v>
      </c>
      <c r="C7230" s="1" t="str">
        <f>"17211-KVX-600"</f>
        <v>17211-KVX-600</v>
      </c>
      <c r="D7230" s="1" t="str">
        <f>"17211-KVX-600"</f>
        <v>17211-KVX-600</v>
      </c>
      <c r="E7230" s="1" t="s">
        <v>4566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</row>
    <row r="7231" spans="1:11" ht="30" x14ac:dyDescent="0.2">
      <c r="A7231" s="1" t="s">
        <v>2004</v>
      </c>
      <c r="B7231" s="1" t="s">
        <v>2109</v>
      </c>
      <c r="C7231" s="1" t="str">
        <f>"3080"</f>
        <v>3080</v>
      </c>
      <c r="D7231" s="1" t="str">
        <f>"3080"</f>
        <v>3080</v>
      </c>
      <c r="E7231" s="1" t="s">
        <v>4566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</row>
    <row r="7232" spans="1:11" ht="30" x14ac:dyDescent="0.2">
      <c r="A7232" s="1" t="s">
        <v>2004</v>
      </c>
      <c r="B7232" s="1" t="s">
        <v>2109</v>
      </c>
      <c r="C7232" s="1" t="str">
        <f>"7001"</f>
        <v>7001</v>
      </c>
      <c r="D7232" s="1" t="str">
        <f>"7001"</f>
        <v>7001</v>
      </c>
      <c r="E7232" s="1" t="s">
        <v>4566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</row>
    <row r="7233" spans="1:11" x14ac:dyDescent="0.2">
      <c r="A7233" s="1" t="s">
        <v>2004</v>
      </c>
      <c r="B7233" s="1" t="s">
        <v>2110</v>
      </c>
      <c r="C7233" s="1" t="str">
        <f>"EMHJ52407"</f>
        <v>EMHJ52407</v>
      </c>
      <c r="D7233" s="1" t="str">
        <f>"EMHJ52407"</f>
        <v>EMHJ52407</v>
      </c>
      <c r="E7233" s="1" t="s">
        <v>4566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</row>
    <row r="7234" spans="1:11" x14ac:dyDescent="0.2">
      <c r="A7234" s="1" t="s">
        <v>2004</v>
      </c>
      <c r="B7234" s="1" t="s">
        <v>2111</v>
      </c>
      <c r="C7234" s="1" t="str">
        <f>"13781H40100H000"</f>
        <v>13781H40100H000</v>
      </c>
      <c r="D7234" s="1" t="str">
        <f>"13781H40100H000"</f>
        <v>13781H40100H000</v>
      </c>
      <c r="E7234" s="1" t="s">
        <v>4566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</row>
    <row r="7235" spans="1:11" x14ac:dyDescent="0.2">
      <c r="A7235" s="1" t="s">
        <v>2004</v>
      </c>
      <c r="B7235" s="1" t="s">
        <v>2111</v>
      </c>
      <c r="C7235" s="1" t="str">
        <f>"12893"</f>
        <v>12893</v>
      </c>
      <c r="D7235" s="1" t="str">
        <f>"12893"</f>
        <v>12893</v>
      </c>
      <c r="E7235" s="1" t="s">
        <v>4566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</row>
    <row r="7236" spans="1:11" x14ac:dyDescent="0.2">
      <c r="A7236" s="1" t="s">
        <v>2004</v>
      </c>
      <c r="B7236" s="1" t="s">
        <v>2112</v>
      </c>
      <c r="C7236" s="1" t="str">
        <f>"66298886021071"</f>
        <v>66298886021071</v>
      </c>
      <c r="D7236" s="1" t="str">
        <f>"400174"</f>
        <v>400174</v>
      </c>
      <c r="E7236" s="1" t="s">
        <v>4566</v>
      </c>
      <c r="F7236" s="1">
        <v>130</v>
      </c>
      <c r="G7236" s="1">
        <v>799</v>
      </c>
      <c r="H7236" s="1">
        <v>103870</v>
      </c>
      <c r="I7236" s="1">
        <v>0</v>
      </c>
      <c r="J7236" s="1">
        <v>130</v>
      </c>
      <c r="K7236" s="1">
        <v>0</v>
      </c>
    </row>
    <row r="7237" spans="1:11" x14ac:dyDescent="0.2">
      <c r="A7237" s="1" t="s">
        <v>2004</v>
      </c>
      <c r="B7237" s="1" t="s">
        <v>2113</v>
      </c>
      <c r="C7237" s="1" t="str">
        <f>"66298885972280"</f>
        <v>66298885972280</v>
      </c>
      <c r="D7237" s="1" t="str">
        <f>"17211-KRE-900HB"</f>
        <v>17211-KRE-900HB</v>
      </c>
      <c r="E7237" s="1" t="s">
        <v>4566</v>
      </c>
      <c r="F7237" s="1">
        <v>20</v>
      </c>
      <c r="G7237" s="1">
        <v>1447</v>
      </c>
      <c r="H7237" s="1">
        <v>28940</v>
      </c>
      <c r="I7237" s="1">
        <v>0</v>
      </c>
      <c r="J7237" s="1">
        <v>20</v>
      </c>
      <c r="K7237" s="1">
        <v>0</v>
      </c>
    </row>
    <row r="7238" spans="1:11" x14ac:dyDescent="0.2">
      <c r="A7238" s="1" t="s">
        <v>2004</v>
      </c>
      <c r="B7238" s="1" t="s">
        <v>2114</v>
      </c>
      <c r="C7238" s="1" t="str">
        <f>"66298886061186"</f>
        <v>66298886061186</v>
      </c>
      <c r="D7238" s="1" t="str">
        <f>"D073"</f>
        <v>D073</v>
      </c>
      <c r="E7238" s="1" t="s">
        <v>4566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</row>
    <row r="7239" spans="1:11" x14ac:dyDescent="0.2">
      <c r="A7239" s="1" t="s">
        <v>2004</v>
      </c>
      <c r="B7239" s="1" t="s">
        <v>2115</v>
      </c>
      <c r="C7239" s="1" t="str">
        <f>"JA-5810-05HB"</f>
        <v>JA-5810-05HB</v>
      </c>
      <c r="D7239" s="1" t="str">
        <f>"JA-5810-05HB"</f>
        <v>JA-5810-05HB</v>
      </c>
      <c r="E7239" s="1" t="s">
        <v>4566</v>
      </c>
      <c r="F7239" s="1">
        <v>10</v>
      </c>
      <c r="G7239" s="1">
        <v>1194</v>
      </c>
      <c r="H7239" s="1">
        <v>11940</v>
      </c>
      <c r="I7239" s="1">
        <v>0</v>
      </c>
      <c r="J7239" s="1">
        <v>10</v>
      </c>
      <c r="K7239" s="1">
        <v>0</v>
      </c>
    </row>
    <row r="7240" spans="1:11" x14ac:dyDescent="0.2">
      <c r="A7240" s="1" t="s">
        <v>2004</v>
      </c>
      <c r="B7240" s="1" t="s">
        <v>2116</v>
      </c>
      <c r="C7240" s="1" t="str">
        <f>"66298886145679"</f>
        <v>66298886145679</v>
      </c>
      <c r="D7240" s="1" t="str">
        <f>"DK-1210-09"</f>
        <v>DK-1210-09</v>
      </c>
      <c r="E7240" s="1" t="s">
        <v>4566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</row>
    <row r="7241" spans="1:11" x14ac:dyDescent="0.2">
      <c r="A7241" s="1" t="s">
        <v>2004</v>
      </c>
      <c r="B7241" s="1" t="s">
        <v>2117</v>
      </c>
      <c r="C7241" s="1" t="str">
        <f>"66298886189016"</f>
        <v>66298886189016</v>
      </c>
      <c r="D7241" s="1" t="str">
        <f>"36-DK00-15"</f>
        <v>36-DK00-15</v>
      </c>
      <c r="E7241" s="1" t="s">
        <v>4566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</row>
    <row r="7242" spans="1:11" x14ac:dyDescent="0.2">
      <c r="A7242" s="1" t="s">
        <v>2004</v>
      </c>
      <c r="B7242" s="1" t="s">
        <v>2118</v>
      </c>
      <c r="C7242" s="1" t="str">
        <f>"66298886284807"</f>
        <v>66298886284807</v>
      </c>
      <c r="D7242" s="1" t="str">
        <f>"JL-5810-09HB"</f>
        <v>JL-5810-09HB</v>
      </c>
      <c r="E7242" s="1" t="s">
        <v>4566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</row>
    <row r="7243" spans="1:11" ht="30" x14ac:dyDescent="0.2">
      <c r="A7243" s="1" t="s">
        <v>2004</v>
      </c>
      <c r="B7243" s="1" t="s">
        <v>2119</v>
      </c>
      <c r="C7243" s="1" t="str">
        <f>"9421"</f>
        <v>9421</v>
      </c>
      <c r="D7243" s="1" t="str">
        <f>"9421"</f>
        <v>9421</v>
      </c>
      <c r="E7243" s="1" t="s">
        <v>4566</v>
      </c>
      <c r="F7243" s="1">
        <v>6</v>
      </c>
      <c r="G7243" s="1">
        <v>4140.4799999999996</v>
      </c>
      <c r="H7243" s="1">
        <v>24843</v>
      </c>
      <c r="I7243" s="1">
        <v>0</v>
      </c>
      <c r="J7243" s="1">
        <v>6</v>
      </c>
      <c r="K7243" s="1">
        <v>0</v>
      </c>
    </row>
    <row r="7244" spans="1:11" x14ac:dyDescent="0.2">
      <c r="A7244" s="1" t="s">
        <v>2004</v>
      </c>
      <c r="B7244" s="1" t="s">
        <v>2120</v>
      </c>
      <c r="C7244" s="1" t="str">
        <f>"66298886242274"</f>
        <v>66298886242274</v>
      </c>
      <c r="D7244" s="1" t="str">
        <f>"S028"</f>
        <v>S028</v>
      </c>
      <c r="E7244" s="1" t="s">
        <v>4566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</row>
    <row r="7245" spans="1:11" x14ac:dyDescent="0.2">
      <c r="A7245" s="1" t="s">
        <v>2004</v>
      </c>
      <c r="B7245" s="1" t="s">
        <v>2120</v>
      </c>
      <c r="C7245" s="1" t="str">
        <f>"7885"</f>
        <v>7885</v>
      </c>
      <c r="D7245" s="1" t="str">
        <f>"7885"</f>
        <v>7885</v>
      </c>
      <c r="E7245" s="1" t="s">
        <v>4566</v>
      </c>
      <c r="F7245" s="1">
        <v>3</v>
      </c>
      <c r="G7245" s="1">
        <v>3826.89</v>
      </c>
      <c r="H7245" s="1">
        <v>11481</v>
      </c>
      <c r="I7245" s="1">
        <v>0</v>
      </c>
      <c r="J7245" s="1">
        <v>3</v>
      </c>
      <c r="K7245" s="1">
        <v>0</v>
      </c>
    </row>
    <row r="7246" spans="1:11" x14ac:dyDescent="0.2">
      <c r="A7246" s="1" t="s">
        <v>2004</v>
      </c>
      <c r="B7246" s="1" t="s">
        <v>2121</v>
      </c>
      <c r="C7246" s="1" t="str">
        <f>"7011"</f>
        <v>7011</v>
      </c>
      <c r="D7246" s="1" t="str">
        <f>"7011"</f>
        <v>7011</v>
      </c>
      <c r="E7246" s="1" t="s">
        <v>4566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</row>
    <row r="7247" spans="1:11" x14ac:dyDescent="0.2">
      <c r="A7247" s="1" t="s">
        <v>2004</v>
      </c>
      <c r="B7247" s="1" t="s">
        <v>2122</v>
      </c>
      <c r="C7247" s="1" t="str">
        <f>"66298886329024"</f>
        <v>66298886329024</v>
      </c>
      <c r="D7247" s="1" t="str">
        <f>"17211-M9Q-0001HB"</f>
        <v>17211-M9Q-0001HB</v>
      </c>
      <c r="E7247" s="1" t="s">
        <v>4566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</row>
    <row r="7248" spans="1:11" x14ac:dyDescent="0.2">
      <c r="A7248" s="1" t="s">
        <v>2004</v>
      </c>
      <c r="B7248" s="1" t="s">
        <v>2122</v>
      </c>
      <c r="C7248" s="1" t="str">
        <f>"66298886335213"</f>
        <v>66298886335213</v>
      </c>
      <c r="D7248" s="1" t="str">
        <f>"S052"</f>
        <v>S052</v>
      </c>
      <c r="E7248" s="1" t="s">
        <v>4566</v>
      </c>
      <c r="F7248" s="1">
        <v>5</v>
      </c>
      <c r="G7248" s="1">
        <v>1278</v>
      </c>
      <c r="H7248" s="1">
        <v>6390</v>
      </c>
      <c r="I7248" s="1">
        <v>0</v>
      </c>
      <c r="J7248" s="1">
        <v>5</v>
      </c>
      <c r="K7248" s="1">
        <v>0</v>
      </c>
    </row>
    <row r="7249" spans="1:11" x14ac:dyDescent="0.2">
      <c r="A7249" s="1" t="s">
        <v>2004</v>
      </c>
      <c r="B7249" s="1" t="s">
        <v>2122</v>
      </c>
      <c r="C7249" s="1" t="str">
        <f>"66298886342105"</f>
        <v>66298886342105</v>
      </c>
      <c r="D7249" s="1" t="str">
        <f>"S005"</f>
        <v>S005</v>
      </c>
      <c r="E7249" s="1" t="s">
        <v>4566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</row>
    <row r="7250" spans="1:11" x14ac:dyDescent="0.2">
      <c r="A7250" s="1" t="s">
        <v>2004</v>
      </c>
      <c r="B7250" s="1" t="s">
        <v>2122</v>
      </c>
      <c r="C7250" s="1" t="str">
        <f>"A010"</f>
        <v>A010</v>
      </c>
      <c r="D7250" s="1" t="str">
        <f>"A010"</f>
        <v>A010</v>
      </c>
      <c r="E7250" s="1" t="s">
        <v>4566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</row>
    <row r="7251" spans="1:11" x14ac:dyDescent="0.2">
      <c r="A7251" s="1" t="s">
        <v>2004</v>
      </c>
      <c r="B7251" s="1" t="s">
        <v>2123</v>
      </c>
      <c r="C7251" s="1" t="str">
        <f>"66298886414116"</f>
        <v>66298886414116</v>
      </c>
      <c r="D7251" s="1" t="str">
        <f>"80499"</f>
        <v>80499</v>
      </c>
      <c r="E7251" s="1" t="s">
        <v>4566</v>
      </c>
      <c r="F7251" s="1">
        <v>9</v>
      </c>
      <c r="G7251" s="1">
        <v>1446</v>
      </c>
      <c r="H7251" s="1">
        <v>13014</v>
      </c>
      <c r="I7251" s="1">
        <v>0</v>
      </c>
      <c r="J7251" s="1">
        <v>9</v>
      </c>
      <c r="K7251" s="1">
        <v>0</v>
      </c>
    </row>
    <row r="7252" spans="1:11" x14ac:dyDescent="0.2">
      <c r="A7252" s="1" t="s">
        <v>2004</v>
      </c>
      <c r="B7252" s="1" t="s">
        <v>2123</v>
      </c>
      <c r="C7252" s="1" t="str">
        <f>"66298886460669"</f>
        <v>66298886460669</v>
      </c>
      <c r="D7252" s="1" t="str">
        <f>"F00010059HB"</f>
        <v>F00010059HB</v>
      </c>
      <c r="E7252" s="1" t="s">
        <v>4566</v>
      </c>
      <c r="F7252" s="1">
        <v>6</v>
      </c>
      <c r="G7252" s="1">
        <v>1710</v>
      </c>
      <c r="H7252" s="1">
        <v>10260</v>
      </c>
      <c r="I7252" s="1">
        <v>0</v>
      </c>
      <c r="J7252" s="1">
        <v>6</v>
      </c>
      <c r="K7252" s="1">
        <v>0</v>
      </c>
    </row>
    <row r="7253" spans="1:11" x14ac:dyDescent="0.2">
      <c r="A7253" s="1" t="s">
        <v>2004</v>
      </c>
      <c r="B7253" s="1" t="s">
        <v>2123</v>
      </c>
      <c r="C7253" s="1" t="str">
        <f>"66298886466977"</f>
        <v>66298886466977</v>
      </c>
      <c r="D7253" s="1" t="str">
        <f>"S015"</f>
        <v>S015</v>
      </c>
      <c r="E7253" s="1" t="s">
        <v>4566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</row>
    <row r="7254" spans="1:11" x14ac:dyDescent="0.2">
      <c r="A7254" s="1" t="s">
        <v>2004</v>
      </c>
      <c r="B7254" s="1" t="s">
        <v>2124</v>
      </c>
      <c r="C7254" s="1" t="str">
        <f>"66298886525979"</f>
        <v>66298886525979</v>
      </c>
      <c r="D7254" s="1" t="str">
        <f>"D011"</f>
        <v>D011</v>
      </c>
      <c r="E7254" s="1" t="s">
        <v>4566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</row>
    <row r="7255" spans="1:11" x14ac:dyDescent="0.2">
      <c r="A7255" s="1" t="s">
        <v>2004</v>
      </c>
      <c r="B7255" s="1" t="s">
        <v>2125</v>
      </c>
      <c r="C7255" s="1" t="str">
        <f>"66298886569686"</f>
        <v>66298886569686</v>
      </c>
      <c r="D7255" s="1" t="str">
        <f>"A013"</f>
        <v>A013</v>
      </c>
      <c r="E7255" s="1" t="s">
        <v>4566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</row>
    <row r="7256" spans="1:11" x14ac:dyDescent="0.2">
      <c r="A7256" s="1" t="s">
        <v>2004</v>
      </c>
      <c r="B7256" s="1" t="s">
        <v>2125</v>
      </c>
      <c r="C7256" s="1" t="str">
        <f>"66298886613055"</f>
        <v>66298886613055</v>
      </c>
      <c r="D7256" s="1" t="str">
        <f>"FILTRO-STORM"</f>
        <v>FILTRO-STORM</v>
      </c>
      <c r="E7256" s="1" t="s">
        <v>4566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</row>
    <row r="7257" spans="1:11" x14ac:dyDescent="0.2">
      <c r="A7257" s="1" t="s">
        <v>2004</v>
      </c>
      <c r="B7257" s="1" t="s">
        <v>2126</v>
      </c>
      <c r="C7257" s="1" t="str">
        <f>"66298886657025"</f>
        <v>66298886657025</v>
      </c>
      <c r="D7257" s="1" t="str">
        <f>"17214-KRF-B40HB"</f>
        <v>17214-KRF-B40HB</v>
      </c>
      <c r="E7257" s="1" t="s">
        <v>4566</v>
      </c>
      <c r="F7257" s="1">
        <v>4</v>
      </c>
      <c r="G7257" s="1">
        <v>2059</v>
      </c>
      <c r="H7257" s="1">
        <v>8236</v>
      </c>
      <c r="I7257" s="1">
        <v>0</v>
      </c>
      <c r="J7257" s="1">
        <v>4</v>
      </c>
      <c r="K7257" s="1">
        <v>0</v>
      </c>
    </row>
    <row r="7258" spans="1:11" x14ac:dyDescent="0.2">
      <c r="A7258" s="1" t="s">
        <v>2004</v>
      </c>
      <c r="B7258" s="1" t="s">
        <v>2127</v>
      </c>
      <c r="C7258" s="1" t="str">
        <f>"66298886700200"</f>
        <v>66298886700200</v>
      </c>
      <c r="D7258" s="1" t="str">
        <f>"A058"</f>
        <v>A058</v>
      </c>
      <c r="E7258" s="1" t="s">
        <v>4566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</row>
    <row r="7259" spans="1:11" x14ac:dyDescent="0.2">
      <c r="A7259" s="1" t="s">
        <v>2004</v>
      </c>
      <c r="B7259" s="1" t="s">
        <v>2128</v>
      </c>
      <c r="C7259" s="1" t="str">
        <f>"66298886741954"</f>
        <v>66298886741954</v>
      </c>
      <c r="D7259" s="1" t="str">
        <f>"13780H37200H000"</f>
        <v>13780H37200H000</v>
      </c>
      <c r="E7259" s="1" t="s">
        <v>4566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</row>
    <row r="7260" spans="1:11" x14ac:dyDescent="0.2">
      <c r="A7260" s="1" t="s">
        <v>2004</v>
      </c>
      <c r="B7260" s="1" t="s">
        <v>2129</v>
      </c>
      <c r="C7260" s="1" t="str">
        <f>"66298886783973"</f>
        <v>66298886783973</v>
      </c>
      <c r="D7260" s="1" t="str">
        <f>"F002-48MMHB"</f>
        <v>F002-48MMHB</v>
      </c>
      <c r="E7260" s="1" t="s">
        <v>4566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</row>
    <row r="7261" spans="1:11" x14ac:dyDescent="0.2">
      <c r="A7261" s="1" t="s">
        <v>2004</v>
      </c>
      <c r="B7261" s="1" t="s">
        <v>2130</v>
      </c>
      <c r="C7261" s="1" t="str">
        <f>"F003-35MMHB"</f>
        <v>F003-35MMHB</v>
      </c>
      <c r="D7261" s="1" t="str">
        <f>"F003-35MMHB"</f>
        <v>F003-35MMHB</v>
      </c>
      <c r="E7261" s="1" t="s">
        <v>4566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</row>
    <row r="7262" spans="1:11" x14ac:dyDescent="0.2">
      <c r="A7262" s="1" t="s">
        <v>2004</v>
      </c>
      <c r="B7262" s="1" t="s">
        <v>2131</v>
      </c>
      <c r="C7262" s="1" t="str">
        <f>"66298886865966"</f>
        <v>66298886865966</v>
      </c>
      <c r="D7262" s="1" t="str">
        <f>"F001-39MMHB"</f>
        <v>F001-39MMHB</v>
      </c>
      <c r="E7262" s="1" t="s">
        <v>4566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</row>
    <row r="7263" spans="1:11" x14ac:dyDescent="0.2">
      <c r="A7263" s="1" t="s">
        <v>2004</v>
      </c>
      <c r="B7263" s="1" t="s">
        <v>2132</v>
      </c>
      <c r="C7263" s="1" t="str">
        <f>"66298886917992"</f>
        <v>66298886917992</v>
      </c>
      <c r="D7263" s="1" t="str">
        <f>"F002-45MMHB"</f>
        <v>F002-45MMHB</v>
      </c>
      <c r="E7263" s="1" t="s">
        <v>4566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</row>
    <row r="7264" spans="1:11" x14ac:dyDescent="0.2">
      <c r="A7264" s="1" t="s">
        <v>2004</v>
      </c>
      <c r="B7264" s="1" t="s">
        <v>2133</v>
      </c>
      <c r="C7264" s="1" t="str">
        <f>"66298886955198"</f>
        <v>66298886955198</v>
      </c>
      <c r="D7264" s="1" t="str">
        <f>"1548A"</f>
        <v>1548A</v>
      </c>
      <c r="E7264" s="1" t="s">
        <v>4566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</row>
    <row r="7265" spans="1:11" x14ac:dyDescent="0.2">
      <c r="A7265" s="1" t="s">
        <v>2004</v>
      </c>
      <c r="B7265" s="1" t="s">
        <v>2134</v>
      </c>
      <c r="C7265" s="1" t="str">
        <f>"66298886993097"</f>
        <v>66298886993097</v>
      </c>
      <c r="D7265" s="1" t="str">
        <f>"1658"</f>
        <v>1658</v>
      </c>
      <c r="E7265" s="1" t="s">
        <v>4566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</row>
    <row r="7266" spans="1:11" x14ac:dyDescent="0.2">
      <c r="A7266" s="1" t="s">
        <v>2004</v>
      </c>
      <c r="B7266" s="1" t="s">
        <v>2135</v>
      </c>
      <c r="C7266" s="1" t="str">
        <f>"66298887041741"</f>
        <v>66298887041741</v>
      </c>
      <c r="D7266" s="1" t="str">
        <f>"13780H7A001H000"</f>
        <v>13780H7A001H000</v>
      </c>
      <c r="E7266" s="1" t="s">
        <v>4566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</row>
    <row r="7267" spans="1:11" x14ac:dyDescent="0.2">
      <c r="A7267" s="1" t="s">
        <v>2004</v>
      </c>
      <c r="B7267" s="1" t="s">
        <v>2136</v>
      </c>
      <c r="C7267" s="1" t="str">
        <f>"12894"</f>
        <v>12894</v>
      </c>
      <c r="D7267" s="1" t="str">
        <f>"12894"</f>
        <v>12894</v>
      </c>
      <c r="E7267" s="1" t="s">
        <v>4566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</row>
    <row r="7268" spans="1:11" x14ac:dyDescent="0.2">
      <c r="A7268" s="1" t="s">
        <v>2004</v>
      </c>
      <c r="B7268" s="1" t="s">
        <v>2137</v>
      </c>
      <c r="C7268" s="1" t="str">
        <f>"66298887095640"</f>
        <v>66298887095640</v>
      </c>
      <c r="D7268" s="1" t="str">
        <f>"13780-04F00HB"</f>
        <v>13780-04F00HB</v>
      </c>
      <c r="E7268" s="1" t="s">
        <v>4566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</row>
    <row r="7269" spans="1:11" x14ac:dyDescent="0.2">
      <c r="A7269" s="1" t="s">
        <v>2004</v>
      </c>
      <c r="B7269" s="1" t="s">
        <v>2138</v>
      </c>
      <c r="C7269" s="1" t="str">
        <f>"66298887136466"</f>
        <v>66298887136466</v>
      </c>
      <c r="D7269" s="1" t="str">
        <f>"S023"</f>
        <v>S023</v>
      </c>
      <c r="E7269" s="1" t="s">
        <v>4566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</row>
    <row r="7270" spans="1:11" x14ac:dyDescent="0.2">
      <c r="A7270" s="1" t="s">
        <v>2004</v>
      </c>
      <c r="B7270" s="1" t="s">
        <v>2138</v>
      </c>
      <c r="C7270" s="1" t="str">
        <f>"8006"</f>
        <v>8006</v>
      </c>
      <c r="D7270" s="1" t="str">
        <f>"8006"</f>
        <v>8006</v>
      </c>
      <c r="E7270" s="1" t="s">
        <v>4566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</row>
    <row r="7271" spans="1:11" x14ac:dyDescent="0.2">
      <c r="A7271" s="1" t="s">
        <v>2004</v>
      </c>
      <c r="B7271" s="1" t="s">
        <v>2139</v>
      </c>
      <c r="C7271" s="1" t="str">
        <f>"66298887173507"</f>
        <v>66298887173507</v>
      </c>
      <c r="D7271" s="1" t="str">
        <f>"S032"</f>
        <v>S032</v>
      </c>
      <c r="E7271" s="1" t="s">
        <v>4566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</row>
    <row r="7272" spans="1:11" x14ac:dyDescent="0.2">
      <c r="A7272" s="1" t="s">
        <v>2004</v>
      </c>
      <c r="B7272" s="1" t="s">
        <v>2140</v>
      </c>
      <c r="C7272" s="1" t="str">
        <f>"66298887269501"</f>
        <v>66298887269501</v>
      </c>
      <c r="D7272" s="1" t="str">
        <f>"17211-KPE-730"</f>
        <v>17211-KPE-730</v>
      </c>
      <c r="E7272" s="1" t="s">
        <v>4566</v>
      </c>
      <c r="F7272" s="1">
        <v>7</v>
      </c>
      <c r="G7272" s="1">
        <v>2915</v>
      </c>
      <c r="H7272" s="1">
        <v>20405</v>
      </c>
      <c r="I7272" s="1">
        <v>0</v>
      </c>
      <c r="J7272" s="1">
        <v>7</v>
      </c>
      <c r="K7272" s="1">
        <v>0</v>
      </c>
    </row>
    <row r="7273" spans="1:11" x14ac:dyDescent="0.2">
      <c r="A7273" s="1" t="s">
        <v>2004</v>
      </c>
      <c r="B7273" s="1" t="s">
        <v>2141</v>
      </c>
      <c r="C7273" s="1" t="str">
        <f>"66298887220007"</f>
        <v>66298887220007</v>
      </c>
      <c r="D7273" s="1" t="str">
        <f>"80751"</f>
        <v>80751</v>
      </c>
      <c r="E7273" s="1" t="s">
        <v>4566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</row>
    <row r="7274" spans="1:11" x14ac:dyDescent="0.2">
      <c r="A7274" s="1" t="s">
        <v>2004</v>
      </c>
      <c r="B7274" s="1" t="s">
        <v>2142</v>
      </c>
      <c r="C7274" s="1" t="str">
        <f>"7507"</f>
        <v>7507</v>
      </c>
      <c r="D7274" s="1" t="str">
        <f>"7507"</f>
        <v>7507</v>
      </c>
      <c r="E7274" s="1" t="s">
        <v>4566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</row>
    <row r="7275" spans="1:11" x14ac:dyDescent="0.2">
      <c r="A7275" s="1" t="s">
        <v>2004</v>
      </c>
      <c r="B7275" s="1" t="s">
        <v>2143</v>
      </c>
      <c r="C7275" s="1" t="str">
        <f>"66298887347571"</f>
        <v>66298887347571</v>
      </c>
      <c r="D7275" s="1" t="str">
        <f>"17211-KWT-A20HB"</f>
        <v>17211-KWT-A20HB</v>
      </c>
      <c r="E7275" s="1" t="s">
        <v>4566</v>
      </c>
      <c r="F7275" s="1">
        <v>8</v>
      </c>
      <c r="G7275" s="1">
        <v>3694</v>
      </c>
      <c r="H7275" s="1">
        <v>29552</v>
      </c>
      <c r="I7275" s="1">
        <v>0</v>
      </c>
      <c r="J7275" s="1">
        <v>8</v>
      </c>
      <c r="K7275" s="1">
        <v>0</v>
      </c>
    </row>
    <row r="7276" spans="1:11" x14ac:dyDescent="0.2">
      <c r="A7276" s="1" t="s">
        <v>2004</v>
      </c>
      <c r="B7276" s="1" t="s">
        <v>2144</v>
      </c>
      <c r="C7276" s="1" t="str">
        <f>"66298887309543"</f>
        <v>66298887309543</v>
      </c>
      <c r="D7276" s="1" t="str">
        <f>"17211-KWT-900BR"</f>
        <v>17211-KWT-900BR</v>
      </c>
      <c r="E7276" s="1" t="s">
        <v>4566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</row>
    <row r="7277" spans="1:11" x14ac:dyDescent="0.2">
      <c r="A7277" s="1" t="s">
        <v>2004</v>
      </c>
      <c r="B7277" s="1" t="s">
        <v>2145</v>
      </c>
      <c r="C7277" s="1" t="str">
        <f>"66298887390618"</f>
        <v>66298887390618</v>
      </c>
      <c r="D7277" s="1" t="str">
        <f>"5RM-14451-00HB"</f>
        <v>5RM-14451-00HB</v>
      </c>
      <c r="E7277" s="1" t="s">
        <v>4566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</row>
    <row r="7278" spans="1:11" x14ac:dyDescent="0.2">
      <c r="A7278" s="1" t="s">
        <v>2004</v>
      </c>
      <c r="B7278" s="1" t="s">
        <v>2146</v>
      </c>
      <c r="C7278" s="1" t="str">
        <f>"66298887431910"</f>
        <v>66298887431910</v>
      </c>
      <c r="D7278" s="1" t="str">
        <f>"1S4-14451-00HB"</f>
        <v>1S4-14451-00HB</v>
      </c>
      <c r="E7278" s="1" t="s">
        <v>4566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</row>
    <row r="7279" spans="1:11" x14ac:dyDescent="0.2">
      <c r="A7279" s="1" t="s">
        <v>2004</v>
      </c>
      <c r="B7279" s="1" t="s">
        <v>2147</v>
      </c>
      <c r="C7279" s="1" t="str">
        <f>"66298887512225"</f>
        <v>66298887512225</v>
      </c>
      <c r="D7279" s="1" t="str">
        <f>"5VL-E4450-00HB"</f>
        <v>5VL-E4450-00HB</v>
      </c>
      <c r="E7279" s="1" t="s">
        <v>4566</v>
      </c>
      <c r="F7279" s="1">
        <v>15</v>
      </c>
      <c r="G7279" s="1">
        <v>2937</v>
      </c>
      <c r="H7279" s="1">
        <v>44055</v>
      </c>
      <c r="I7279" s="1">
        <v>0</v>
      </c>
      <c r="J7279" s="1">
        <v>15</v>
      </c>
      <c r="K7279" s="1">
        <v>0</v>
      </c>
    </row>
    <row r="7280" spans="1:11" x14ac:dyDescent="0.2">
      <c r="A7280" s="1" t="s">
        <v>2004</v>
      </c>
      <c r="B7280" s="1" t="s">
        <v>2148</v>
      </c>
      <c r="C7280" s="1" t="str">
        <f>"66298887552930"</f>
        <v>66298887552930</v>
      </c>
      <c r="D7280" s="1" t="str">
        <f>"5HH-14450-00HB"</f>
        <v>5HH-14450-00HB</v>
      </c>
      <c r="E7280" s="1" t="s">
        <v>4566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</row>
    <row r="7281" spans="1:11" x14ac:dyDescent="0.2">
      <c r="A7281" s="1" t="s">
        <v>2004</v>
      </c>
      <c r="B7281" s="1" t="s">
        <v>2149</v>
      </c>
      <c r="C7281" s="1" t="str">
        <f>"66298887470077"</f>
        <v>66298887470077</v>
      </c>
      <c r="D7281" s="1" t="str">
        <f>"S010"</f>
        <v>S010</v>
      </c>
      <c r="E7281" s="1" t="s">
        <v>4566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</row>
    <row r="7282" spans="1:11" x14ac:dyDescent="0.2">
      <c r="A7282" s="1" t="s">
        <v>2004</v>
      </c>
      <c r="B7282" s="1" t="s">
        <v>2150</v>
      </c>
      <c r="C7282" s="1" t="str">
        <f>"66298887589615"</f>
        <v>66298887589615</v>
      </c>
      <c r="D7282" s="1" t="str">
        <f>"5KA-E4450-00"</f>
        <v>5KA-E4450-00</v>
      </c>
      <c r="E7282" s="1" t="s">
        <v>4566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</row>
    <row r="7283" spans="1:11" x14ac:dyDescent="0.2">
      <c r="A7283" s="1" t="s">
        <v>2004</v>
      </c>
      <c r="B7283" s="1" t="s">
        <v>2151</v>
      </c>
      <c r="C7283" s="1" t="str">
        <f>"66298887628121"</f>
        <v>66298887628121</v>
      </c>
      <c r="D7283" s="1" t="str">
        <f>"4VP-E4451-00HB"</f>
        <v>4VP-E4451-00HB</v>
      </c>
      <c r="E7283" s="1" t="s">
        <v>4566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</row>
    <row r="7284" spans="1:11" x14ac:dyDescent="0.2">
      <c r="A7284" s="1" t="s">
        <v>2004</v>
      </c>
      <c r="B7284" s="1" t="s">
        <v>2152</v>
      </c>
      <c r="C7284" s="1" t="str">
        <f>"66298887670003"</f>
        <v>66298887670003</v>
      </c>
      <c r="D7284" s="1" t="str">
        <f>"5S9-E4451-00HB"</f>
        <v>5S9-E4451-00HB</v>
      </c>
      <c r="E7284" s="1" t="s">
        <v>4566</v>
      </c>
      <c r="F7284" s="1">
        <v>3</v>
      </c>
      <c r="G7284" s="1">
        <v>2850</v>
      </c>
      <c r="H7284" s="1">
        <v>8550</v>
      </c>
      <c r="I7284" s="1">
        <v>0</v>
      </c>
      <c r="J7284" s="1">
        <v>3</v>
      </c>
      <c r="K7284" s="1">
        <v>0</v>
      </c>
    </row>
    <row r="7285" spans="1:11" x14ac:dyDescent="0.2">
      <c r="A7285" s="1" t="s">
        <v>2004</v>
      </c>
      <c r="B7285" s="1" t="s">
        <v>2153</v>
      </c>
      <c r="C7285" s="1" t="str">
        <f>"66298887722105"</f>
        <v>66298887722105</v>
      </c>
      <c r="D7285" s="1" t="str">
        <f>"20P-E4450-00HB"</f>
        <v>20P-E4450-00HB</v>
      </c>
      <c r="E7285" s="1" t="s">
        <v>4566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</row>
    <row r="7286" spans="1:11" x14ac:dyDescent="0.2">
      <c r="A7286" s="1" t="s">
        <v>2004</v>
      </c>
      <c r="B7286" s="1" t="s">
        <v>2153</v>
      </c>
      <c r="C7286" s="1" t="str">
        <f>"66298887733535"</f>
        <v>66298887733535</v>
      </c>
      <c r="D7286" s="1" t="str">
        <f>"S055"</f>
        <v>S055</v>
      </c>
      <c r="E7286" s="1" t="s">
        <v>4566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</row>
    <row r="7287" spans="1:11" x14ac:dyDescent="0.2">
      <c r="A7287" s="1" t="s">
        <v>2004</v>
      </c>
      <c r="B7287" s="1" t="s">
        <v>2154</v>
      </c>
      <c r="C7287" s="1" t="str">
        <f>"66298887792074"</f>
        <v>66298887792074</v>
      </c>
      <c r="D7287" s="1" t="str">
        <f>"1WD-E4451-00HB"</f>
        <v>1WD-E4451-00HB</v>
      </c>
      <c r="E7287" s="1" t="s">
        <v>4566</v>
      </c>
      <c r="F7287" s="1">
        <v>24</v>
      </c>
      <c r="G7287" s="1">
        <v>3528</v>
      </c>
      <c r="H7287" s="1">
        <v>84672</v>
      </c>
      <c r="I7287" s="1">
        <v>0</v>
      </c>
      <c r="J7287" s="1">
        <v>24</v>
      </c>
      <c r="K7287" s="1">
        <v>0</v>
      </c>
    </row>
    <row r="7288" spans="1:11" x14ac:dyDescent="0.2">
      <c r="A7288" s="1" t="s">
        <v>2004</v>
      </c>
      <c r="B7288" s="1" t="s">
        <v>2155</v>
      </c>
      <c r="C7288" s="1" t="str">
        <f>"66298887834607"</f>
        <v>66298887834607</v>
      </c>
      <c r="D7288" s="1" t="str">
        <f>"ZNT22-F14-405"</f>
        <v>ZNT22-F14-405</v>
      </c>
      <c r="E7288" s="1" t="s">
        <v>4566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</row>
    <row r="7289" spans="1:11" x14ac:dyDescent="0.2">
      <c r="A7289" s="1" t="s">
        <v>2004</v>
      </c>
      <c r="B7289" s="1" t="s">
        <v>2156</v>
      </c>
      <c r="C7289" s="1" t="str">
        <f>"44360-05760-000"</f>
        <v>44360-05760-000</v>
      </c>
      <c r="D7289" s="1" t="str">
        <f>"44360-05760-000"</f>
        <v>44360-05760-000</v>
      </c>
      <c r="E7289" s="1" t="s">
        <v>4566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</row>
    <row r="7290" spans="1:11" ht="30" x14ac:dyDescent="0.2">
      <c r="A7290" s="1" t="s">
        <v>2004</v>
      </c>
      <c r="B7290" s="1" t="s">
        <v>2157</v>
      </c>
      <c r="C7290" s="1" t="str">
        <f>"DT171814"</f>
        <v>DT171814</v>
      </c>
      <c r="D7290" s="1" t="str">
        <f>"DT171814"</f>
        <v>DT171814</v>
      </c>
      <c r="E7290" s="1" t="s">
        <v>4566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</row>
    <row r="7291" spans="1:11" x14ac:dyDescent="0.2">
      <c r="A7291" s="1" t="s">
        <v>2004</v>
      </c>
      <c r="B7291" s="1" t="s">
        <v>2158</v>
      </c>
      <c r="C7291" s="1" t="str">
        <f>"67950194117066"</f>
        <v>67950194117066</v>
      </c>
      <c r="D7291" s="1" t="str">
        <f>"P-AP6S21-01"</f>
        <v>P-AP6S21-01</v>
      </c>
      <c r="E7291" s="1" t="s">
        <v>4566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</row>
    <row r="7292" spans="1:11" x14ac:dyDescent="0.2">
      <c r="A7292" s="1" t="s">
        <v>2004</v>
      </c>
      <c r="B7292" s="1" t="s">
        <v>2159</v>
      </c>
      <c r="C7292" s="1" t="str">
        <f>"67950194131162"</f>
        <v>67950194131162</v>
      </c>
      <c r="D7292" s="1" t="str">
        <f>"P-AP10S16-0R"</f>
        <v>P-AP10S16-0R</v>
      </c>
      <c r="E7292" s="1" t="s">
        <v>4566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</row>
    <row r="7293" spans="1:11" ht="30" x14ac:dyDescent="0.2">
      <c r="A7293" s="1" t="s">
        <v>2004</v>
      </c>
      <c r="B7293" s="1" t="s">
        <v>2160</v>
      </c>
      <c r="C7293" s="1" t="str">
        <f>"67950194190273"</f>
        <v>67950194190273</v>
      </c>
      <c r="D7293" s="1" t="str">
        <f>"P-BE3N15-01"</f>
        <v>P-BE3N15-01</v>
      </c>
      <c r="E7293" s="1" t="s">
        <v>4566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</row>
    <row r="7294" spans="1:11" x14ac:dyDescent="0.2">
      <c r="A7294" s="1" t="s">
        <v>2004</v>
      </c>
      <c r="B7294" s="1" t="s">
        <v>2161</v>
      </c>
      <c r="C7294" s="1" t="str">
        <f>"67950194204556"</f>
        <v>67950194204556</v>
      </c>
      <c r="D7294" s="1" t="str">
        <f>"P-BE6N15-01"</f>
        <v>P-BE6N15-01</v>
      </c>
      <c r="E7294" s="1" t="s">
        <v>4566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</row>
    <row r="7295" spans="1:11" ht="30" x14ac:dyDescent="0.2">
      <c r="A7295" s="1" t="s">
        <v>2004</v>
      </c>
      <c r="B7295" s="1" t="s">
        <v>2162</v>
      </c>
      <c r="C7295" s="1" t="str">
        <f>"67950194212682"</f>
        <v>67950194212682</v>
      </c>
      <c r="D7295" s="1" t="str">
        <f>"P-BE5N20-01"</f>
        <v>P-BE5N20-01</v>
      </c>
      <c r="E7295" s="1" t="s">
        <v>4566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</row>
    <row r="7296" spans="1:11" ht="30" x14ac:dyDescent="0.2">
      <c r="A7296" s="1" t="s">
        <v>2004</v>
      </c>
      <c r="B7296" s="1" t="s">
        <v>2163</v>
      </c>
      <c r="C7296" s="1" t="str">
        <f>"67950194243716"</f>
        <v>67950194243716</v>
      </c>
      <c r="D7296" s="1" t="str">
        <f>"P-BM8E20-01"</f>
        <v>P-BM8E20-01</v>
      </c>
      <c r="E7296" s="1" t="s">
        <v>4566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</row>
    <row r="7297" spans="1:11" x14ac:dyDescent="0.2">
      <c r="A7297" s="1" t="s">
        <v>2004</v>
      </c>
      <c r="B7297" s="1" t="s">
        <v>2164</v>
      </c>
      <c r="C7297" s="1" t="str">
        <f>"67950194259721"</f>
        <v>67950194259721</v>
      </c>
      <c r="D7297" s="1" t="str">
        <f>"P-BM8S09-01"</f>
        <v>P-BM8S09-01</v>
      </c>
      <c r="E7297" s="1" t="s">
        <v>4566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</row>
    <row r="7298" spans="1:11" ht="30" x14ac:dyDescent="0.2">
      <c r="A7298" s="1" t="s">
        <v>2004</v>
      </c>
      <c r="B7298" s="1" t="s">
        <v>2165</v>
      </c>
      <c r="C7298" s="1" t="str">
        <f>"67950194278735"</f>
        <v>67950194278735</v>
      </c>
      <c r="D7298" s="1" t="str">
        <f>"P-BM3N20-01"</f>
        <v>P-BM3N20-01</v>
      </c>
      <c r="E7298" s="1" t="s">
        <v>4566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</row>
    <row r="7299" spans="1:11" ht="30" x14ac:dyDescent="0.2">
      <c r="A7299" s="1" t="s">
        <v>2004</v>
      </c>
      <c r="B7299" s="1" t="s">
        <v>2166</v>
      </c>
      <c r="C7299" s="1" t="str">
        <f>"67950194340110"</f>
        <v>67950194340110</v>
      </c>
      <c r="D7299" s="1" t="str">
        <f>"P-BM12E13-01"</f>
        <v>P-BM12E13-01</v>
      </c>
      <c r="E7299" s="1" t="s">
        <v>4566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</row>
    <row r="7300" spans="1:11" ht="30" x14ac:dyDescent="0.2">
      <c r="A7300" s="1" t="s">
        <v>2004</v>
      </c>
      <c r="B7300" s="1" t="s">
        <v>2167</v>
      </c>
      <c r="C7300" s="1" t="str">
        <f>"67950194341651"</f>
        <v>67950194341651</v>
      </c>
      <c r="D7300" s="1" t="str">
        <f>"P-BM10S10-0R"</f>
        <v>P-BM10S10-0R</v>
      </c>
      <c r="E7300" s="1" t="s">
        <v>4566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</row>
    <row r="7301" spans="1:11" ht="30" x14ac:dyDescent="0.2">
      <c r="A7301" s="1" t="s">
        <v>2004</v>
      </c>
      <c r="B7301" s="1" t="s">
        <v>2168</v>
      </c>
      <c r="C7301" s="1" t="str">
        <f>"67950194344456"</f>
        <v>67950194344456</v>
      </c>
      <c r="D7301" s="1" t="str">
        <f>"P-BM10S20-0R"</f>
        <v>P-BM10S20-0R</v>
      </c>
      <c r="E7301" s="1" t="s">
        <v>4566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</row>
    <row r="7302" spans="1:11" ht="30" x14ac:dyDescent="0.2">
      <c r="A7302" s="1" t="s">
        <v>2004</v>
      </c>
      <c r="B7302" s="1" t="s">
        <v>2169</v>
      </c>
      <c r="C7302" s="1" t="str">
        <f>"67950194349718"</f>
        <v>67950194349718</v>
      </c>
      <c r="D7302" s="1" t="str">
        <f>"P-CF2N20-01"</f>
        <v>P-CF2N20-01</v>
      </c>
      <c r="E7302" s="1" t="s">
        <v>4566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</row>
    <row r="7303" spans="1:11" ht="30" x14ac:dyDescent="0.2">
      <c r="A7303" s="1" t="s">
        <v>2004</v>
      </c>
      <c r="B7303" s="1" t="s">
        <v>2170</v>
      </c>
      <c r="C7303" s="1" t="str">
        <f>"67950194407671"</f>
        <v>67950194407671</v>
      </c>
      <c r="D7303" s="1" t="str">
        <f>"P-CF6N14-01"</f>
        <v>P-CF6N14-01</v>
      </c>
      <c r="E7303" s="1" t="s">
        <v>4566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</row>
    <row r="7304" spans="1:11" ht="30" x14ac:dyDescent="0.2">
      <c r="A7304" s="1" t="s">
        <v>2004</v>
      </c>
      <c r="B7304" s="1" t="s">
        <v>2171</v>
      </c>
      <c r="C7304" s="1" t="str">
        <f>"67950194429895"</f>
        <v>67950194429895</v>
      </c>
      <c r="D7304" s="1" t="str">
        <f>"P-H65S19-01"</f>
        <v>P-H65S19-01</v>
      </c>
      <c r="E7304" s="1" t="s">
        <v>4566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</row>
    <row r="7305" spans="1:11" ht="30" x14ac:dyDescent="0.2">
      <c r="A7305" s="1" t="s">
        <v>2004</v>
      </c>
      <c r="B7305" s="1" t="s">
        <v>2172</v>
      </c>
      <c r="C7305" s="1" t="str">
        <f>"67950194465823"</f>
        <v>67950194465823</v>
      </c>
      <c r="D7305" s="1" t="str">
        <f>"P-H10S08-0R"</f>
        <v>P-H10S08-0R</v>
      </c>
      <c r="E7305" s="1" t="s">
        <v>4566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</row>
    <row r="7306" spans="1:11" ht="30" x14ac:dyDescent="0.2">
      <c r="A7306" s="1" t="s">
        <v>2004</v>
      </c>
      <c r="B7306" s="1" t="s">
        <v>2173</v>
      </c>
      <c r="C7306" s="1" t="str">
        <f>"67950194467313"</f>
        <v>67950194467313</v>
      </c>
      <c r="D7306" s="1" t="str">
        <f>"R-H10S18-0R"</f>
        <v>R-H10S18-0R</v>
      </c>
      <c r="E7306" s="1" t="s">
        <v>4566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</row>
    <row r="7307" spans="1:11" ht="30" x14ac:dyDescent="0.2">
      <c r="A7307" s="1" t="s">
        <v>2004</v>
      </c>
      <c r="B7307" s="1" t="s">
        <v>2174</v>
      </c>
      <c r="C7307" s="1" t="str">
        <f>"67950194477543"</f>
        <v>67950194477543</v>
      </c>
      <c r="D7307" s="1" t="str">
        <f>"P-H2S11-01"</f>
        <v>P-H2S11-01</v>
      </c>
      <c r="E7307" s="1" t="s">
        <v>4566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</row>
    <row r="7308" spans="1:11" ht="30" x14ac:dyDescent="0.2">
      <c r="A7308" s="1" t="s">
        <v>2004</v>
      </c>
      <c r="B7308" s="1" t="s">
        <v>2175</v>
      </c>
      <c r="C7308" s="1" t="str">
        <f>"67950194518002"</f>
        <v>67950194518002</v>
      </c>
      <c r="D7308" s="1" t="str">
        <f>"R-H5S13-01"</f>
        <v>R-H5S13-01</v>
      </c>
      <c r="E7308" s="1" t="s">
        <v>4566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</row>
    <row r="7309" spans="1:11" ht="30" x14ac:dyDescent="0.2">
      <c r="A7309" s="1" t="s">
        <v>2004</v>
      </c>
      <c r="B7309" s="1" t="s">
        <v>2176</v>
      </c>
      <c r="C7309" s="1" t="str">
        <f>"67950194542151"</f>
        <v>67950194542151</v>
      </c>
      <c r="D7309" s="1" t="str">
        <f>"R-H5N20-01"</f>
        <v>R-H5N20-01</v>
      </c>
      <c r="E7309" s="1" t="s">
        <v>4566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</row>
    <row r="7310" spans="1:11" x14ac:dyDescent="0.2">
      <c r="A7310" s="1" t="s">
        <v>2004</v>
      </c>
      <c r="B7310" s="1" t="s">
        <v>2177</v>
      </c>
      <c r="C7310" s="1" t="str">
        <f>"67950194560961"</f>
        <v>67950194560961</v>
      </c>
      <c r="D7310" s="1" t="str">
        <f>"P-H6S07-0R"</f>
        <v>P-H6S07-0R</v>
      </c>
      <c r="E7310" s="1" t="s">
        <v>4566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</row>
    <row r="7311" spans="1:11" ht="30" x14ac:dyDescent="0.2">
      <c r="A7311" s="1" t="s">
        <v>2004</v>
      </c>
      <c r="B7311" s="1" t="s">
        <v>2178</v>
      </c>
      <c r="C7311" s="1" t="str">
        <f>"67950194565206"</f>
        <v>67950194565206</v>
      </c>
      <c r="D7311" s="1" t="str">
        <f>"P-H75SC21-01"</f>
        <v>P-H75SC21-01</v>
      </c>
      <c r="E7311" s="1" t="s">
        <v>4566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</row>
    <row r="7312" spans="1:11" ht="30" x14ac:dyDescent="0.2">
      <c r="A7312" s="1" t="s">
        <v>2004</v>
      </c>
      <c r="B7312" s="1" t="s">
        <v>2179</v>
      </c>
      <c r="C7312" s="1" t="str">
        <f>"67950194596035"</f>
        <v>67950194596035</v>
      </c>
      <c r="D7312" s="1" t="str">
        <f>"P-K2S08-01"</f>
        <v>P-K2S08-01</v>
      </c>
      <c r="E7312" s="1" t="s">
        <v>4566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</row>
    <row r="7313" spans="1:11" ht="30" x14ac:dyDescent="0.2">
      <c r="A7313" s="1" t="s">
        <v>2004</v>
      </c>
      <c r="B7313" s="1" t="s">
        <v>2180</v>
      </c>
      <c r="C7313" s="1" t="str">
        <f>"67950194620647"</f>
        <v>67950194620647</v>
      </c>
      <c r="D7313" s="1" t="str">
        <f>"P-K4S18-01"</f>
        <v>P-K4S18-01</v>
      </c>
      <c r="E7313" s="1" t="s">
        <v>4566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</row>
    <row r="7314" spans="1:11" ht="30" x14ac:dyDescent="0.2">
      <c r="A7314" s="1" t="s">
        <v>2004</v>
      </c>
      <c r="B7314" s="1" t="s">
        <v>2181</v>
      </c>
      <c r="C7314" s="1" t="str">
        <f>"67950194633236"</f>
        <v>67950194633236</v>
      </c>
      <c r="D7314" s="1" t="str">
        <f>"P-K6N15-01"</f>
        <v>P-K6N15-01</v>
      </c>
      <c r="E7314" s="1" t="s">
        <v>4566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</row>
    <row r="7315" spans="1:11" ht="30" x14ac:dyDescent="0.2">
      <c r="A7315" s="1" t="s">
        <v>2004</v>
      </c>
      <c r="B7315" s="1" t="s">
        <v>2182</v>
      </c>
      <c r="C7315" s="1" t="str">
        <f>"67950194641131"</f>
        <v>67950194641131</v>
      </c>
      <c r="D7315" s="1" t="str">
        <f>"P-K6N06-01"</f>
        <v>P-K6N06-01</v>
      </c>
      <c r="E7315" s="1" t="s">
        <v>4566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</row>
    <row r="7316" spans="1:11" ht="30" x14ac:dyDescent="0.2">
      <c r="A7316" s="1" t="s">
        <v>2004</v>
      </c>
      <c r="B7316" s="1" t="s">
        <v>2183</v>
      </c>
      <c r="C7316" s="1" t="str">
        <f>"67950194661490"</f>
        <v>67950194661490</v>
      </c>
      <c r="D7316" s="1" t="str">
        <f>"P-K10S10-0R"</f>
        <v>P-K10S10-0R</v>
      </c>
      <c r="E7316" s="1" t="s">
        <v>4566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</row>
    <row r="7317" spans="1:11" ht="30" x14ac:dyDescent="0.2">
      <c r="A7317" s="1" t="s">
        <v>2004</v>
      </c>
      <c r="B7317" s="1" t="s">
        <v>2184</v>
      </c>
      <c r="C7317" s="1" t="str">
        <f>"67950194694837"</f>
        <v>67950194694837</v>
      </c>
      <c r="D7317" s="1" t="str">
        <f>"R-K10S03-01"</f>
        <v>R-K10S03-01</v>
      </c>
      <c r="E7317" s="1" t="s">
        <v>4566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</row>
    <row r="7318" spans="1:11" ht="30" x14ac:dyDescent="0.2">
      <c r="A7318" s="1" t="s">
        <v>2004</v>
      </c>
      <c r="B7318" s="1" t="s">
        <v>2185</v>
      </c>
      <c r="C7318" s="1" t="str">
        <f>"67950194731611"</f>
        <v>67950194731611</v>
      </c>
      <c r="D7318" s="1" t="str">
        <f>"P-K9N18-01"</f>
        <v>P-K9N18-01</v>
      </c>
      <c r="E7318" s="1" t="s">
        <v>4566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</row>
    <row r="7319" spans="1:11" ht="30" x14ac:dyDescent="0.2">
      <c r="A7319" s="1" t="s">
        <v>2004</v>
      </c>
      <c r="B7319" s="1" t="s">
        <v>2186</v>
      </c>
      <c r="C7319" s="1" t="str">
        <f>"67950194767178"</f>
        <v>67950194767178</v>
      </c>
      <c r="D7319" s="1" t="str">
        <f>"P-K10S16-0R"</f>
        <v>P-K10S16-0R</v>
      </c>
      <c r="E7319" s="1" t="s">
        <v>4566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</row>
    <row r="7320" spans="1:11" x14ac:dyDescent="0.2">
      <c r="A7320" s="1" t="s">
        <v>2004</v>
      </c>
      <c r="B7320" s="1" t="s">
        <v>2187</v>
      </c>
      <c r="C7320" s="1" t="str">
        <f>"67950194774072"</f>
        <v>67950194774072</v>
      </c>
      <c r="D7320" s="1" t="str">
        <f>"P-K6S09-0R"</f>
        <v>P-K6S09-0R</v>
      </c>
      <c r="E7320" s="1" t="s">
        <v>4566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</row>
    <row r="7321" spans="1:11" ht="45" x14ac:dyDescent="0.2">
      <c r="A7321" s="1" t="s">
        <v>2004</v>
      </c>
      <c r="B7321" s="1" t="s">
        <v>2188</v>
      </c>
      <c r="C7321" s="1" t="str">
        <f>"67950194811661"</f>
        <v>67950194811661</v>
      </c>
      <c r="D7321" s="1" t="str">
        <f>"P-KT3N18-01"</f>
        <v>P-KT3N18-01</v>
      </c>
      <c r="E7321" s="1" t="s">
        <v>4566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</row>
    <row r="7322" spans="1:11" ht="30" x14ac:dyDescent="0.2">
      <c r="A7322" s="1" t="s">
        <v>2004</v>
      </c>
      <c r="B7322" s="1" t="s">
        <v>2189</v>
      </c>
      <c r="C7322" s="1" t="str">
        <f>"67950194860095"</f>
        <v>67950194860095</v>
      </c>
      <c r="D7322" s="1" t="str">
        <f>"R-KT1SM11-01"</f>
        <v>R-KT1SM11-01</v>
      </c>
      <c r="E7322" s="1" t="s">
        <v>4566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</row>
    <row r="7323" spans="1:11" ht="30" x14ac:dyDescent="0.2">
      <c r="A7323" s="1" t="s">
        <v>2004</v>
      </c>
      <c r="B7323" s="1" t="s">
        <v>2190</v>
      </c>
      <c r="C7323" s="1" t="str">
        <f>"67950194773163"</f>
        <v>67950194773163</v>
      </c>
      <c r="D7323" s="1" t="str">
        <f>"P-KT12E13-01"</f>
        <v>P-KT12E13-01</v>
      </c>
      <c r="E7323" s="1" t="s">
        <v>4566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</row>
    <row r="7324" spans="1:11" x14ac:dyDescent="0.2">
      <c r="A7324" s="1" t="s">
        <v>2004</v>
      </c>
      <c r="B7324" s="1" t="s">
        <v>2191</v>
      </c>
      <c r="C7324" s="1" t="str">
        <f>"67950194872239"</f>
        <v>67950194872239</v>
      </c>
      <c r="D7324" s="1" t="str">
        <f>"P-Y3S15-01"</f>
        <v>P-Y3S15-01</v>
      </c>
      <c r="E7324" s="1" t="s">
        <v>4566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</row>
    <row r="7325" spans="1:11" ht="30" x14ac:dyDescent="0.2">
      <c r="A7325" s="1" t="s">
        <v>2004</v>
      </c>
      <c r="B7325" s="1" t="s">
        <v>2192</v>
      </c>
      <c r="C7325" s="1" t="str">
        <f>"67950194164490"</f>
        <v>67950194164490</v>
      </c>
      <c r="D7325" s="1" t="str">
        <f>"P-BJ4N22-01"</f>
        <v>P-BJ4N22-01</v>
      </c>
      <c r="E7325" s="1" t="s">
        <v>4566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</row>
    <row r="7326" spans="1:11" ht="30" x14ac:dyDescent="0.2">
      <c r="A7326" s="1" t="s">
        <v>2004</v>
      </c>
      <c r="B7326" s="1" t="s">
        <v>2193</v>
      </c>
      <c r="C7326" s="1" t="str">
        <f>"67950194873809"</f>
        <v>67950194873809</v>
      </c>
      <c r="D7326" s="1" t="str">
        <f>"R-RE4N19-01"</f>
        <v>R-RE4N19-01</v>
      </c>
      <c r="E7326" s="1" t="s">
        <v>4566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</row>
    <row r="7327" spans="1:11" ht="30" x14ac:dyDescent="0.2">
      <c r="A7327" s="1" t="s">
        <v>2004</v>
      </c>
      <c r="B7327" s="1" t="s">
        <v>2194</v>
      </c>
      <c r="C7327" s="1" t="str">
        <f>"67950194914910"</f>
        <v>67950194914910</v>
      </c>
      <c r="D7327" s="1" t="str">
        <f>"R-RE65N18-01"</f>
        <v>R-RE65N18-01</v>
      </c>
      <c r="E7327" s="1" t="s">
        <v>4566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</row>
    <row r="7328" spans="1:11" x14ac:dyDescent="0.2">
      <c r="A7328" s="1" t="s">
        <v>2004</v>
      </c>
      <c r="B7328" s="1" t="s">
        <v>2195</v>
      </c>
      <c r="C7328" s="1" t="str">
        <f>"67950195059366"</f>
        <v>67950195059366</v>
      </c>
      <c r="D7328" s="1" t="str">
        <f>"P-S6S06-01"</f>
        <v>P-S6S06-01</v>
      </c>
      <c r="E7328" s="1" t="s">
        <v>4566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</row>
    <row r="7329" spans="1:11" ht="30" x14ac:dyDescent="0.2">
      <c r="A7329" s="1" t="s">
        <v>2004</v>
      </c>
      <c r="B7329" s="1" t="s">
        <v>2196</v>
      </c>
      <c r="C7329" s="1" t="str">
        <f>"67950194969736"</f>
        <v>67950194969736</v>
      </c>
      <c r="D7329" s="1" t="str">
        <f>"P-S10S17-01"</f>
        <v>P-S10S17-01</v>
      </c>
      <c r="E7329" s="1" t="s">
        <v>4566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</row>
    <row r="7330" spans="1:11" ht="30" x14ac:dyDescent="0.2">
      <c r="A7330" s="1" t="s">
        <v>2004</v>
      </c>
      <c r="B7330" s="1" t="s">
        <v>2197</v>
      </c>
      <c r="C7330" s="1" t="str">
        <f>"67950194972634"</f>
        <v>67950194972634</v>
      </c>
      <c r="D7330" s="1" t="str">
        <f>"P-S6S11-0R"</f>
        <v>P-S6S11-0R</v>
      </c>
      <c r="E7330" s="1" t="s">
        <v>4566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</row>
    <row r="7331" spans="1:11" ht="30" x14ac:dyDescent="0.2">
      <c r="A7331" s="1" t="s">
        <v>2004</v>
      </c>
      <c r="B7331" s="1" t="s">
        <v>2198</v>
      </c>
      <c r="C7331" s="1" t="str">
        <f>"67950195039636"</f>
        <v>67950195039636</v>
      </c>
      <c r="D7331" s="1" t="str">
        <f>"P-S10S09-0R"</f>
        <v>P-S10S09-0R</v>
      </c>
      <c r="E7331" s="1" t="s">
        <v>4566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</row>
    <row r="7332" spans="1:11" ht="30" x14ac:dyDescent="0.2">
      <c r="A7332" s="1" t="s">
        <v>2004</v>
      </c>
      <c r="B7332" s="1" t="s">
        <v>2199</v>
      </c>
      <c r="C7332" s="1" t="str">
        <f>"67950195080798"</f>
        <v>67950195080798</v>
      </c>
      <c r="D7332" s="1" t="str">
        <f>"P-S10E14-01"</f>
        <v>P-S10E14-01</v>
      </c>
      <c r="E7332" s="1" t="s">
        <v>4566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</row>
    <row r="7333" spans="1:11" ht="30" x14ac:dyDescent="0.2">
      <c r="A7333" s="1" t="s">
        <v>2004</v>
      </c>
      <c r="B7333" s="1" t="s">
        <v>2200</v>
      </c>
      <c r="C7333" s="1" t="str">
        <f>"67950195100653"</f>
        <v>67950195100653</v>
      </c>
      <c r="D7333" s="1" t="str">
        <f>"P-S2N13-01"</f>
        <v>P-S2N13-01</v>
      </c>
      <c r="E7333" s="1" t="s">
        <v>4566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</row>
    <row r="7334" spans="1:11" ht="30" x14ac:dyDescent="0.2">
      <c r="A7334" s="1" t="s">
        <v>2004</v>
      </c>
      <c r="B7334" s="1" t="s">
        <v>2201</v>
      </c>
      <c r="C7334" s="1" t="str">
        <f>"67950195105030"</f>
        <v>67950195105030</v>
      </c>
      <c r="D7334" s="1" t="str">
        <f>"P-S10E03-02"</f>
        <v>P-S10E03-02</v>
      </c>
      <c r="E7334" s="1" t="s">
        <v>4566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</row>
    <row r="7335" spans="1:11" ht="30" x14ac:dyDescent="0.2">
      <c r="A7335" s="1" t="s">
        <v>2004</v>
      </c>
      <c r="B7335" s="1" t="s">
        <v>2202</v>
      </c>
      <c r="C7335" s="1" t="str">
        <f>"67950195126373"</f>
        <v>67950195126373</v>
      </c>
      <c r="D7335" s="1" t="str">
        <f>"P-TR6S13-0R"</f>
        <v>P-TR6S13-0R</v>
      </c>
      <c r="E7335" s="1" t="s">
        <v>4566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</row>
    <row r="7336" spans="1:11" ht="30" x14ac:dyDescent="0.2">
      <c r="A7336" s="1" t="s">
        <v>2004</v>
      </c>
      <c r="B7336" s="1" t="s">
        <v>2203</v>
      </c>
      <c r="C7336" s="1" t="str">
        <f>"67950195153029"</f>
        <v>67950195153029</v>
      </c>
      <c r="D7336" s="1" t="str">
        <f>"P-TR6S06-01"</f>
        <v>P-TR6S06-01</v>
      </c>
      <c r="E7336" s="1" t="s">
        <v>4566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</row>
    <row r="7337" spans="1:11" ht="30" x14ac:dyDescent="0.2">
      <c r="A7337" s="1" t="s">
        <v>2004</v>
      </c>
      <c r="B7337" s="1" t="s">
        <v>2204</v>
      </c>
      <c r="C7337" s="1" t="str">
        <f>"67950195166303"</f>
        <v>67950195166303</v>
      </c>
      <c r="D7337" s="1" t="str">
        <f>"P-TR10N16-01"</f>
        <v>P-TR10N16-01</v>
      </c>
      <c r="E7337" s="1" t="s">
        <v>4566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</row>
    <row r="7338" spans="1:11" ht="30" x14ac:dyDescent="0.2">
      <c r="A7338" s="1" t="s">
        <v>2004</v>
      </c>
      <c r="B7338" s="1" t="s">
        <v>2205</v>
      </c>
      <c r="C7338" s="1" t="str">
        <f>"67950195175014"</f>
        <v>67950195175014</v>
      </c>
      <c r="D7338" s="1" t="str">
        <f>"P-TR7S20-0R"</f>
        <v>P-TR7S20-0R</v>
      </c>
      <c r="E7338" s="1" t="s">
        <v>4566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</row>
    <row r="7339" spans="1:11" ht="30" x14ac:dyDescent="0.2">
      <c r="A7339" s="1" t="s">
        <v>2004</v>
      </c>
      <c r="B7339" s="1" t="s">
        <v>2206</v>
      </c>
      <c r="C7339" s="1" t="str">
        <f>"67950195231410"</f>
        <v>67950195231410</v>
      </c>
      <c r="D7339" s="1" t="str">
        <f>"P-TR12E12-01"</f>
        <v>P-TR12E12-01</v>
      </c>
      <c r="E7339" s="1" t="s">
        <v>4566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</row>
    <row r="7340" spans="1:11" x14ac:dyDescent="0.2">
      <c r="A7340" s="1" t="s">
        <v>2004</v>
      </c>
      <c r="B7340" s="1" t="s">
        <v>2207</v>
      </c>
      <c r="C7340" s="1" t="str">
        <f>"67950195204875"</f>
        <v>67950195204875</v>
      </c>
      <c r="D7340" s="1" t="str">
        <f>"P-TR8N11-01"</f>
        <v>P-TR8N11-01</v>
      </c>
      <c r="E7340" s="1" t="s">
        <v>4566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</row>
    <row r="7341" spans="1:11" ht="30" x14ac:dyDescent="0.2">
      <c r="A7341" s="1" t="s">
        <v>2004</v>
      </c>
      <c r="B7341" s="1" t="s">
        <v>2208</v>
      </c>
      <c r="C7341" s="1" t="str">
        <f>"67950195213220"</f>
        <v>67950195213220</v>
      </c>
      <c r="D7341" s="1" t="str">
        <f>"P-TR9E20-01"</f>
        <v>P-TR9E20-01</v>
      </c>
      <c r="E7341" s="1" t="s">
        <v>4566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</row>
    <row r="7342" spans="1:11" ht="30" x14ac:dyDescent="0.2">
      <c r="A7342" s="1" t="s">
        <v>2004</v>
      </c>
      <c r="B7342" s="1" t="s">
        <v>2209</v>
      </c>
      <c r="C7342" s="1" t="str">
        <f>"67950195238713"</f>
        <v>67950195238713</v>
      </c>
      <c r="D7342" s="1" t="str">
        <f>"P-TR6N21-01"</f>
        <v>P-TR6N21-01</v>
      </c>
      <c r="E7342" s="1" t="s">
        <v>4566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</row>
    <row r="7343" spans="1:11" x14ac:dyDescent="0.2">
      <c r="A7343" s="1" t="s">
        <v>2004</v>
      </c>
      <c r="B7343" s="1" t="s">
        <v>2210</v>
      </c>
      <c r="C7343" s="1" t="str">
        <f>"67950195266379"</f>
        <v>67950195266379</v>
      </c>
      <c r="D7343" s="1" t="str">
        <f>"R-Y7N14-01"</f>
        <v>R-Y7N14-01</v>
      </c>
      <c r="E7343" s="1" t="s">
        <v>4566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</row>
    <row r="7344" spans="1:11" x14ac:dyDescent="0.2">
      <c r="A7344" s="1" t="s">
        <v>2004</v>
      </c>
      <c r="B7344" s="1" t="s">
        <v>2211</v>
      </c>
      <c r="C7344" s="1" t="str">
        <f>"67950195296729"</f>
        <v>67950195296729</v>
      </c>
      <c r="D7344" s="1" t="str">
        <f>"P-Y8N14-01"</f>
        <v>P-Y8N14-01</v>
      </c>
      <c r="E7344" s="1" t="s">
        <v>4566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</row>
    <row r="7345" spans="1:11" ht="30" x14ac:dyDescent="0.2">
      <c r="A7345" s="1" t="s">
        <v>2004</v>
      </c>
      <c r="B7345" s="1" t="s">
        <v>2212</v>
      </c>
      <c r="C7345" s="1" t="str">
        <f>"67950195299452"</f>
        <v>67950195299452</v>
      </c>
      <c r="D7345" s="1" t="str">
        <f>"P-Y6N09-01"</f>
        <v>P-Y6N09-01</v>
      </c>
      <c r="E7345" s="1" t="s">
        <v>4566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</row>
    <row r="7346" spans="1:11" x14ac:dyDescent="0.2">
      <c r="A7346" s="1" t="s">
        <v>2004</v>
      </c>
      <c r="B7346" s="1" t="s">
        <v>2213</v>
      </c>
      <c r="C7346" s="1" t="str">
        <f>"67950195306359"</f>
        <v>67950195306359</v>
      </c>
      <c r="D7346" s="1" t="str">
        <f>"P-Y12E10-01"</f>
        <v>P-Y12E10-01</v>
      </c>
      <c r="E7346" s="1" t="s">
        <v>4566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</row>
    <row r="7347" spans="1:11" ht="30" x14ac:dyDescent="0.2">
      <c r="A7347" s="1" t="s">
        <v>2004</v>
      </c>
      <c r="B7347" s="1" t="s">
        <v>2214</v>
      </c>
      <c r="C7347" s="1" t="str">
        <f>"67950195339841"</f>
        <v>67950195339841</v>
      </c>
      <c r="D7347" s="1" t="str">
        <f>"P-Y10S09-0R"</f>
        <v>P-Y10S09-0R</v>
      </c>
      <c r="E7347" s="1" t="s">
        <v>4566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</row>
    <row r="7348" spans="1:11" ht="30" x14ac:dyDescent="0.2">
      <c r="A7348" s="1" t="s">
        <v>2004</v>
      </c>
      <c r="B7348" s="1" t="s">
        <v>2215</v>
      </c>
      <c r="C7348" s="1" t="str">
        <f>"67950195361385"</f>
        <v>67950195361385</v>
      </c>
      <c r="D7348" s="1" t="str">
        <f>"P-Y10S15-0R"</f>
        <v>P-Y10S15-0R</v>
      </c>
      <c r="E7348" s="1" t="s">
        <v>4566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</row>
    <row r="7349" spans="1:11" ht="30" x14ac:dyDescent="0.2">
      <c r="A7349" s="1" t="s">
        <v>2004</v>
      </c>
      <c r="B7349" s="1" t="s">
        <v>2216</v>
      </c>
      <c r="C7349" s="1" t="str">
        <f>"67950195362979"</f>
        <v>67950195362979</v>
      </c>
      <c r="D7349" s="1" t="str">
        <f>"P-Y1S09-01"</f>
        <v>P-Y1S09-01</v>
      </c>
      <c r="E7349" s="1" t="s">
        <v>4566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</row>
    <row r="7350" spans="1:11" x14ac:dyDescent="0.2">
      <c r="A7350" s="1" t="s">
        <v>2004</v>
      </c>
      <c r="B7350" s="1" t="s">
        <v>2217</v>
      </c>
      <c r="C7350" s="1" t="str">
        <f>"67950195369479"</f>
        <v>67950195369479</v>
      </c>
      <c r="D7350" s="1" t="str">
        <f>"P-Y6S08-0R"</f>
        <v>P-Y6S08-0R</v>
      </c>
      <c r="E7350" s="1" t="s">
        <v>4566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</row>
    <row r="7351" spans="1:11" x14ac:dyDescent="0.2">
      <c r="A7351" s="1" t="s">
        <v>2218</v>
      </c>
      <c r="B7351" s="1" t="s">
        <v>2219</v>
      </c>
      <c r="C7351" s="1" t="str">
        <f>"K353147500"</f>
        <v>K353147500</v>
      </c>
      <c r="D7351" s="1" t="str">
        <f>"K353147500"</f>
        <v>K353147500</v>
      </c>
      <c r="E7351" s="1" t="s">
        <v>4566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</row>
    <row r="7352" spans="1:11" x14ac:dyDescent="0.2">
      <c r="A7352" s="1" t="s">
        <v>2218</v>
      </c>
      <c r="B7352" s="1" t="s">
        <v>2220</v>
      </c>
      <c r="C7352" s="1" t="str">
        <f>"66298887872029"</f>
        <v>66298887872029</v>
      </c>
      <c r="D7352" s="1" t="str">
        <f>"83254"</f>
        <v>83254</v>
      </c>
      <c r="E7352" s="1" t="s">
        <v>4566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</row>
    <row r="7353" spans="1:11" x14ac:dyDescent="0.2">
      <c r="A7353" s="1" t="s">
        <v>2218</v>
      </c>
      <c r="B7353" s="1" t="s">
        <v>2221</v>
      </c>
      <c r="C7353" s="1" t="str">
        <f>"66298887911756"</f>
        <v>66298887911756</v>
      </c>
      <c r="D7353" s="1" t="str">
        <f>"400682"</f>
        <v>400682</v>
      </c>
      <c r="E7353" s="1" t="s">
        <v>4566</v>
      </c>
      <c r="F7353" s="1">
        <v>50</v>
      </c>
      <c r="G7353" s="1">
        <v>849</v>
      </c>
      <c r="H7353" s="1">
        <v>42450</v>
      </c>
      <c r="I7353" s="1">
        <v>0</v>
      </c>
      <c r="J7353" s="1">
        <v>50</v>
      </c>
      <c r="K7353" s="1">
        <v>0</v>
      </c>
    </row>
    <row r="7354" spans="1:11" x14ac:dyDescent="0.2">
      <c r="A7354" s="1" t="s">
        <v>2218</v>
      </c>
      <c r="B7354" s="1" t="s">
        <v>2222</v>
      </c>
      <c r="C7354" s="1" t="str">
        <f>"66298887989000"</f>
        <v>66298887989000</v>
      </c>
      <c r="D7354" s="1" t="str">
        <f>"B065"</f>
        <v>B065</v>
      </c>
      <c r="E7354" s="1" t="s">
        <v>4566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</row>
    <row r="7355" spans="1:11" x14ac:dyDescent="0.2">
      <c r="A7355" s="1" t="s">
        <v>2218</v>
      </c>
      <c r="B7355" s="1" t="s">
        <v>2223</v>
      </c>
      <c r="C7355" s="1" t="str">
        <f>"66298888028385"</f>
        <v>66298888028385</v>
      </c>
      <c r="D7355" s="1" t="str">
        <f>"400033"</f>
        <v>400033</v>
      </c>
      <c r="E7355" s="1" t="s">
        <v>4566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</row>
    <row r="7356" spans="1:11" x14ac:dyDescent="0.2">
      <c r="A7356" s="1" t="s">
        <v>2218</v>
      </c>
      <c r="B7356" s="1" t="s">
        <v>2224</v>
      </c>
      <c r="C7356" s="1" t="str">
        <f>"FL-UNIV-LED"</f>
        <v>FL-UNIV-LED</v>
      </c>
      <c r="D7356" s="1" t="str">
        <f>"FL-UNIV-LED"</f>
        <v>FL-UNIV-LED</v>
      </c>
      <c r="E7356" s="1" t="s">
        <v>4566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</row>
    <row r="7357" spans="1:11" x14ac:dyDescent="0.2">
      <c r="A7357" s="1" t="s">
        <v>2218</v>
      </c>
      <c r="B7357" s="1" t="s">
        <v>2225</v>
      </c>
      <c r="C7357" s="1" t="str">
        <f>"66298887951737"</f>
        <v>66298887951737</v>
      </c>
      <c r="D7357" s="1" t="str">
        <f>"FL-UNIV"</f>
        <v>FL-UNIV</v>
      </c>
      <c r="E7357" s="1" t="s">
        <v>4566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</row>
    <row r="7358" spans="1:11" x14ac:dyDescent="0.2">
      <c r="A7358" s="1" t="s">
        <v>2218</v>
      </c>
      <c r="B7358" s="1" t="s">
        <v>2225</v>
      </c>
      <c r="C7358" s="1" t="str">
        <f>"H002"</f>
        <v>H002</v>
      </c>
      <c r="D7358" s="1" t="str">
        <f>"H002"</f>
        <v>H002</v>
      </c>
      <c r="E7358" s="1" t="s">
        <v>4566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</row>
    <row r="7359" spans="1:11" x14ac:dyDescent="0.2">
      <c r="A7359" s="1" t="s">
        <v>2218</v>
      </c>
      <c r="B7359" s="1" t="s">
        <v>2226</v>
      </c>
      <c r="C7359" s="1" t="str">
        <f>"66298888071485"</f>
        <v>66298888071485</v>
      </c>
      <c r="D7359" s="1" t="str">
        <f>"82239"</f>
        <v>82239</v>
      </c>
      <c r="E7359" s="1" t="s">
        <v>4566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</row>
    <row r="7360" spans="1:11" x14ac:dyDescent="0.2">
      <c r="A7360" s="1" t="s">
        <v>2218</v>
      </c>
      <c r="B7360" s="1" t="s">
        <v>2227</v>
      </c>
      <c r="C7360" s="1" t="str">
        <f>"66298888116460"</f>
        <v>66298888116460</v>
      </c>
      <c r="D7360" s="1" t="str">
        <f>"82820"</f>
        <v>82820</v>
      </c>
      <c r="E7360" s="1" t="s">
        <v>4566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</row>
    <row r="7361" spans="1:11" x14ac:dyDescent="0.2">
      <c r="A7361" s="1" t="s">
        <v>2218</v>
      </c>
      <c r="B7361" s="1" t="s">
        <v>2228</v>
      </c>
      <c r="C7361" s="1" t="str">
        <f>"66298888156149"</f>
        <v>66298888156149</v>
      </c>
      <c r="D7361" s="1" t="str">
        <f>"DS-2010-25"</f>
        <v>DS-2010-25</v>
      </c>
      <c r="E7361" s="1" t="s">
        <v>4566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</row>
    <row r="7362" spans="1:11" x14ac:dyDescent="0.2">
      <c r="A7362" s="1" t="s">
        <v>1213</v>
      </c>
      <c r="B7362" s="1" t="s">
        <v>2229</v>
      </c>
      <c r="C7362" s="1" t="str">
        <f>"66298888196827"</f>
        <v>66298888196827</v>
      </c>
      <c r="D7362" s="1" t="str">
        <f>"BF011"</f>
        <v>BF011</v>
      </c>
      <c r="E7362" s="1" t="s">
        <v>4566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</row>
    <row r="7363" spans="1:11" x14ac:dyDescent="0.2">
      <c r="A7363" s="1" t="s">
        <v>2230</v>
      </c>
      <c r="B7363" s="1" t="s">
        <v>2231</v>
      </c>
      <c r="C7363" s="1" t="str">
        <f>"BF008"</f>
        <v>BF008</v>
      </c>
      <c r="D7363" s="1" t="str">
        <f>"BF008"</f>
        <v>BF008</v>
      </c>
      <c r="E7363" s="1" t="s">
        <v>4566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</row>
    <row r="7364" spans="1:11" x14ac:dyDescent="0.2">
      <c r="A7364" s="1" t="s">
        <v>2230</v>
      </c>
      <c r="B7364" s="1" t="s">
        <v>2232</v>
      </c>
      <c r="C7364" s="1" t="str">
        <f>"BF007"</f>
        <v>BF007</v>
      </c>
      <c r="D7364" s="1" t="str">
        <f>"BF007"</f>
        <v>BF007</v>
      </c>
      <c r="E7364" s="1" t="s">
        <v>4566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</row>
    <row r="7365" spans="1:11" x14ac:dyDescent="0.2">
      <c r="A7365" s="1" t="s">
        <v>243</v>
      </c>
      <c r="B7365" s="1" t="s">
        <v>2233</v>
      </c>
      <c r="C7365" s="1" t="str">
        <f>"12273"</f>
        <v>12273</v>
      </c>
      <c r="D7365" s="1" t="str">
        <f>"12273"</f>
        <v>12273</v>
      </c>
      <c r="E7365" s="1" t="s">
        <v>4566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</row>
    <row r="7366" spans="1:11" x14ac:dyDescent="0.2">
      <c r="A7366" s="1" t="s">
        <v>2234</v>
      </c>
      <c r="B7366" s="1" t="s">
        <v>2235</v>
      </c>
      <c r="C7366" s="1" t="str">
        <f>"A209"</f>
        <v>A209</v>
      </c>
      <c r="D7366" s="1" t="str">
        <f>"A209"</f>
        <v>A209</v>
      </c>
      <c r="E7366" s="1" t="s">
        <v>4566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</row>
    <row r="7367" spans="1:11" x14ac:dyDescent="0.2">
      <c r="A7367" s="1" t="s">
        <v>1948</v>
      </c>
      <c r="B7367" s="1" t="s">
        <v>2236</v>
      </c>
      <c r="C7367" s="1" t="str">
        <f>"66298888236802"</f>
        <v>66298888236802</v>
      </c>
      <c r="D7367" s="1" t="str">
        <f>"84888"</f>
        <v>84888</v>
      </c>
      <c r="E7367" s="1" t="s">
        <v>4566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</row>
    <row r="7368" spans="1:11" x14ac:dyDescent="0.2">
      <c r="A7368" s="1" t="s">
        <v>15</v>
      </c>
      <c r="B7368" s="1" t="s">
        <v>2237</v>
      </c>
      <c r="C7368" s="1" t="str">
        <f>"11936"</f>
        <v>11936</v>
      </c>
      <c r="D7368" s="1" t="str">
        <f>"11936"</f>
        <v>11936</v>
      </c>
      <c r="E7368" s="1" t="s">
        <v>4566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1</v>
      </c>
    </row>
    <row r="7369" spans="1:11" x14ac:dyDescent="0.2">
      <c r="A7369" s="1" t="s">
        <v>15</v>
      </c>
      <c r="B7369" s="1" t="s">
        <v>2238</v>
      </c>
      <c r="C7369" s="1" t="str">
        <f>"11607"</f>
        <v>11607</v>
      </c>
      <c r="D7369" s="1" t="str">
        <f>"11607"</f>
        <v>11607</v>
      </c>
      <c r="E7369" s="1" t="s">
        <v>4566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</row>
    <row r="7370" spans="1:11" x14ac:dyDescent="0.2">
      <c r="A7370" s="1" t="s">
        <v>18</v>
      </c>
      <c r="B7370" s="1" t="s">
        <v>2239</v>
      </c>
      <c r="C7370" s="1" t="str">
        <f>"66298888321874"</f>
        <v>66298888321874</v>
      </c>
      <c r="D7370" s="1" t="str">
        <f>"0489"</f>
        <v>0489</v>
      </c>
      <c r="E7370" s="1" t="s">
        <v>4566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</row>
    <row r="7371" spans="1:11" ht="30" x14ac:dyDescent="0.2">
      <c r="A7371" s="1" t="s">
        <v>18</v>
      </c>
      <c r="B7371" s="1" t="s">
        <v>2240</v>
      </c>
      <c r="C7371" s="1" t="str">
        <f>"RC028-AZUL"</f>
        <v>RC028-AZUL</v>
      </c>
      <c r="D7371" s="1" t="str">
        <f>"RC028-AZUL"</f>
        <v>RC028-AZUL</v>
      </c>
      <c r="E7371" s="1" t="s">
        <v>4566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</row>
    <row r="7372" spans="1:11" ht="30" x14ac:dyDescent="0.2">
      <c r="A7372" s="1" t="s">
        <v>18</v>
      </c>
      <c r="B7372" s="1" t="s">
        <v>2241</v>
      </c>
      <c r="C7372" s="1" t="str">
        <f>"RC028-DORADO"</f>
        <v>RC028-DORADO</v>
      </c>
      <c r="D7372" s="1" t="str">
        <f>"RC028-DORADO"</f>
        <v>RC028-DORADO</v>
      </c>
      <c r="E7372" s="1" t="s">
        <v>4566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</row>
    <row r="7373" spans="1:11" ht="30" x14ac:dyDescent="0.2">
      <c r="A7373" s="1" t="s">
        <v>18</v>
      </c>
      <c r="B7373" s="1" t="s">
        <v>2242</v>
      </c>
      <c r="C7373" s="1" t="str">
        <f>"RC028-PLATEADO"</f>
        <v>RC028-PLATEADO</v>
      </c>
      <c r="D7373" s="1" t="str">
        <f>"RC028-PLATEADO"</f>
        <v>RC028-PLATEADO</v>
      </c>
      <c r="E7373" s="1" t="s">
        <v>4566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</row>
    <row r="7374" spans="1:11" ht="30" x14ac:dyDescent="0.2">
      <c r="A7374" s="1" t="s">
        <v>18</v>
      </c>
      <c r="B7374" s="1" t="s">
        <v>2243</v>
      </c>
      <c r="C7374" s="1" t="str">
        <f>"RC028-ROJO"</f>
        <v>RC028-ROJO</v>
      </c>
      <c r="D7374" s="1" t="str">
        <f>"RC028-ROJO"</f>
        <v>RC028-ROJO</v>
      </c>
      <c r="E7374" s="1" t="s">
        <v>4566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</row>
    <row r="7375" spans="1:11" x14ac:dyDescent="0.2">
      <c r="A7375" s="1" t="s">
        <v>18</v>
      </c>
      <c r="B7375" s="1" t="s">
        <v>2244</v>
      </c>
      <c r="C7375" s="1" t="str">
        <f>"66298888281286"</f>
        <v>66298888281286</v>
      </c>
      <c r="D7375" s="1" t="str">
        <f>"RC061"</f>
        <v>RC061</v>
      </c>
      <c r="E7375" s="1" t="s">
        <v>4566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</row>
    <row r="7376" spans="1:11" x14ac:dyDescent="0.2">
      <c r="A7376" s="1" t="s">
        <v>18</v>
      </c>
      <c r="B7376" s="1" t="s">
        <v>2245</v>
      </c>
      <c r="C7376" s="1" t="str">
        <f>"810"</f>
        <v>810</v>
      </c>
      <c r="D7376" s="1" t="str">
        <f>"810"</f>
        <v>810</v>
      </c>
      <c r="E7376" s="1" t="s">
        <v>4566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</row>
    <row r="7377" spans="1:11" x14ac:dyDescent="0.2">
      <c r="A7377" s="1" t="s">
        <v>18</v>
      </c>
      <c r="B7377" s="1" t="s">
        <v>2245</v>
      </c>
      <c r="C7377" s="1" t="str">
        <f>"10822"</f>
        <v>10822</v>
      </c>
      <c r="D7377" s="1" t="str">
        <f>"10822"</f>
        <v>10822</v>
      </c>
      <c r="E7377" s="1" t="s">
        <v>4566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</row>
    <row r="7378" spans="1:11" x14ac:dyDescent="0.2">
      <c r="A7378" s="1" t="s">
        <v>18</v>
      </c>
      <c r="B7378" s="1" t="s">
        <v>2245</v>
      </c>
      <c r="C7378" s="1" t="str">
        <f>"15794"</f>
        <v>15794</v>
      </c>
      <c r="D7378" s="1" t="str">
        <f>"15794"</f>
        <v>15794</v>
      </c>
      <c r="E7378" s="1" t="s">
        <v>4566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</row>
    <row r="7379" spans="1:11" x14ac:dyDescent="0.2">
      <c r="A7379" s="1" t="s">
        <v>2246</v>
      </c>
      <c r="B7379" s="1" t="s">
        <v>2247</v>
      </c>
      <c r="C7379" s="1" t="str">
        <f>"66298888407412"</f>
        <v>66298888407412</v>
      </c>
      <c r="D7379" s="1" t="str">
        <f>"DM-F-00019"</f>
        <v>DM-F-00019</v>
      </c>
      <c r="E7379" s="1" t="s">
        <v>4566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</row>
    <row r="7380" spans="1:11" x14ac:dyDescent="0.2">
      <c r="A7380" s="1" t="s">
        <v>2246</v>
      </c>
      <c r="B7380" s="1" t="s">
        <v>2248</v>
      </c>
      <c r="C7380" s="1" t="str">
        <f>"66298888449922"</f>
        <v>66298888449922</v>
      </c>
      <c r="D7380" s="1" t="str">
        <f>"DM-F-00005"</f>
        <v>DM-F-00005</v>
      </c>
      <c r="E7380" s="1" t="s">
        <v>4566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</row>
    <row r="7381" spans="1:11" x14ac:dyDescent="0.2">
      <c r="A7381" s="1" t="s">
        <v>2246</v>
      </c>
      <c r="B7381" s="1" t="s">
        <v>2249</v>
      </c>
      <c r="C7381" s="1" t="str">
        <f>"66298888527964"</f>
        <v>66298888527964</v>
      </c>
      <c r="D7381" s="1" t="str">
        <f>"33120-K52-901GH"</f>
        <v>33120-K52-901GH</v>
      </c>
      <c r="E7381" s="1" t="s">
        <v>4566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</row>
    <row r="7382" spans="1:11" x14ac:dyDescent="0.2">
      <c r="A7382" s="1" t="s">
        <v>2246</v>
      </c>
      <c r="B7382" s="1" t="s">
        <v>2250</v>
      </c>
      <c r="C7382" s="1" t="str">
        <f>"P055"</f>
        <v>P055</v>
      </c>
      <c r="D7382" s="1" t="str">
        <f>"P055"</f>
        <v>P055</v>
      </c>
      <c r="E7382" s="1" t="s">
        <v>4566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</row>
    <row r="7383" spans="1:11" x14ac:dyDescent="0.2">
      <c r="A7383" s="1" t="s">
        <v>2246</v>
      </c>
      <c r="B7383" s="1" t="s">
        <v>2251</v>
      </c>
      <c r="C7383" s="1" t="str">
        <f>"66298888570151"</f>
        <v>66298888570151</v>
      </c>
      <c r="D7383" s="1" t="str">
        <f>"85124"</f>
        <v>85124</v>
      </c>
      <c r="E7383" s="1" t="s">
        <v>4566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</row>
    <row r="7384" spans="1:11" x14ac:dyDescent="0.2">
      <c r="A7384" s="1" t="s">
        <v>2246</v>
      </c>
      <c r="B7384" s="1" t="s">
        <v>2251</v>
      </c>
      <c r="C7384" s="1" t="str">
        <f>"66298888576322"</f>
        <v>66298888576322</v>
      </c>
      <c r="D7384" s="1" t="str">
        <f>"P038"</f>
        <v>P038</v>
      </c>
      <c r="E7384" s="1" t="s">
        <v>4566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</row>
    <row r="7385" spans="1:11" x14ac:dyDescent="0.2">
      <c r="A7385" s="1" t="s">
        <v>2246</v>
      </c>
      <c r="B7385" s="1" t="s">
        <v>2252</v>
      </c>
      <c r="C7385" s="1" t="str">
        <f>"66298888789411"</f>
        <v>66298888789411</v>
      </c>
      <c r="D7385" s="1" t="str">
        <f>"P044"</f>
        <v>P044</v>
      </c>
      <c r="E7385" s="1" t="s">
        <v>4566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</row>
    <row r="7386" spans="1:11" x14ac:dyDescent="0.2">
      <c r="A7386" s="1" t="s">
        <v>2246</v>
      </c>
      <c r="B7386" s="1" t="s">
        <v>2253</v>
      </c>
      <c r="C7386" s="1" t="str">
        <f>"66298888488761"</f>
        <v>66298888488761</v>
      </c>
      <c r="D7386" s="1" t="str">
        <f>"P037"</f>
        <v>P037</v>
      </c>
      <c r="E7386" s="1" t="s">
        <v>4566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</row>
    <row r="7387" spans="1:11" x14ac:dyDescent="0.2">
      <c r="A7387" s="1" t="s">
        <v>2246</v>
      </c>
      <c r="B7387" s="1" t="s">
        <v>2254</v>
      </c>
      <c r="C7387" s="1" t="str">
        <f>"7838-NEGRO"</f>
        <v>7838-NEGRO</v>
      </c>
      <c r="D7387" s="1" t="str">
        <f>"7838-NEGRO"</f>
        <v>7838-NEGRO</v>
      </c>
      <c r="E7387" s="1" t="s">
        <v>4566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</row>
    <row r="7388" spans="1:11" x14ac:dyDescent="0.2">
      <c r="A7388" s="1" t="s">
        <v>2246</v>
      </c>
      <c r="B7388" s="1" t="s">
        <v>2255</v>
      </c>
      <c r="C7388" s="1" t="str">
        <f>"66298888663811"</f>
        <v>66298888663811</v>
      </c>
      <c r="D7388" s="1" t="str">
        <f>"P024"</f>
        <v>P024</v>
      </c>
      <c r="E7388" s="1" t="s">
        <v>4566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</row>
    <row r="7389" spans="1:11" x14ac:dyDescent="0.2">
      <c r="A7389" s="1" t="s">
        <v>2246</v>
      </c>
      <c r="B7389" s="1" t="s">
        <v>2256</v>
      </c>
      <c r="C7389" s="1" t="str">
        <f>"66298888708994"</f>
        <v>66298888708994</v>
      </c>
      <c r="D7389" s="1" t="str">
        <f>"P023"</f>
        <v>P023</v>
      </c>
      <c r="E7389" s="1" t="s">
        <v>4566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</row>
    <row r="7390" spans="1:11" x14ac:dyDescent="0.2">
      <c r="A7390" s="1" t="s">
        <v>2246</v>
      </c>
      <c r="B7390" s="1" t="s">
        <v>2257</v>
      </c>
      <c r="C7390" s="1" t="str">
        <f>"66298888747918"</f>
        <v>66298888747918</v>
      </c>
      <c r="D7390" s="1" t="str">
        <f>"P045"</f>
        <v>P045</v>
      </c>
      <c r="E7390" s="1" t="s">
        <v>4566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</row>
    <row r="7391" spans="1:11" x14ac:dyDescent="0.2">
      <c r="A7391" s="1" t="s">
        <v>2246</v>
      </c>
      <c r="B7391" s="1" t="s">
        <v>2258</v>
      </c>
      <c r="C7391" s="1" t="str">
        <f>"66298888833364"</f>
        <v>66298888833364</v>
      </c>
      <c r="D7391" s="1" t="str">
        <f>"P019"</f>
        <v>P019</v>
      </c>
      <c r="E7391" s="1" t="s">
        <v>4566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</row>
    <row r="7392" spans="1:11" x14ac:dyDescent="0.2">
      <c r="A7392" s="1" t="s">
        <v>2246</v>
      </c>
      <c r="B7392" s="1" t="s">
        <v>2259</v>
      </c>
      <c r="C7392" s="1" t="str">
        <f>"P025"</f>
        <v>P025</v>
      </c>
      <c r="D7392" s="1" t="str">
        <f>"P025"</f>
        <v>P025</v>
      </c>
      <c r="E7392" s="1" t="s">
        <v>4566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</row>
    <row r="7393" spans="1:11" x14ac:dyDescent="0.2">
      <c r="A7393" s="1" t="s">
        <v>2246</v>
      </c>
      <c r="B7393" s="1" t="s">
        <v>2260</v>
      </c>
      <c r="C7393" s="1" t="str">
        <f>"66298888872457"</f>
        <v>66298888872457</v>
      </c>
      <c r="D7393" s="1" t="str">
        <f>"P039"</f>
        <v>P039</v>
      </c>
      <c r="E7393" s="1" t="s">
        <v>4566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</row>
    <row r="7394" spans="1:11" x14ac:dyDescent="0.2">
      <c r="A7394" s="1" t="s">
        <v>2246</v>
      </c>
      <c r="B7394" s="1" t="s">
        <v>2261</v>
      </c>
      <c r="C7394" s="1" t="str">
        <f>"66298888909051"</f>
        <v>66298888909051</v>
      </c>
      <c r="D7394" s="1" t="str">
        <f>"U029"</f>
        <v>U029</v>
      </c>
      <c r="E7394" s="1" t="s">
        <v>4566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</row>
    <row r="7395" spans="1:11" x14ac:dyDescent="0.2">
      <c r="A7395" s="1" t="s">
        <v>2246</v>
      </c>
      <c r="B7395" s="1" t="s">
        <v>2262</v>
      </c>
      <c r="C7395" s="1" t="str">
        <f>"P022"</f>
        <v>P022</v>
      </c>
      <c r="D7395" s="1" t="str">
        <f>"P022"</f>
        <v>P022</v>
      </c>
      <c r="E7395" s="1" t="s">
        <v>4566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</row>
    <row r="7396" spans="1:11" x14ac:dyDescent="0.2">
      <c r="A7396" s="1" t="s">
        <v>2246</v>
      </c>
      <c r="B7396" s="1" t="s">
        <v>2263</v>
      </c>
      <c r="C7396" s="1" t="str">
        <f>"7804-ROJO"</f>
        <v>7804-ROJO</v>
      </c>
      <c r="D7396" s="1" t="str">
        <f>"7804-ROJO"</f>
        <v>7804-ROJO</v>
      </c>
      <c r="E7396" s="1" t="s">
        <v>4566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</row>
    <row r="7397" spans="1:11" x14ac:dyDescent="0.2">
      <c r="A7397" s="1" t="s">
        <v>2246</v>
      </c>
      <c r="B7397" s="1" t="s">
        <v>2264</v>
      </c>
      <c r="C7397" s="1" t="str">
        <f>"P007"</f>
        <v>P007</v>
      </c>
      <c r="D7397" s="1" t="str">
        <f>"P007"</f>
        <v>P007</v>
      </c>
      <c r="E7397" s="1" t="s">
        <v>4566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</row>
    <row r="7398" spans="1:11" x14ac:dyDescent="0.2">
      <c r="A7398" s="1" t="s">
        <v>2246</v>
      </c>
      <c r="B7398" s="1" t="s">
        <v>2265</v>
      </c>
      <c r="C7398" s="1" t="str">
        <f>"66298888990840"</f>
        <v>66298888990840</v>
      </c>
      <c r="D7398" s="1" t="str">
        <f>"P041"</f>
        <v>P041</v>
      </c>
      <c r="E7398" s="1" t="s">
        <v>4566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</row>
    <row r="7399" spans="1:11" x14ac:dyDescent="0.2">
      <c r="A7399" s="1" t="s">
        <v>2246</v>
      </c>
      <c r="B7399" s="1" t="s">
        <v>2266</v>
      </c>
      <c r="C7399" s="1" t="str">
        <f>"66298888951389"</f>
        <v>66298888951389</v>
      </c>
      <c r="D7399" s="1" t="str">
        <f>"P042"</f>
        <v>P042</v>
      </c>
      <c r="E7399" s="1" t="s">
        <v>4566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</row>
    <row r="7400" spans="1:11" x14ac:dyDescent="0.2">
      <c r="A7400" s="1" t="s">
        <v>2246</v>
      </c>
      <c r="B7400" s="1" t="s">
        <v>2267</v>
      </c>
      <c r="C7400" s="1" t="str">
        <f>"66298889028530"</f>
        <v>66298889028530</v>
      </c>
      <c r="D7400" s="1" t="str">
        <f>"P040"</f>
        <v>P040</v>
      </c>
      <c r="E7400" s="1" t="s">
        <v>4566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</row>
    <row r="7401" spans="1:11" x14ac:dyDescent="0.2">
      <c r="A7401" s="1" t="s">
        <v>2246</v>
      </c>
      <c r="B7401" s="1" t="s">
        <v>2267</v>
      </c>
      <c r="C7401" s="1" t="str">
        <f>"P046"</f>
        <v>P046</v>
      </c>
      <c r="D7401" s="1" t="str">
        <f>"P046"</f>
        <v>P046</v>
      </c>
      <c r="E7401" s="1" t="s">
        <v>4566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</row>
    <row r="7402" spans="1:11" x14ac:dyDescent="0.2">
      <c r="A7402" s="1" t="s">
        <v>2246</v>
      </c>
      <c r="B7402" s="1" t="s">
        <v>2268</v>
      </c>
      <c r="C7402" s="1" t="str">
        <f>"P004"</f>
        <v>P004</v>
      </c>
      <c r="D7402" s="1" t="str">
        <f>"P004"</f>
        <v>P004</v>
      </c>
      <c r="E7402" s="1" t="s">
        <v>4566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</row>
    <row r="7403" spans="1:11" x14ac:dyDescent="0.2">
      <c r="A7403" s="1" t="s">
        <v>2246</v>
      </c>
      <c r="B7403" s="1" t="s">
        <v>2268</v>
      </c>
      <c r="C7403" s="1" t="str">
        <f>"408"</f>
        <v>408</v>
      </c>
      <c r="D7403" s="1" t="str">
        <f>"408"</f>
        <v>408</v>
      </c>
      <c r="E7403" s="1" t="s">
        <v>4566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</row>
    <row r="7404" spans="1:11" x14ac:dyDescent="0.2">
      <c r="A7404" s="1" t="s">
        <v>2246</v>
      </c>
      <c r="B7404" s="1" t="s">
        <v>2269</v>
      </c>
      <c r="C7404" s="1" t="str">
        <f>"66298889069320"</f>
        <v>66298889069320</v>
      </c>
      <c r="D7404" s="1" t="str">
        <f>"P002"</f>
        <v>P002</v>
      </c>
      <c r="E7404" s="1" t="s">
        <v>4566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</row>
    <row r="7405" spans="1:11" x14ac:dyDescent="0.2">
      <c r="A7405" s="1" t="s">
        <v>2246</v>
      </c>
      <c r="B7405" s="1" t="s">
        <v>2270</v>
      </c>
      <c r="C7405" s="1" t="str">
        <f>"66298889114066"</f>
        <v>66298889114066</v>
      </c>
      <c r="D7405" s="1" t="str">
        <f>"P085"</f>
        <v>P085</v>
      </c>
      <c r="E7405" s="1" t="s">
        <v>4566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</row>
    <row r="7406" spans="1:11" x14ac:dyDescent="0.2">
      <c r="A7406" s="1" t="s">
        <v>2246</v>
      </c>
      <c r="B7406" s="1" t="s">
        <v>2271</v>
      </c>
      <c r="C7406" s="1" t="str">
        <f>"35100H2C000H000"</f>
        <v>35100H2C000H000</v>
      </c>
      <c r="D7406" s="1" t="str">
        <f>"35100H2C000H000"</f>
        <v>35100H2C000H000</v>
      </c>
      <c r="E7406" s="1" t="s">
        <v>4566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</row>
    <row r="7407" spans="1:11" x14ac:dyDescent="0.2">
      <c r="A7407" s="1" t="s">
        <v>2246</v>
      </c>
      <c r="B7407" s="1" t="s">
        <v>2272</v>
      </c>
      <c r="C7407" s="1" t="str">
        <f>"P081-NEGRO"</f>
        <v>P081-NEGRO</v>
      </c>
      <c r="D7407" s="1" t="str">
        <f>"P081-NEGRO"</f>
        <v>P081-NEGRO</v>
      </c>
      <c r="E7407" s="1" t="s">
        <v>4566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</row>
    <row r="7408" spans="1:11" x14ac:dyDescent="0.2">
      <c r="A7408" s="1" t="s">
        <v>2246</v>
      </c>
      <c r="B7408" s="1" t="s">
        <v>2273</v>
      </c>
      <c r="C7408" s="1" t="str">
        <f>"66298889154040"</f>
        <v>66298889154040</v>
      </c>
      <c r="D7408" s="1" t="str">
        <f>"E002-2"</f>
        <v>E002-2</v>
      </c>
      <c r="E7408" s="1" t="s">
        <v>4566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</row>
    <row r="7409" spans="1:11" x14ac:dyDescent="0.2">
      <c r="A7409" s="1" t="s">
        <v>2246</v>
      </c>
      <c r="B7409" s="1" t="s">
        <v>2274</v>
      </c>
      <c r="C7409" s="1" t="str">
        <f>"P092-BLANCO"</f>
        <v>P092-BLANCO</v>
      </c>
      <c r="D7409" s="1" t="str">
        <f>"P092-BLANCO"</f>
        <v>P092-BLANCO</v>
      </c>
      <c r="E7409" s="1" t="s">
        <v>4566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</row>
    <row r="7410" spans="1:11" x14ac:dyDescent="0.2">
      <c r="A7410" s="1" t="s">
        <v>2246</v>
      </c>
      <c r="B7410" s="1" t="s">
        <v>2275</v>
      </c>
      <c r="C7410" s="1" t="str">
        <f>"66298889196220"</f>
        <v>66298889196220</v>
      </c>
      <c r="D7410" s="1" t="str">
        <f>"35100H40100H000"</f>
        <v>35100H40100H000</v>
      </c>
      <c r="E7410" s="1" t="s">
        <v>4566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</row>
    <row r="7411" spans="1:11" x14ac:dyDescent="0.2">
      <c r="A7411" s="1" t="s">
        <v>2246</v>
      </c>
      <c r="B7411" s="1" t="s">
        <v>2276</v>
      </c>
      <c r="C7411" s="1" t="str">
        <f>"P003"</f>
        <v>P003</v>
      </c>
      <c r="D7411" s="1" t="str">
        <f>"P003"</f>
        <v>P003</v>
      </c>
      <c r="E7411" s="1" t="s">
        <v>4566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</row>
    <row r="7412" spans="1:11" x14ac:dyDescent="0.2">
      <c r="A7412" s="1" t="s">
        <v>2246</v>
      </c>
      <c r="B7412" s="1" t="s">
        <v>2277</v>
      </c>
      <c r="C7412" s="1" t="str">
        <f>"66298889236102"</f>
        <v>66298889236102</v>
      </c>
      <c r="D7412" s="1" t="str">
        <f>"P074"</f>
        <v>P074</v>
      </c>
      <c r="E7412" s="1" t="s">
        <v>4566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</row>
    <row r="7413" spans="1:11" x14ac:dyDescent="0.2">
      <c r="A7413" s="1" t="s">
        <v>2246</v>
      </c>
      <c r="B7413" s="1" t="s">
        <v>2278</v>
      </c>
      <c r="C7413" s="1" t="str">
        <f>"P047"</f>
        <v>P047</v>
      </c>
      <c r="D7413" s="1" t="str">
        <f>"P047"</f>
        <v>P047</v>
      </c>
      <c r="E7413" s="1" t="s">
        <v>4566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</row>
    <row r="7414" spans="1:11" x14ac:dyDescent="0.2">
      <c r="A7414" s="1" t="s">
        <v>2246</v>
      </c>
      <c r="B7414" s="1" t="s">
        <v>2279</v>
      </c>
      <c r="C7414" s="1" t="str">
        <f>"33100-051-690"</f>
        <v>33100-051-690</v>
      </c>
      <c r="D7414" s="1" t="str">
        <f>"33100-051-690"</f>
        <v>33100-051-690</v>
      </c>
      <c r="E7414" s="1" t="s">
        <v>4566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</row>
    <row r="7415" spans="1:11" x14ac:dyDescent="0.2">
      <c r="A7415" s="1" t="s">
        <v>2246</v>
      </c>
      <c r="B7415" s="1" t="s">
        <v>2280</v>
      </c>
      <c r="C7415" s="1" t="str">
        <f>"66298889280939"</f>
        <v>66298889280939</v>
      </c>
      <c r="D7415" s="1" t="str">
        <f>"P049"</f>
        <v>P049</v>
      </c>
      <c r="E7415" s="1" t="s">
        <v>4566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</row>
    <row r="7416" spans="1:11" x14ac:dyDescent="0.2">
      <c r="A7416" s="1" t="s">
        <v>2246</v>
      </c>
      <c r="B7416" s="1" t="s">
        <v>2281</v>
      </c>
      <c r="C7416" s="1" t="str">
        <f>"P001"</f>
        <v>P001</v>
      </c>
      <c r="D7416" s="1" t="str">
        <f>"P001"</f>
        <v>P001</v>
      </c>
      <c r="E7416" s="1" t="s">
        <v>4566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</row>
    <row r="7417" spans="1:11" x14ac:dyDescent="0.2">
      <c r="A7417" s="1" t="s">
        <v>2246</v>
      </c>
      <c r="B7417" s="1" t="s">
        <v>2282</v>
      </c>
      <c r="C7417" s="1" t="str">
        <f>"FOCO-CR-UNIV"</f>
        <v>FOCO-CR-UNIV</v>
      </c>
      <c r="D7417" s="1" t="str">
        <f>"FOCO-CR-UNIV"</f>
        <v>FOCO-CR-UNIV</v>
      </c>
      <c r="E7417" s="1" t="s">
        <v>4566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</row>
    <row r="7418" spans="1:11" x14ac:dyDescent="0.2">
      <c r="A7418" s="1" t="s">
        <v>2246</v>
      </c>
      <c r="B7418" s="1" t="s">
        <v>2283</v>
      </c>
      <c r="C7418" s="1" t="str">
        <f>"66298889320865"</f>
        <v>66298889320865</v>
      </c>
      <c r="D7418" s="1" t="str">
        <f>"33100-KSH-920"</f>
        <v>33100-KSH-920</v>
      </c>
      <c r="E7418" s="1" t="s">
        <v>4566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</row>
    <row r="7419" spans="1:11" x14ac:dyDescent="0.2">
      <c r="A7419" s="1" t="s">
        <v>2246</v>
      </c>
      <c r="B7419" s="1" t="s">
        <v>2283</v>
      </c>
      <c r="C7419" s="1" t="str">
        <f>"410"</f>
        <v>410</v>
      </c>
      <c r="D7419" s="1" t="str">
        <f>"410"</f>
        <v>410</v>
      </c>
      <c r="E7419" s="1" t="s">
        <v>4566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</row>
    <row r="7420" spans="1:11" x14ac:dyDescent="0.2">
      <c r="A7420" s="1" t="s">
        <v>2246</v>
      </c>
      <c r="B7420" s="1" t="s">
        <v>2284</v>
      </c>
      <c r="C7420" s="1" t="str">
        <f>"66298889357891"</f>
        <v>66298889357891</v>
      </c>
      <c r="D7420" s="1" t="str">
        <f>"P021"</f>
        <v>P021</v>
      </c>
      <c r="E7420" s="1" t="s">
        <v>4566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</row>
    <row r="7421" spans="1:11" x14ac:dyDescent="0.2">
      <c r="A7421" s="1" t="s">
        <v>2246</v>
      </c>
      <c r="B7421" s="1" t="s">
        <v>2285</v>
      </c>
      <c r="C7421" s="1" t="str">
        <f>"66298889396066"</f>
        <v>66298889396066</v>
      </c>
      <c r="D7421" s="1" t="str">
        <f>"P020"</f>
        <v>P020</v>
      </c>
      <c r="E7421" s="1" t="s">
        <v>4566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</row>
    <row r="7422" spans="1:11" x14ac:dyDescent="0.2">
      <c r="A7422" s="1" t="s">
        <v>2246</v>
      </c>
      <c r="B7422" s="1" t="s">
        <v>2286</v>
      </c>
      <c r="C7422" s="1" t="str">
        <f>"12577"</f>
        <v>12577</v>
      </c>
      <c r="D7422" s="1" t="str">
        <f>"12577"</f>
        <v>12577</v>
      </c>
      <c r="E7422" s="1" t="s">
        <v>4566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</row>
    <row r="7423" spans="1:11" x14ac:dyDescent="0.2">
      <c r="A7423" s="1" t="s">
        <v>2246</v>
      </c>
      <c r="B7423" s="1" t="s">
        <v>2287</v>
      </c>
      <c r="C7423" s="1" t="str">
        <f>"66298889445392"</f>
        <v>66298889445392</v>
      </c>
      <c r="D7423" s="1" t="str">
        <f>"P058"</f>
        <v>P058</v>
      </c>
      <c r="E7423" s="1" t="s">
        <v>4566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</row>
    <row r="7424" spans="1:11" x14ac:dyDescent="0.2">
      <c r="A7424" s="1" t="s">
        <v>2246</v>
      </c>
      <c r="B7424" s="1" t="s">
        <v>2288</v>
      </c>
      <c r="C7424" s="1" t="str">
        <f>"11489-AZUL"</f>
        <v>11489-AZUL</v>
      </c>
      <c r="D7424" s="1" t="str">
        <f>"11489-AZUL"</f>
        <v>11489-AZUL</v>
      </c>
      <c r="E7424" s="1" t="s">
        <v>4566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</row>
    <row r="7425" spans="1:11" x14ac:dyDescent="0.2">
      <c r="A7425" s="1" t="s">
        <v>2246</v>
      </c>
      <c r="B7425" s="1" t="s">
        <v>2289</v>
      </c>
      <c r="C7425" s="1" t="str">
        <f>"12085"</f>
        <v>12085</v>
      </c>
      <c r="D7425" s="1" t="str">
        <f>"12085"</f>
        <v>12085</v>
      </c>
      <c r="E7425" s="1" t="s">
        <v>4566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</row>
    <row r="7426" spans="1:11" x14ac:dyDescent="0.2">
      <c r="A7426" s="1" t="s">
        <v>2246</v>
      </c>
      <c r="B7426" s="1" t="s">
        <v>2290</v>
      </c>
      <c r="C7426" s="1" t="str">
        <f>"66298889492265"</f>
        <v>66298889492265</v>
      </c>
      <c r="D7426" s="1" t="str">
        <f>"400063"</f>
        <v>400063</v>
      </c>
      <c r="E7426" s="1" t="s">
        <v>4566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</row>
    <row r="7427" spans="1:11" x14ac:dyDescent="0.2">
      <c r="A7427" s="1" t="s">
        <v>2291</v>
      </c>
      <c r="B7427" s="1" t="s">
        <v>2292</v>
      </c>
      <c r="C7427" s="1" t="str">
        <f>"66298889531005"</f>
        <v>66298889531005</v>
      </c>
      <c r="D7427" s="1" t="str">
        <f>"RF018-DEL/DER"</f>
        <v>RF018-DEL/DER</v>
      </c>
      <c r="E7427" s="1" t="s">
        <v>4566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</row>
    <row r="7428" spans="1:11" x14ac:dyDescent="0.2">
      <c r="A7428" s="1" t="s">
        <v>2291</v>
      </c>
      <c r="B7428" s="1" t="s">
        <v>2293</v>
      </c>
      <c r="C7428" s="1" t="str">
        <f>"66298889568682"</f>
        <v>66298889568682</v>
      </c>
      <c r="D7428" s="1" t="str">
        <f>"RF018-DEL/IZQ"</f>
        <v>RF018-DEL/IZQ</v>
      </c>
      <c r="E7428" s="1" t="s">
        <v>4566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</row>
    <row r="7429" spans="1:11" x14ac:dyDescent="0.2">
      <c r="A7429" s="1" t="s">
        <v>2291</v>
      </c>
      <c r="B7429" s="1" t="s">
        <v>2294</v>
      </c>
      <c r="C7429" s="1" t="str">
        <f>"RF016-DER"</f>
        <v>RF016-DER</v>
      </c>
      <c r="D7429" s="1" t="str">
        <f>"RF016-DER"</f>
        <v>RF016-DER</v>
      </c>
      <c r="E7429" s="1" t="s">
        <v>4566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</row>
    <row r="7430" spans="1:11" x14ac:dyDescent="0.2">
      <c r="A7430" s="1" t="s">
        <v>2291</v>
      </c>
      <c r="B7430" s="1" t="s">
        <v>2294</v>
      </c>
      <c r="C7430" s="1" t="str">
        <f>"RF016-IZQ"</f>
        <v>RF016-IZQ</v>
      </c>
      <c r="D7430" s="1" t="str">
        <f>"RF016-IZQ"</f>
        <v>RF016-IZQ</v>
      </c>
      <c r="E7430" s="1" t="s">
        <v>4566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</row>
    <row r="7431" spans="1:11" ht="30" x14ac:dyDescent="0.2">
      <c r="A7431" s="1" t="s">
        <v>2291</v>
      </c>
      <c r="B7431" s="1" t="s">
        <v>2295</v>
      </c>
      <c r="C7431" s="1" t="str">
        <f>"RF017-DEL/DER-TRA/IZQ"</f>
        <v>RF017-DEL/DER-TRA/IZQ</v>
      </c>
      <c r="D7431" s="1" t="str">
        <f>"RF017-DEL/DER-TRA/IZQ"</f>
        <v>RF017-DEL/DER-TRA/IZQ</v>
      </c>
      <c r="E7431" s="1" t="s">
        <v>4566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</row>
    <row r="7432" spans="1:11" ht="30" x14ac:dyDescent="0.2">
      <c r="A7432" s="1" t="s">
        <v>2291</v>
      </c>
      <c r="B7432" s="1" t="s">
        <v>2296</v>
      </c>
      <c r="C7432" s="1" t="str">
        <f>"RF017-DEL/IZQ-TRA/DER"</f>
        <v>RF017-DEL/IZQ-TRA/DER</v>
      </c>
      <c r="D7432" s="1" t="str">
        <f>"RF017-DEL/IZQ-TRA/DER"</f>
        <v>RF017-DEL/IZQ-TRA/DER</v>
      </c>
      <c r="E7432" s="1" t="s">
        <v>4566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</row>
    <row r="7433" spans="1:11" x14ac:dyDescent="0.2">
      <c r="A7433" s="1" t="s">
        <v>2291</v>
      </c>
      <c r="B7433" s="1" t="s">
        <v>2297</v>
      </c>
      <c r="C7433" s="1" t="str">
        <f>"66298889612050"</f>
        <v>66298889612050</v>
      </c>
      <c r="D7433" s="1" t="str">
        <f>"RF025-DER"</f>
        <v>RF025-DER</v>
      </c>
      <c r="E7433" s="1" t="s">
        <v>4566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</row>
    <row r="7434" spans="1:11" x14ac:dyDescent="0.2">
      <c r="A7434" s="1" t="s">
        <v>2291</v>
      </c>
      <c r="B7434" s="1" t="s">
        <v>2298</v>
      </c>
      <c r="C7434" s="1" t="str">
        <f>"66298889651272"</f>
        <v>66298889651272</v>
      </c>
      <c r="D7434" s="1" t="str">
        <f>"RF025-IZQ"</f>
        <v>RF025-IZQ</v>
      </c>
      <c r="E7434" s="1" t="s">
        <v>4566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</row>
    <row r="7435" spans="1:11" x14ac:dyDescent="0.2">
      <c r="A7435" s="1" t="s">
        <v>2291</v>
      </c>
      <c r="B7435" s="1" t="s">
        <v>2299</v>
      </c>
      <c r="C7435" s="1" t="str">
        <f>"66298889689484"</f>
        <v>66298889689484</v>
      </c>
      <c r="D7435" s="1" t="str">
        <f>"80768"</f>
        <v>80768</v>
      </c>
      <c r="E7435" s="1" t="s">
        <v>4566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</row>
    <row r="7436" spans="1:11" ht="30" x14ac:dyDescent="0.2">
      <c r="A7436" s="1" t="s">
        <v>2291</v>
      </c>
      <c r="B7436" s="1" t="s">
        <v>2300</v>
      </c>
      <c r="C7436" s="1" t="str">
        <f>"66298889727316"</f>
        <v>66298889727316</v>
      </c>
      <c r="D7436" s="1" t="str">
        <f>"RF026-DEL/IZQ"</f>
        <v>RF026-DEL/IZQ</v>
      </c>
      <c r="E7436" s="1" t="s">
        <v>4566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</row>
    <row r="7437" spans="1:11" x14ac:dyDescent="0.2">
      <c r="A7437" s="1" t="s">
        <v>2291</v>
      </c>
      <c r="B7437" s="1" t="s">
        <v>2301</v>
      </c>
      <c r="C7437" s="1" t="str">
        <f>"66298889770911"</f>
        <v>66298889770911</v>
      </c>
      <c r="D7437" s="1" t="str">
        <f>"RF021-DEL/IZQ"</f>
        <v>RF021-DEL/IZQ</v>
      </c>
      <c r="E7437" s="1" t="s">
        <v>4566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</row>
    <row r="7438" spans="1:11" x14ac:dyDescent="0.2">
      <c r="A7438" s="1" t="s">
        <v>2291</v>
      </c>
      <c r="B7438" s="1" t="s">
        <v>2302</v>
      </c>
      <c r="C7438" s="1" t="str">
        <f>"66298889811354"</f>
        <v>66298889811354</v>
      </c>
      <c r="D7438" s="1" t="str">
        <f>"RF002"</f>
        <v>RF002</v>
      </c>
      <c r="E7438" s="1" t="s">
        <v>4566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</row>
    <row r="7439" spans="1:11" x14ac:dyDescent="0.2">
      <c r="A7439" s="1" t="s">
        <v>2291</v>
      </c>
      <c r="B7439" s="1" t="s">
        <v>2303</v>
      </c>
      <c r="C7439" s="1" t="str">
        <f>"66298889850346"</f>
        <v>66298889850346</v>
      </c>
      <c r="D7439" s="1" t="str">
        <f>"82378"</f>
        <v>82378</v>
      </c>
      <c r="E7439" s="1" t="s">
        <v>4566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</row>
    <row r="7440" spans="1:11" x14ac:dyDescent="0.2">
      <c r="A7440" s="1" t="s">
        <v>2291</v>
      </c>
      <c r="B7440" s="1" t="s">
        <v>2303</v>
      </c>
      <c r="C7440" s="1" t="str">
        <f>"RF013-DEL/DER"</f>
        <v>RF013-DEL/DER</v>
      </c>
      <c r="D7440" s="1" t="str">
        <f>"RF013-DEL/DER"</f>
        <v>RF013-DEL/DER</v>
      </c>
      <c r="E7440" s="1" t="s">
        <v>4566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</row>
    <row r="7441" spans="1:11" x14ac:dyDescent="0.2">
      <c r="A7441" s="1" t="s">
        <v>2291</v>
      </c>
      <c r="B7441" s="1" t="s">
        <v>2304</v>
      </c>
      <c r="C7441" s="1" t="str">
        <f>"66298889887473"</f>
        <v>66298889887473</v>
      </c>
      <c r="D7441" s="1" t="str">
        <f>"82337"</f>
        <v>82337</v>
      </c>
      <c r="E7441" s="1" t="s">
        <v>4566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</row>
    <row r="7442" spans="1:11" x14ac:dyDescent="0.2">
      <c r="A7442" s="1" t="s">
        <v>2291</v>
      </c>
      <c r="B7442" s="1" t="s">
        <v>2304</v>
      </c>
      <c r="C7442" s="1" t="str">
        <f>"RF013-DEL/IZQ"</f>
        <v>RF013-DEL/IZQ</v>
      </c>
      <c r="D7442" s="1" t="str">
        <f>"RF013-DEL/IZQ"</f>
        <v>RF013-DEL/IZQ</v>
      </c>
      <c r="E7442" s="1" t="s">
        <v>4566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</row>
    <row r="7443" spans="1:11" x14ac:dyDescent="0.2">
      <c r="A7443" s="1" t="s">
        <v>2291</v>
      </c>
      <c r="B7443" s="1" t="s">
        <v>2305</v>
      </c>
      <c r="C7443" s="1" t="str">
        <f>"RF024-DEL/DER"</f>
        <v>RF024-DEL/DER</v>
      </c>
      <c r="D7443" s="1" t="str">
        <f>"RF024-DEL/DER"</f>
        <v>RF024-DEL/DER</v>
      </c>
      <c r="E7443" s="1" t="s">
        <v>4566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</row>
    <row r="7444" spans="1:11" x14ac:dyDescent="0.2">
      <c r="A7444" s="1" t="s">
        <v>2291</v>
      </c>
      <c r="B7444" s="1" t="s">
        <v>2305</v>
      </c>
      <c r="C7444" s="1" t="str">
        <f>"RF024-DEL/IZQ"</f>
        <v>RF024-DEL/IZQ</v>
      </c>
      <c r="D7444" s="1" t="str">
        <f>"RF024-DEL/IZQ"</f>
        <v>RF024-DEL/IZQ</v>
      </c>
      <c r="E7444" s="1" t="s">
        <v>4566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</row>
    <row r="7445" spans="1:11" x14ac:dyDescent="0.2">
      <c r="A7445" s="1" t="s">
        <v>2291</v>
      </c>
      <c r="B7445" s="1" t="s">
        <v>2306</v>
      </c>
      <c r="C7445" s="1" t="str">
        <f>"66298889935315"</f>
        <v>66298889935315</v>
      </c>
      <c r="D7445" s="1" t="str">
        <f>"80770"</f>
        <v>80770</v>
      </c>
      <c r="E7445" s="1" t="s">
        <v>4566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</row>
    <row r="7446" spans="1:11" x14ac:dyDescent="0.2">
      <c r="A7446" s="1" t="s">
        <v>2291</v>
      </c>
      <c r="B7446" s="1" t="s">
        <v>2306</v>
      </c>
      <c r="C7446" s="1" t="str">
        <f>"RF008"</f>
        <v>RF008</v>
      </c>
      <c r="D7446" s="1" t="str">
        <f>"RF008"</f>
        <v>RF008</v>
      </c>
      <c r="E7446" s="1" t="s">
        <v>4566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</row>
    <row r="7447" spans="1:11" x14ac:dyDescent="0.2">
      <c r="A7447" s="1" t="s">
        <v>2291</v>
      </c>
      <c r="B7447" s="1" t="s">
        <v>2307</v>
      </c>
      <c r="C7447" s="1" t="str">
        <f>"66298889980599"</f>
        <v>66298889980599</v>
      </c>
      <c r="D7447" s="1" t="str">
        <f>"RF011"</f>
        <v>RF011</v>
      </c>
      <c r="E7447" s="1" t="s">
        <v>4566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</row>
    <row r="7448" spans="1:11" x14ac:dyDescent="0.2">
      <c r="A7448" s="1" t="s">
        <v>2291</v>
      </c>
      <c r="B7448" s="1" t="s">
        <v>2308</v>
      </c>
      <c r="C7448" s="1" t="str">
        <f>"12466"</f>
        <v>12466</v>
      </c>
      <c r="D7448" s="1" t="str">
        <f>"12466"</f>
        <v>12466</v>
      </c>
      <c r="E7448" s="1" t="s">
        <v>4566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</row>
    <row r="7449" spans="1:11" x14ac:dyDescent="0.2">
      <c r="A7449" s="1" t="s">
        <v>2246</v>
      </c>
      <c r="B7449" s="1" t="s">
        <v>2309</v>
      </c>
      <c r="C7449" s="1" t="str">
        <f>"B030"</f>
        <v>B030</v>
      </c>
      <c r="D7449" s="1" t="str">
        <f>"B030"</f>
        <v>B030</v>
      </c>
      <c r="E7449" s="1" t="s">
        <v>4566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</row>
    <row r="7450" spans="1:11" x14ac:dyDescent="0.2">
      <c r="A7450" s="1" t="s">
        <v>2291</v>
      </c>
      <c r="B7450" s="1" t="s">
        <v>2310</v>
      </c>
      <c r="C7450" s="1" t="str">
        <f>"66298890020532"</f>
        <v>66298890020532</v>
      </c>
      <c r="D7450" s="1" t="str">
        <f>"35601H2C000H000"</f>
        <v>35601H2C000H000</v>
      </c>
      <c r="E7450" s="1" t="s">
        <v>4566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</row>
    <row r="7451" spans="1:11" x14ac:dyDescent="0.2">
      <c r="A7451" s="1" t="s">
        <v>2291</v>
      </c>
      <c r="B7451" s="1" t="s">
        <v>2311</v>
      </c>
      <c r="C7451" s="1" t="str">
        <f>"66298890061789"</f>
        <v>66298890061789</v>
      </c>
      <c r="D7451" s="1" t="str">
        <f>"35603H2C000H000"</f>
        <v>35603H2C000H000</v>
      </c>
      <c r="E7451" s="1" t="s">
        <v>4566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</row>
    <row r="7452" spans="1:11" x14ac:dyDescent="0.2">
      <c r="A7452" s="1" t="s">
        <v>2291</v>
      </c>
      <c r="B7452" s="1" t="s">
        <v>2312</v>
      </c>
      <c r="C7452" s="1" t="str">
        <f>"66298890106171"</f>
        <v>66298890106171</v>
      </c>
      <c r="D7452" s="1" t="str">
        <f>"35604H2C000H000"</f>
        <v>35604H2C000H000</v>
      </c>
      <c r="E7452" s="1" t="s">
        <v>4566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</row>
    <row r="7453" spans="1:11" x14ac:dyDescent="0.2">
      <c r="A7453" s="1" t="s">
        <v>2291</v>
      </c>
      <c r="B7453" s="1" t="s">
        <v>2313</v>
      </c>
      <c r="C7453" s="1" t="str">
        <f>"RF060-DEL/DER-TRA/IZQ"</f>
        <v>RF060-DEL/DER-TRA/IZQ</v>
      </c>
      <c r="D7453" s="1" t="str">
        <f>"RF060-DEL/DER-TRA/IZQ"</f>
        <v>RF060-DEL/DER-TRA/IZQ</v>
      </c>
      <c r="E7453" s="1" t="s">
        <v>4566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</row>
    <row r="7454" spans="1:11" x14ac:dyDescent="0.2">
      <c r="A7454" s="1" t="s">
        <v>2291</v>
      </c>
      <c r="B7454" s="1" t="s">
        <v>2314</v>
      </c>
      <c r="C7454" s="1" t="str">
        <f>"RF060-DEL/IZQ-TRA/DER"</f>
        <v>RF060-DEL/IZQ-TRA/DER</v>
      </c>
      <c r="D7454" s="1" t="str">
        <f>"RF060-DEL/IZQ-TRA/DER"</f>
        <v>RF060-DEL/IZQ-TRA/DER</v>
      </c>
      <c r="E7454" s="1" t="s">
        <v>4566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</row>
    <row r="7455" spans="1:11" x14ac:dyDescent="0.2">
      <c r="A7455" s="1" t="s">
        <v>2291</v>
      </c>
      <c r="B7455" s="1" t="s">
        <v>2315</v>
      </c>
      <c r="C7455" s="1" t="str">
        <f>"66298890142748"</f>
        <v>66298890142748</v>
      </c>
      <c r="D7455" s="1" t="str">
        <f>"80905"</f>
        <v>80905</v>
      </c>
      <c r="E7455" s="1" t="s">
        <v>4566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</row>
    <row r="7456" spans="1:11" x14ac:dyDescent="0.2">
      <c r="A7456" s="1" t="s">
        <v>2291</v>
      </c>
      <c r="B7456" s="1" t="s">
        <v>2316</v>
      </c>
      <c r="C7456" s="1" t="str">
        <f>"66298890180774"</f>
        <v>66298890180774</v>
      </c>
      <c r="D7456" s="1" t="str">
        <f>"80906"</f>
        <v>80906</v>
      </c>
      <c r="E7456" s="1" t="s">
        <v>4566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</row>
    <row r="7457" spans="1:11" ht="30" x14ac:dyDescent="0.2">
      <c r="A7457" s="1" t="s">
        <v>2291</v>
      </c>
      <c r="B7457" s="1" t="s">
        <v>2317</v>
      </c>
      <c r="C7457" s="1" t="str">
        <f>"BR04094STLU"</f>
        <v>BR04094STLU</v>
      </c>
      <c r="D7457" s="1" t="str">
        <f>"BR04094STLU"</f>
        <v>BR04094STLU</v>
      </c>
      <c r="E7457" s="1" t="s">
        <v>4566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</row>
    <row r="7458" spans="1:11" ht="30" x14ac:dyDescent="0.2">
      <c r="A7458" s="1" t="s">
        <v>2291</v>
      </c>
      <c r="B7458" s="1" t="s">
        <v>2318</v>
      </c>
      <c r="C7458" s="1" t="str">
        <f>"BR04095STLU"</f>
        <v>BR04095STLU</v>
      </c>
      <c r="D7458" s="1" t="str">
        <f>"BR04095STLU"</f>
        <v>BR04095STLU</v>
      </c>
      <c r="E7458" s="1" t="s">
        <v>4566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</row>
    <row r="7459" spans="1:11" ht="30" x14ac:dyDescent="0.2">
      <c r="A7459" s="1" t="s">
        <v>2291</v>
      </c>
      <c r="B7459" s="1" t="s">
        <v>2319</v>
      </c>
      <c r="C7459" s="1" t="str">
        <f>"RF001-DER"</f>
        <v>RF001-DER</v>
      </c>
      <c r="D7459" s="1" t="str">
        <f>"RF001-DER"</f>
        <v>RF001-DER</v>
      </c>
      <c r="E7459" s="1" t="s">
        <v>4566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</row>
    <row r="7460" spans="1:11" ht="30" x14ac:dyDescent="0.2">
      <c r="A7460" s="1" t="s">
        <v>2291</v>
      </c>
      <c r="B7460" s="1" t="s">
        <v>2320</v>
      </c>
      <c r="C7460" s="1" t="str">
        <f>"RF001-IZQ"</f>
        <v>RF001-IZQ</v>
      </c>
      <c r="D7460" s="1" t="str">
        <f>"RF001-IZQ"</f>
        <v>RF001-IZQ</v>
      </c>
      <c r="E7460" s="1" t="s">
        <v>4566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</row>
    <row r="7461" spans="1:11" x14ac:dyDescent="0.2">
      <c r="A7461" s="1" t="s">
        <v>2291</v>
      </c>
      <c r="B7461" s="1" t="s">
        <v>2321</v>
      </c>
      <c r="C7461" s="1" t="str">
        <f>"66298890301162"</f>
        <v>66298890301162</v>
      </c>
      <c r="D7461" s="1" t="str">
        <f>"83189"</f>
        <v>83189</v>
      </c>
      <c r="E7461" s="1" t="s">
        <v>4566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</row>
    <row r="7462" spans="1:11" x14ac:dyDescent="0.2">
      <c r="A7462" s="1" t="s">
        <v>2291</v>
      </c>
      <c r="B7462" s="1" t="s">
        <v>2322</v>
      </c>
      <c r="C7462" s="1" t="str">
        <f>"66298890342852"</f>
        <v>66298890342852</v>
      </c>
      <c r="D7462" s="1" t="str">
        <f>"U001B"</f>
        <v>U001B</v>
      </c>
      <c r="E7462" s="1" t="s">
        <v>4566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</row>
    <row r="7463" spans="1:11" x14ac:dyDescent="0.2">
      <c r="A7463" s="1" t="s">
        <v>2246</v>
      </c>
      <c r="B7463" s="1" t="s">
        <v>2323</v>
      </c>
      <c r="C7463" s="1" t="str">
        <f>"RF012"</f>
        <v>RF012</v>
      </c>
      <c r="D7463" s="1" t="str">
        <f>"RF012"</f>
        <v>RF012</v>
      </c>
      <c r="E7463" s="1" t="s">
        <v>4566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</row>
    <row r="7464" spans="1:11" x14ac:dyDescent="0.2">
      <c r="A7464" s="1" t="s">
        <v>2291</v>
      </c>
      <c r="B7464" s="1" t="s">
        <v>2324</v>
      </c>
      <c r="C7464" s="1" t="str">
        <f>"66298890382003"</f>
        <v>66298890382003</v>
      </c>
      <c r="D7464" s="1" t="str">
        <f>"FS-STORM"</f>
        <v>FS-STORM</v>
      </c>
      <c r="E7464" s="1" t="s">
        <v>4566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</row>
    <row r="7465" spans="1:11" x14ac:dyDescent="0.2">
      <c r="A7465" s="1" t="s">
        <v>2291</v>
      </c>
      <c r="B7465" s="1" t="s">
        <v>2325</v>
      </c>
      <c r="C7465" s="1" t="str">
        <f>"66298890421420"</f>
        <v>66298890421420</v>
      </c>
      <c r="D7465" s="1" t="str">
        <f>"E003"</f>
        <v>E003</v>
      </c>
      <c r="E7465" s="1" t="s">
        <v>4566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</row>
    <row r="7466" spans="1:11" x14ac:dyDescent="0.2">
      <c r="A7466" s="1" t="s">
        <v>2246</v>
      </c>
      <c r="B7466" s="1" t="s">
        <v>2326</v>
      </c>
      <c r="C7466" s="1" t="str">
        <f>"B023"</f>
        <v>B023</v>
      </c>
      <c r="D7466" s="1" t="str">
        <f>"B023"</f>
        <v>B023</v>
      </c>
      <c r="E7466" s="1" t="s">
        <v>4566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</row>
    <row r="7467" spans="1:11" ht="30" x14ac:dyDescent="0.2">
      <c r="A7467" s="1" t="s">
        <v>2291</v>
      </c>
      <c r="B7467" s="1" t="s">
        <v>2327</v>
      </c>
      <c r="C7467" s="1" t="str">
        <f>"RF014-TRA/DER"</f>
        <v>RF014-TRA/DER</v>
      </c>
      <c r="D7467" s="1" t="str">
        <f>"RF014-TRA/DER"</f>
        <v>RF014-TRA/DER</v>
      </c>
      <c r="E7467" s="1" t="s">
        <v>4566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</row>
    <row r="7468" spans="1:11" ht="30" x14ac:dyDescent="0.2">
      <c r="A7468" s="1" t="s">
        <v>2291</v>
      </c>
      <c r="B7468" s="1" t="s">
        <v>2328</v>
      </c>
      <c r="C7468" s="1" t="str">
        <f>"RF014-TRA/IZQ"</f>
        <v>RF014-TRA/IZQ</v>
      </c>
      <c r="D7468" s="1" t="str">
        <f>"RF014-TRA/IZQ"</f>
        <v>RF014-TRA/IZQ</v>
      </c>
      <c r="E7468" s="1" t="s">
        <v>4566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</row>
    <row r="7469" spans="1:11" x14ac:dyDescent="0.2">
      <c r="A7469" s="1" t="s">
        <v>2291</v>
      </c>
      <c r="B7469" s="1" t="s">
        <v>2329</v>
      </c>
      <c r="C7469" s="1" t="str">
        <f>"66298890462087"</f>
        <v>66298890462087</v>
      </c>
      <c r="D7469" s="1" t="str">
        <f>"80361"</f>
        <v>80361</v>
      </c>
      <c r="E7469" s="1" t="s">
        <v>4566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</row>
    <row r="7470" spans="1:11" x14ac:dyDescent="0.2">
      <c r="A7470" s="1" t="s">
        <v>2291</v>
      </c>
      <c r="B7470" s="1" t="s">
        <v>2330</v>
      </c>
      <c r="C7470" s="1" t="str">
        <f>"66298890500420"</f>
        <v>66298890500420</v>
      </c>
      <c r="D7470" s="1" t="str">
        <f>"FS-UNIVERSAL"</f>
        <v>FS-UNIVERSAL</v>
      </c>
      <c r="E7470" s="1" t="s">
        <v>4566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</row>
    <row r="7471" spans="1:11" x14ac:dyDescent="0.2">
      <c r="A7471" s="1" t="s">
        <v>2246</v>
      </c>
      <c r="B7471" s="1" t="s">
        <v>2331</v>
      </c>
      <c r="C7471" s="1" t="str">
        <f>"C059"</f>
        <v>C059</v>
      </c>
      <c r="D7471" s="1" t="str">
        <f>"C059"</f>
        <v>C059</v>
      </c>
      <c r="E7471" s="1" t="s">
        <v>4566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</row>
    <row r="7472" spans="1:11" x14ac:dyDescent="0.2">
      <c r="A7472" s="1" t="s">
        <v>2246</v>
      </c>
      <c r="B7472" s="1" t="s">
        <v>2332</v>
      </c>
      <c r="C7472" s="1" t="str">
        <f>"B035"</f>
        <v>B035</v>
      </c>
      <c r="D7472" s="1" t="str">
        <f>"B035"</f>
        <v>B035</v>
      </c>
      <c r="E7472" s="1" t="s">
        <v>4566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</row>
    <row r="7473" spans="1:11" x14ac:dyDescent="0.2">
      <c r="A7473" s="1" t="s">
        <v>2291</v>
      </c>
      <c r="B7473" s="1" t="s">
        <v>2333</v>
      </c>
      <c r="C7473" s="1" t="str">
        <f>"66298890540760"</f>
        <v>66298890540760</v>
      </c>
      <c r="D7473" s="1" t="str">
        <f>"C058"</f>
        <v>C058</v>
      </c>
      <c r="E7473" s="1" t="s">
        <v>4566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</row>
    <row r="7474" spans="1:11" x14ac:dyDescent="0.2">
      <c r="A7474" s="1" t="s">
        <v>2291</v>
      </c>
      <c r="B7474" s="1" t="s">
        <v>2334</v>
      </c>
      <c r="C7474" s="1" t="str">
        <f>"FOCO-SE-UNIV"</f>
        <v>FOCO-SE-UNIV</v>
      </c>
      <c r="D7474" s="1" t="str">
        <f>"FOCO-SE-UNIV"</f>
        <v>FOCO-SE-UNIV</v>
      </c>
      <c r="E7474" s="1" t="s">
        <v>4566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</row>
    <row r="7475" spans="1:11" x14ac:dyDescent="0.2">
      <c r="A7475" s="1" t="s">
        <v>2246</v>
      </c>
      <c r="B7475" s="1" t="s">
        <v>2334</v>
      </c>
      <c r="C7475" s="1" t="str">
        <f>"60151"</f>
        <v>60151</v>
      </c>
      <c r="D7475" s="1" t="str">
        <f>"60151"</f>
        <v>60151</v>
      </c>
      <c r="E7475" s="1" t="s">
        <v>4566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</row>
    <row r="7476" spans="1:11" x14ac:dyDescent="0.2">
      <c r="A7476" s="1" t="s">
        <v>2246</v>
      </c>
      <c r="B7476" s="1" t="s">
        <v>2334</v>
      </c>
      <c r="C7476" s="1" t="str">
        <f>"B0321"</f>
        <v>B0321</v>
      </c>
      <c r="D7476" s="1" t="str">
        <f>"B0321"</f>
        <v>B0321</v>
      </c>
      <c r="E7476" s="1" t="s">
        <v>4566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</row>
    <row r="7477" spans="1:11" x14ac:dyDescent="0.2">
      <c r="A7477" s="1" t="s">
        <v>2246</v>
      </c>
      <c r="B7477" s="1" t="s">
        <v>2334</v>
      </c>
      <c r="C7477" s="1" t="str">
        <f>"C003"</f>
        <v>C003</v>
      </c>
      <c r="D7477" s="1" t="str">
        <f>"C003"</f>
        <v>C003</v>
      </c>
      <c r="E7477" s="1" t="s">
        <v>4566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</row>
    <row r="7478" spans="1:11" x14ac:dyDescent="0.2">
      <c r="A7478" s="1" t="s">
        <v>2291</v>
      </c>
      <c r="B7478" s="1" t="s">
        <v>2335</v>
      </c>
      <c r="C7478" s="1" t="str">
        <f>"66298890588619"</f>
        <v>66298890588619</v>
      </c>
      <c r="D7478" s="1" t="str">
        <f>"C103"</f>
        <v>C103</v>
      </c>
      <c r="E7478" s="1" t="s">
        <v>4566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</row>
    <row r="7479" spans="1:11" x14ac:dyDescent="0.2">
      <c r="A7479" s="1" t="s">
        <v>2291</v>
      </c>
      <c r="B7479" s="1" t="s">
        <v>2336</v>
      </c>
      <c r="C7479" s="1" t="str">
        <f>"66298890633816"</f>
        <v>66298890633816</v>
      </c>
      <c r="D7479" s="1" t="str">
        <f>"C153"</f>
        <v>C153</v>
      </c>
      <c r="E7479" s="1" t="s">
        <v>4566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</row>
    <row r="7480" spans="1:11" ht="30" x14ac:dyDescent="0.2">
      <c r="A7480" s="1" t="s">
        <v>2291</v>
      </c>
      <c r="B7480" s="1" t="s">
        <v>2337</v>
      </c>
      <c r="C7480" s="1" t="str">
        <f>"RF015-DER"</f>
        <v>RF015-DER</v>
      </c>
      <c r="D7480" s="1" t="str">
        <f>"RF015-DER"</f>
        <v>RF015-DER</v>
      </c>
      <c r="E7480" s="1" t="s">
        <v>4566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</row>
    <row r="7481" spans="1:11" ht="30" x14ac:dyDescent="0.2">
      <c r="A7481" s="1" t="s">
        <v>2291</v>
      </c>
      <c r="B7481" s="1" t="s">
        <v>2338</v>
      </c>
      <c r="C7481" s="1" t="str">
        <f>"RF015-IZQ"</f>
        <v>RF015-IZQ</v>
      </c>
      <c r="D7481" s="1" t="str">
        <f>"RF015-IZQ"</f>
        <v>RF015-IZQ</v>
      </c>
      <c r="E7481" s="1" t="s">
        <v>4566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</row>
    <row r="7482" spans="1:11" x14ac:dyDescent="0.2">
      <c r="A7482" s="1" t="s">
        <v>2291</v>
      </c>
      <c r="B7482" s="1" t="s">
        <v>2339</v>
      </c>
      <c r="C7482" s="1" t="str">
        <f>"66298890672498"</f>
        <v>66298890672498</v>
      </c>
      <c r="D7482" s="1" t="str">
        <f>"RF006-IZQ"</f>
        <v>RF006-IZQ</v>
      </c>
      <c r="E7482" s="1" t="s">
        <v>4566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</row>
    <row r="7483" spans="1:11" x14ac:dyDescent="0.2">
      <c r="A7483" s="1" t="s">
        <v>2246</v>
      </c>
      <c r="B7483" s="1" t="s">
        <v>2340</v>
      </c>
      <c r="C7483" s="1" t="str">
        <f>"66298890714957"</f>
        <v>66298890714957</v>
      </c>
      <c r="D7483" s="1" t="str">
        <f>"110252"</f>
        <v>110252</v>
      </c>
      <c r="E7483" s="1" t="s">
        <v>4566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</row>
    <row r="7484" spans="1:11" x14ac:dyDescent="0.2">
      <c r="A7484" s="1" t="s">
        <v>2246</v>
      </c>
      <c r="B7484" s="1" t="s">
        <v>2341</v>
      </c>
      <c r="C7484" s="1" t="str">
        <f>"66298890758228"</f>
        <v>66298890758228</v>
      </c>
      <c r="D7484" s="1" t="str">
        <f>"1529"</f>
        <v>1529</v>
      </c>
      <c r="E7484" s="1" t="s">
        <v>4566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</row>
    <row r="7485" spans="1:11" x14ac:dyDescent="0.2">
      <c r="A7485" s="1" t="s">
        <v>2246</v>
      </c>
      <c r="B7485" s="1" t="s">
        <v>2342</v>
      </c>
      <c r="C7485" s="1" t="str">
        <f>"PB018"</f>
        <v>PB018</v>
      </c>
      <c r="D7485" s="1" t="str">
        <f>"PB018"</f>
        <v>PB018</v>
      </c>
      <c r="E7485" s="1" t="s">
        <v>4566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</row>
    <row r="7486" spans="1:11" x14ac:dyDescent="0.2">
      <c r="A7486" s="1" t="s">
        <v>2246</v>
      </c>
      <c r="B7486" s="1" t="s">
        <v>2343</v>
      </c>
      <c r="C7486" s="1" t="str">
        <f>"PB016"</f>
        <v>PB016</v>
      </c>
      <c r="D7486" s="1" t="str">
        <f>"PB016"</f>
        <v>PB016</v>
      </c>
      <c r="E7486" s="1" t="s">
        <v>4566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</row>
    <row r="7487" spans="1:11" x14ac:dyDescent="0.2">
      <c r="A7487" s="1" t="s">
        <v>2246</v>
      </c>
      <c r="B7487" s="1" t="s">
        <v>2344</v>
      </c>
      <c r="C7487" s="1" t="str">
        <f>"66298890793010"</f>
        <v>66298890793010</v>
      </c>
      <c r="D7487" s="1" t="str">
        <f>"1039-TWISTER"</f>
        <v>1039-TWISTER</v>
      </c>
      <c r="E7487" s="1" t="s">
        <v>4566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</row>
    <row r="7488" spans="1:11" x14ac:dyDescent="0.2">
      <c r="A7488" s="1" t="s">
        <v>2246</v>
      </c>
      <c r="B7488" s="1" t="s">
        <v>2344</v>
      </c>
      <c r="C7488" s="1" t="str">
        <f>"66298890829939"</f>
        <v>66298890829939</v>
      </c>
      <c r="D7488" s="1" t="str">
        <f>"PB011"</f>
        <v>PB011</v>
      </c>
      <c r="E7488" s="1" t="s">
        <v>4566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</row>
    <row r="7489" spans="1:11" x14ac:dyDescent="0.2">
      <c r="A7489" s="1" t="s">
        <v>2246</v>
      </c>
      <c r="B7489" s="1" t="s">
        <v>2345</v>
      </c>
      <c r="C7489" s="1" t="str">
        <f>"FOCO-TRA-CG"</f>
        <v>FOCO-TRA-CG</v>
      </c>
      <c r="D7489" s="1" t="str">
        <f>"FOCO-TRA-CG"</f>
        <v>FOCO-TRA-CG</v>
      </c>
      <c r="E7489" s="1" t="s">
        <v>4566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</row>
    <row r="7490" spans="1:11" x14ac:dyDescent="0.2">
      <c r="A7490" s="1" t="s">
        <v>2246</v>
      </c>
      <c r="B7490" s="1" t="s">
        <v>2346</v>
      </c>
      <c r="C7490" s="1" t="str">
        <f>"66298890870101"</f>
        <v>66298890870101</v>
      </c>
      <c r="D7490" s="1" t="str">
        <f>"RD019"</f>
        <v>RD019</v>
      </c>
      <c r="E7490" s="1" t="s">
        <v>4566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</row>
    <row r="7491" spans="1:11" x14ac:dyDescent="0.2">
      <c r="A7491" s="1" t="s">
        <v>2246</v>
      </c>
      <c r="B7491" s="1" t="s">
        <v>2346</v>
      </c>
      <c r="C7491" s="1" t="str">
        <f>"RD018"</f>
        <v>RD018</v>
      </c>
      <c r="D7491" s="1" t="str">
        <f>"RD018"</f>
        <v>RD018</v>
      </c>
      <c r="E7491" s="1" t="s">
        <v>4566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</row>
    <row r="7492" spans="1:11" x14ac:dyDescent="0.2">
      <c r="A7492" s="1" t="s">
        <v>2246</v>
      </c>
      <c r="B7492" s="1" t="s">
        <v>2347</v>
      </c>
      <c r="C7492" s="1" t="str">
        <f>"PB014"</f>
        <v>PB014</v>
      </c>
      <c r="D7492" s="1" t="str">
        <f>"PB014"</f>
        <v>PB014</v>
      </c>
      <c r="E7492" s="1" t="s">
        <v>4566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</row>
    <row r="7493" spans="1:11" x14ac:dyDescent="0.2">
      <c r="A7493" s="1" t="s">
        <v>2246</v>
      </c>
      <c r="B7493" s="1" t="s">
        <v>2348</v>
      </c>
      <c r="C7493" s="1" t="str">
        <f>"66298890907486"</f>
        <v>66298890907486</v>
      </c>
      <c r="D7493" s="1" t="str">
        <f>"PB002"</f>
        <v>PB002</v>
      </c>
      <c r="E7493" s="1" t="s">
        <v>4566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</row>
    <row r="7494" spans="1:11" x14ac:dyDescent="0.2">
      <c r="A7494" s="1" t="s">
        <v>2246</v>
      </c>
      <c r="B7494" s="1" t="s">
        <v>2349</v>
      </c>
      <c r="C7494" s="1" t="str">
        <f>"66298890947517"</f>
        <v>66298890947517</v>
      </c>
      <c r="D7494" s="1" t="str">
        <f>"80778"</f>
        <v>80778</v>
      </c>
      <c r="E7494" s="1" t="s">
        <v>4566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</row>
    <row r="7495" spans="1:11" x14ac:dyDescent="0.2">
      <c r="A7495" s="1" t="s">
        <v>2246</v>
      </c>
      <c r="B7495" s="1" t="s">
        <v>2350</v>
      </c>
      <c r="C7495" s="1" t="str">
        <f>"PB005"</f>
        <v>PB005</v>
      </c>
      <c r="D7495" s="1" t="str">
        <f>"PB005"</f>
        <v>PB005</v>
      </c>
      <c r="E7495" s="1" t="s">
        <v>4566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</row>
    <row r="7496" spans="1:11" x14ac:dyDescent="0.2">
      <c r="A7496" s="1" t="s">
        <v>2246</v>
      </c>
      <c r="B7496" s="1" t="s">
        <v>2351</v>
      </c>
      <c r="C7496" s="1" t="str">
        <f>"66298890988279"</f>
        <v>66298890988279</v>
      </c>
      <c r="D7496" s="1" t="str">
        <f>"PB033"</f>
        <v>PB033</v>
      </c>
      <c r="E7496" s="1" t="s">
        <v>4566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</row>
    <row r="7497" spans="1:11" x14ac:dyDescent="0.2">
      <c r="A7497" s="1" t="s">
        <v>2246</v>
      </c>
      <c r="B7497" s="1" t="s">
        <v>2352</v>
      </c>
      <c r="C7497" s="1" t="str">
        <f>"PB040"</f>
        <v>PB040</v>
      </c>
      <c r="D7497" s="1" t="str">
        <f>"PB040"</f>
        <v>PB040</v>
      </c>
      <c r="E7497" s="1" t="s">
        <v>4566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</row>
    <row r="7498" spans="1:11" x14ac:dyDescent="0.2">
      <c r="A7498" s="1" t="s">
        <v>2246</v>
      </c>
      <c r="B7498" s="1" t="s">
        <v>2353</v>
      </c>
      <c r="C7498" s="1" t="str">
        <f>"66298891028219"</f>
        <v>66298891028219</v>
      </c>
      <c r="D7498" s="1" t="str">
        <f>"RD015"</f>
        <v>RD015</v>
      </c>
      <c r="E7498" s="1" t="s">
        <v>4566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</row>
    <row r="7499" spans="1:11" x14ac:dyDescent="0.2">
      <c r="A7499" s="1" t="s">
        <v>2246</v>
      </c>
      <c r="B7499" s="1" t="s">
        <v>2354</v>
      </c>
      <c r="C7499" s="1" t="str">
        <f>"66298891069012"</f>
        <v>66298891069012</v>
      </c>
      <c r="D7499" s="1" t="str">
        <f>"B009"</f>
        <v>B009</v>
      </c>
      <c r="E7499" s="1" t="s">
        <v>4566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</row>
    <row r="7500" spans="1:11" x14ac:dyDescent="0.2">
      <c r="A7500" s="1" t="s">
        <v>2246</v>
      </c>
      <c r="B7500" s="1" t="s">
        <v>2355</v>
      </c>
      <c r="C7500" s="1" t="str">
        <f>"PB049"</f>
        <v>PB049</v>
      </c>
      <c r="D7500" s="1" t="str">
        <f>"PB049"</f>
        <v>PB049</v>
      </c>
      <c r="E7500" s="1" t="s">
        <v>4566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</row>
    <row r="7501" spans="1:11" x14ac:dyDescent="0.2">
      <c r="A7501" s="1" t="s">
        <v>2246</v>
      </c>
      <c r="B7501" s="1" t="s">
        <v>2356</v>
      </c>
      <c r="C7501" s="1" t="str">
        <f>"66298891112827"</f>
        <v>66298891112827</v>
      </c>
      <c r="D7501" s="1" t="str">
        <f>"20009"</f>
        <v>20009</v>
      </c>
      <c r="E7501" s="1" t="s">
        <v>4566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</row>
    <row r="7502" spans="1:11" x14ac:dyDescent="0.2">
      <c r="A7502" s="1" t="s">
        <v>2246</v>
      </c>
      <c r="B7502" s="1" t="s">
        <v>2357</v>
      </c>
      <c r="C7502" s="1" t="str">
        <f>"RD024"</f>
        <v>RD024</v>
      </c>
      <c r="D7502" s="1" t="str">
        <f>"RD024"</f>
        <v>RD024</v>
      </c>
      <c r="E7502" s="1" t="s">
        <v>4566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</row>
    <row r="7503" spans="1:11" x14ac:dyDescent="0.2">
      <c r="A7503" s="1" t="s">
        <v>2246</v>
      </c>
      <c r="B7503" s="1" t="s">
        <v>2358</v>
      </c>
      <c r="C7503" s="1" t="str">
        <f>"PB008"</f>
        <v>PB008</v>
      </c>
      <c r="D7503" s="1" t="str">
        <f>"PB008"</f>
        <v>PB008</v>
      </c>
      <c r="E7503" s="1" t="s">
        <v>4566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</row>
    <row r="7504" spans="1:11" x14ac:dyDescent="0.2">
      <c r="A7504" s="1" t="s">
        <v>2246</v>
      </c>
      <c r="B7504" s="1" t="s">
        <v>2359</v>
      </c>
      <c r="C7504" s="1" t="str">
        <f>"66298891149797"</f>
        <v>66298891149797</v>
      </c>
      <c r="D7504" s="1" t="str">
        <f>"PB017"</f>
        <v>PB017</v>
      </c>
      <c r="E7504" s="1" t="s">
        <v>4566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</row>
    <row r="7505" spans="1:11" x14ac:dyDescent="0.2">
      <c r="A7505" s="1" t="s">
        <v>2246</v>
      </c>
      <c r="B7505" s="1" t="s">
        <v>2360</v>
      </c>
      <c r="C7505" s="1" t="str">
        <f>"66298891189846"</f>
        <v>66298891189846</v>
      </c>
      <c r="D7505" s="1" t="str">
        <f>"B014"</f>
        <v>B014</v>
      </c>
      <c r="E7505" s="1" t="s">
        <v>4566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</row>
    <row r="7506" spans="1:11" x14ac:dyDescent="0.2">
      <c r="A7506" s="1" t="s">
        <v>2246</v>
      </c>
      <c r="B7506" s="1" t="s">
        <v>2361</v>
      </c>
      <c r="C7506" s="1" t="str">
        <f>"66298891263582"</f>
        <v>66298891263582</v>
      </c>
      <c r="D7506" s="1" t="str">
        <f>"RD030"</f>
        <v>RD030</v>
      </c>
      <c r="E7506" s="1" t="s">
        <v>4566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</row>
    <row r="7507" spans="1:11" x14ac:dyDescent="0.2">
      <c r="A7507" s="1" t="s">
        <v>2246</v>
      </c>
      <c r="B7507" s="1" t="s">
        <v>2362</v>
      </c>
      <c r="C7507" s="1" t="str">
        <f>"66298891303123"</f>
        <v>66298891303123</v>
      </c>
      <c r="D7507" s="1" t="str">
        <f>"RD031"</f>
        <v>RD031</v>
      </c>
      <c r="E7507" s="1" t="s">
        <v>4566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</row>
    <row r="7508" spans="1:11" x14ac:dyDescent="0.2">
      <c r="A7508" s="1" t="s">
        <v>2246</v>
      </c>
      <c r="B7508" s="1" t="s">
        <v>2363</v>
      </c>
      <c r="C7508" s="1" t="str">
        <f>"66298891227504"</f>
        <v>66298891227504</v>
      </c>
      <c r="D7508" s="1" t="str">
        <f>"RD022"</f>
        <v>RD022</v>
      </c>
      <c r="E7508" s="1" t="s">
        <v>4566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</row>
    <row r="7509" spans="1:11" x14ac:dyDescent="0.2">
      <c r="A7509" s="1" t="s">
        <v>2246</v>
      </c>
      <c r="B7509" s="1" t="s">
        <v>2364</v>
      </c>
      <c r="C7509" s="1" t="str">
        <f>"PB013"</f>
        <v>PB013</v>
      </c>
      <c r="D7509" s="1" t="str">
        <f>"PB013"</f>
        <v>PB013</v>
      </c>
      <c r="E7509" s="1" t="s">
        <v>4566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</row>
    <row r="7510" spans="1:11" x14ac:dyDescent="0.2">
      <c r="A7510" s="1" t="s">
        <v>2246</v>
      </c>
      <c r="B7510" s="1" t="s">
        <v>2365</v>
      </c>
      <c r="C7510" s="1" t="str">
        <f>"66298891343433"</f>
        <v>66298891343433</v>
      </c>
      <c r="D7510" s="1" t="str">
        <f>"33701-KCZ-004"</f>
        <v>33701-KCZ-004</v>
      </c>
      <c r="E7510" s="1" t="s">
        <v>4566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</row>
    <row r="7511" spans="1:11" x14ac:dyDescent="0.2">
      <c r="A7511" s="1" t="s">
        <v>2246</v>
      </c>
      <c r="B7511" s="1" t="s">
        <v>2366</v>
      </c>
      <c r="C7511" s="1" t="str">
        <f>"PB021"</f>
        <v>PB021</v>
      </c>
      <c r="D7511" s="1" t="str">
        <f>"PB021"</f>
        <v>PB021</v>
      </c>
      <c r="E7511" s="1" t="s">
        <v>4566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</row>
    <row r="7512" spans="1:11" x14ac:dyDescent="0.2">
      <c r="A7512" s="1" t="s">
        <v>2246</v>
      </c>
      <c r="B7512" s="1" t="s">
        <v>2367</v>
      </c>
      <c r="C7512" s="1" t="str">
        <f>"PB029"</f>
        <v>PB029</v>
      </c>
      <c r="D7512" s="1" t="str">
        <f>"PB029"</f>
        <v>PB029</v>
      </c>
      <c r="E7512" s="1" t="s">
        <v>4566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</row>
    <row r="7513" spans="1:11" x14ac:dyDescent="0.2">
      <c r="A7513" s="1" t="s">
        <v>2291</v>
      </c>
      <c r="B7513" s="1" t="s">
        <v>2368</v>
      </c>
      <c r="C7513" s="1" t="str">
        <f>"66298891386992"</f>
        <v>66298891386992</v>
      </c>
      <c r="D7513" s="1" t="str">
        <f>"3228"</f>
        <v>3228</v>
      </c>
      <c r="E7513" s="1" t="s">
        <v>4566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</row>
    <row r="7514" spans="1:11" x14ac:dyDescent="0.2">
      <c r="A7514" s="1" t="s">
        <v>2291</v>
      </c>
      <c r="B7514" s="1" t="s">
        <v>2369</v>
      </c>
      <c r="C7514" s="1" t="str">
        <f>"66298891425878"</f>
        <v>66298891425878</v>
      </c>
      <c r="D7514" s="1" t="str">
        <f>"0038A"</f>
        <v>0038A</v>
      </c>
      <c r="E7514" s="1" t="s">
        <v>4566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</row>
    <row r="7515" spans="1:11" x14ac:dyDescent="0.2">
      <c r="A7515" s="1" t="s">
        <v>2246</v>
      </c>
      <c r="B7515" s="1" t="s">
        <v>2370</v>
      </c>
      <c r="C7515" s="1" t="str">
        <f>"RF029"</f>
        <v>RF029</v>
      </c>
      <c r="D7515" s="1" t="str">
        <f>"RF029"</f>
        <v>RF029</v>
      </c>
      <c r="E7515" s="1" t="s">
        <v>4566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</row>
    <row r="7516" spans="1:11" x14ac:dyDescent="0.2">
      <c r="A7516" s="1" t="s">
        <v>2246</v>
      </c>
      <c r="B7516" s="1" t="s">
        <v>2371</v>
      </c>
      <c r="C7516" s="1" t="str">
        <f>"RF016"</f>
        <v>RF016</v>
      </c>
      <c r="D7516" s="1" t="str">
        <f>"RF016"</f>
        <v>RF016</v>
      </c>
      <c r="E7516" s="1" t="s">
        <v>4566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</row>
    <row r="7517" spans="1:11" x14ac:dyDescent="0.2">
      <c r="A7517" s="1" t="s">
        <v>2246</v>
      </c>
      <c r="B7517" s="1" t="s">
        <v>2372</v>
      </c>
      <c r="C7517" s="1" t="str">
        <f>"RF025"</f>
        <v>RF025</v>
      </c>
      <c r="D7517" s="1" t="str">
        <f>"RF025"</f>
        <v>RF025</v>
      </c>
      <c r="E7517" s="1" t="s">
        <v>4566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</row>
    <row r="7518" spans="1:11" ht="30" x14ac:dyDescent="0.2">
      <c r="A7518" s="1" t="s">
        <v>2291</v>
      </c>
      <c r="B7518" s="1" t="s">
        <v>2373</v>
      </c>
      <c r="C7518" s="1" t="str">
        <f>"49CC05"</f>
        <v>49CC05</v>
      </c>
      <c r="D7518" s="1" t="str">
        <f>"49CC05"</f>
        <v>49CC05</v>
      </c>
      <c r="E7518" s="1" t="s">
        <v>4566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</row>
    <row r="7519" spans="1:11" x14ac:dyDescent="0.2">
      <c r="A7519" s="1" t="s">
        <v>2246</v>
      </c>
      <c r="B7519" s="1" t="s">
        <v>2374</v>
      </c>
      <c r="C7519" s="1" t="str">
        <f>"12072-PAR"</f>
        <v>12072-PAR</v>
      </c>
      <c r="D7519" s="1" t="str">
        <f>"12072-PAR"</f>
        <v>12072-PAR</v>
      </c>
      <c r="E7519" s="1" t="s">
        <v>4566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</row>
    <row r="7520" spans="1:11" x14ac:dyDescent="0.2">
      <c r="A7520" s="1" t="s">
        <v>2246</v>
      </c>
      <c r="B7520" s="1" t="s">
        <v>2375</v>
      </c>
      <c r="C7520" s="1" t="str">
        <f>"RF013"</f>
        <v>RF013</v>
      </c>
      <c r="D7520" s="1" t="str">
        <f>"RF013"</f>
        <v>RF013</v>
      </c>
      <c r="E7520" s="1" t="s">
        <v>4566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</row>
    <row r="7521" spans="1:11" x14ac:dyDescent="0.2">
      <c r="A7521" s="1" t="s">
        <v>2246</v>
      </c>
      <c r="B7521" s="1" t="s">
        <v>2376</v>
      </c>
      <c r="C7521" s="1" t="str">
        <f>"RF024"</f>
        <v>RF024</v>
      </c>
      <c r="D7521" s="1" t="str">
        <f>"RF024"</f>
        <v>RF024</v>
      </c>
      <c r="E7521" s="1" t="s">
        <v>4566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</row>
    <row r="7522" spans="1:11" x14ac:dyDescent="0.2">
      <c r="A7522" s="1" t="s">
        <v>2246</v>
      </c>
      <c r="B7522" s="1" t="s">
        <v>2377</v>
      </c>
      <c r="C7522" s="1" t="str">
        <f>"RF021"</f>
        <v>RF021</v>
      </c>
      <c r="D7522" s="1" t="str">
        <f>"RF021"</f>
        <v>RF021</v>
      </c>
      <c r="E7522" s="1" t="s">
        <v>4566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</row>
    <row r="7523" spans="1:11" x14ac:dyDescent="0.2">
      <c r="A7523" s="1" t="s">
        <v>2291</v>
      </c>
      <c r="B7523" s="1" t="s">
        <v>2378</v>
      </c>
      <c r="C7523" s="1" t="str">
        <f>"66298891470234"</f>
        <v>66298891470234</v>
      </c>
      <c r="D7523" s="1" t="str">
        <f>"RF036"</f>
        <v>RF036</v>
      </c>
      <c r="E7523" s="1" t="s">
        <v>4566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</row>
    <row r="7524" spans="1:11" x14ac:dyDescent="0.2">
      <c r="A7524" s="1" t="s">
        <v>2291</v>
      </c>
      <c r="B7524" s="1" t="s">
        <v>2379</v>
      </c>
      <c r="C7524" s="1" t="str">
        <f>"66298891511281"</f>
        <v>66298891511281</v>
      </c>
      <c r="D7524" s="1" t="str">
        <f>"0152"</f>
        <v>0152</v>
      </c>
      <c r="E7524" s="1" t="s">
        <v>4566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</row>
    <row r="7525" spans="1:11" x14ac:dyDescent="0.2">
      <c r="A7525" s="1" t="s">
        <v>2291</v>
      </c>
      <c r="B7525" s="1" t="s">
        <v>2379</v>
      </c>
      <c r="C7525" s="1" t="str">
        <f>"66298891551355"</f>
        <v>66298891551355</v>
      </c>
      <c r="D7525" s="1" t="str">
        <f>"83037"</f>
        <v>83037</v>
      </c>
      <c r="E7525" s="1" t="s">
        <v>4566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</row>
    <row r="7526" spans="1:11" x14ac:dyDescent="0.2">
      <c r="A7526" s="1" t="s">
        <v>2291</v>
      </c>
      <c r="B7526" s="1" t="s">
        <v>2380</v>
      </c>
      <c r="C7526" s="1" t="str">
        <f>"66298891592320"</f>
        <v>66298891592320</v>
      </c>
      <c r="D7526" s="1" t="str">
        <f>"1433"</f>
        <v>1433</v>
      </c>
      <c r="E7526" s="1" t="s">
        <v>4566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</row>
    <row r="7527" spans="1:11" x14ac:dyDescent="0.2">
      <c r="A7527" s="1" t="s">
        <v>2291</v>
      </c>
      <c r="B7527" s="1" t="s">
        <v>2381</v>
      </c>
      <c r="C7527" s="1" t="str">
        <f>"66298891666844"</f>
        <v>66298891666844</v>
      </c>
      <c r="D7527" s="1" t="str">
        <f>"0145"</f>
        <v>0145</v>
      </c>
      <c r="E7527" s="1" t="s">
        <v>4566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</row>
    <row r="7528" spans="1:11" x14ac:dyDescent="0.2">
      <c r="A7528" s="1" t="s">
        <v>2291</v>
      </c>
      <c r="B7528" s="1" t="s">
        <v>2381</v>
      </c>
      <c r="C7528" s="1" t="str">
        <f>"66298891672884"</f>
        <v>66298891672884</v>
      </c>
      <c r="D7528" s="1" t="str">
        <f>"0028"</f>
        <v>0028</v>
      </c>
      <c r="E7528" s="1" t="s">
        <v>4566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</row>
    <row r="7529" spans="1:11" x14ac:dyDescent="0.2">
      <c r="A7529" s="1" t="s">
        <v>2291</v>
      </c>
      <c r="B7529" s="1" t="s">
        <v>2381</v>
      </c>
      <c r="C7529" s="1" t="str">
        <f>"66298891679398"</f>
        <v>66298891679398</v>
      </c>
      <c r="D7529" s="1" t="str">
        <f>"0114"</f>
        <v>0114</v>
      </c>
      <c r="E7529" s="1" t="s">
        <v>4566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</row>
    <row r="7530" spans="1:11" x14ac:dyDescent="0.2">
      <c r="A7530" s="1" t="s">
        <v>2291</v>
      </c>
      <c r="B7530" s="1" t="s">
        <v>2381</v>
      </c>
      <c r="C7530" s="1" t="str">
        <f>"66298891688174"</f>
        <v>66298891688174</v>
      </c>
      <c r="D7530" s="1" t="str">
        <f>"84953"</f>
        <v>84953</v>
      </c>
      <c r="E7530" s="1" t="s">
        <v>4566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</row>
    <row r="7531" spans="1:11" x14ac:dyDescent="0.2">
      <c r="A7531" s="1" t="s">
        <v>2291</v>
      </c>
      <c r="B7531" s="1" t="s">
        <v>2381</v>
      </c>
      <c r="C7531" s="1" t="str">
        <f>"66298891693700"</f>
        <v>66298891693700</v>
      </c>
      <c r="D7531" s="1" t="str">
        <f>"84961"</f>
        <v>84961</v>
      </c>
      <c r="E7531" s="1" t="s">
        <v>4566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</row>
    <row r="7532" spans="1:11" x14ac:dyDescent="0.2">
      <c r="A7532" s="1" t="s">
        <v>2291</v>
      </c>
      <c r="B7532" s="1" t="s">
        <v>2381</v>
      </c>
      <c r="C7532" s="1" t="str">
        <f>"66298891698839"</f>
        <v>66298891698839</v>
      </c>
      <c r="D7532" s="1" t="str">
        <f>"84958"</f>
        <v>84958</v>
      </c>
      <c r="E7532" s="1" t="s">
        <v>4566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</row>
    <row r="7533" spans="1:11" x14ac:dyDescent="0.2">
      <c r="A7533" s="1" t="s">
        <v>2291</v>
      </c>
      <c r="B7533" s="1" t="s">
        <v>2381</v>
      </c>
      <c r="C7533" s="1" t="str">
        <f>"66298891704600"</f>
        <v>66298891704600</v>
      </c>
      <c r="D7533" s="1" t="str">
        <f>"84962"</f>
        <v>84962</v>
      </c>
      <c r="E7533" s="1" t="s">
        <v>4566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</row>
    <row r="7534" spans="1:11" x14ac:dyDescent="0.2">
      <c r="A7534" s="1" t="s">
        <v>2291</v>
      </c>
      <c r="B7534" s="1" t="s">
        <v>2381</v>
      </c>
      <c r="C7534" s="1" t="str">
        <f>"66298891709689"</f>
        <v>66298891709689</v>
      </c>
      <c r="D7534" s="1" t="str">
        <f>"84959"</f>
        <v>84959</v>
      </c>
      <c r="E7534" s="1" t="s">
        <v>4566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</row>
    <row r="7535" spans="1:11" x14ac:dyDescent="0.2">
      <c r="A7535" s="1" t="s">
        <v>2291</v>
      </c>
      <c r="B7535" s="1" t="s">
        <v>2381</v>
      </c>
      <c r="C7535" s="1" t="str">
        <f>"66298891714033"</f>
        <v>66298891714033</v>
      </c>
      <c r="D7535" s="1" t="str">
        <f>"RE009"</f>
        <v>RE009</v>
      </c>
      <c r="E7535" s="1" t="s">
        <v>4566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</row>
    <row r="7536" spans="1:11" x14ac:dyDescent="0.2">
      <c r="A7536" s="1" t="s">
        <v>2291</v>
      </c>
      <c r="B7536" s="1" t="s">
        <v>2381</v>
      </c>
      <c r="C7536" s="1" t="str">
        <f>"66298891720280"</f>
        <v>66298891720280</v>
      </c>
      <c r="D7536" s="1" t="str">
        <f>"RE010"</f>
        <v>RE010</v>
      </c>
      <c r="E7536" s="1" t="s">
        <v>4566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</row>
    <row r="7537" spans="1:11" x14ac:dyDescent="0.2">
      <c r="A7537" s="1" t="s">
        <v>2291</v>
      </c>
      <c r="B7537" s="1" t="s">
        <v>2381</v>
      </c>
      <c r="C7537" s="1" t="str">
        <f>"66298891725473"</f>
        <v>66298891725473</v>
      </c>
      <c r="D7537" s="1" t="str">
        <f>"RE014"</f>
        <v>RE014</v>
      </c>
      <c r="E7537" s="1" t="s">
        <v>4566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</row>
    <row r="7538" spans="1:11" x14ac:dyDescent="0.2">
      <c r="A7538" s="1" t="s">
        <v>2291</v>
      </c>
      <c r="B7538" s="1" t="s">
        <v>2381</v>
      </c>
      <c r="C7538" s="1" t="str">
        <f>"66298891908237"</f>
        <v>66298891908237</v>
      </c>
      <c r="D7538" s="1" t="str">
        <f>"556"</f>
        <v>556</v>
      </c>
      <c r="E7538" s="1" t="s">
        <v>4566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</row>
    <row r="7539" spans="1:11" x14ac:dyDescent="0.2">
      <c r="A7539" s="1" t="s">
        <v>2246</v>
      </c>
      <c r="B7539" s="1" t="s">
        <v>2381</v>
      </c>
      <c r="C7539" s="1" t="str">
        <f>"55003"</f>
        <v>55003</v>
      </c>
      <c r="D7539" s="1" t="str">
        <f>"55003"</f>
        <v>55003</v>
      </c>
      <c r="E7539" s="1" t="s">
        <v>4566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</row>
    <row r="7540" spans="1:11" x14ac:dyDescent="0.2">
      <c r="A7540" s="1" t="s">
        <v>2246</v>
      </c>
      <c r="B7540" s="1" t="s">
        <v>2381</v>
      </c>
      <c r="C7540" s="1" t="str">
        <f>"134353"</f>
        <v>134353</v>
      </c>
      <c r="D7540" s="1" t="str">
        <f>"134353"</f>
        <v>134353</v>
      </c>
      <c r="E7540" s="1" t="s">
        <v>4566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</row>
    <row r="7541" spans="1:11" x14ac:dyDescent="0.2">
      <c r="A7541" s="1" t="s">
        <v>2246</v>
      </c>
      <c r="B7541" s="1" t="s">
        <v>2381</v>
      </c>
      <c r="C7541" s="1" t="str">
        <f>"136795"</f>
        <v>136795</v>
      </c>
      <c r="D7541" s="1" t="str">
        <f>"136795"</f>
        <v>136795</v>
      </c>
      <c r="E7541" s="1" t="s">
        <v>4566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</row>
    <row r="7542" spans="1:11" x14ac:dyDescent="0.2">
      <c r="A7542" s="1" t="s">
        <v>2246</v>
      </c>
      <c r="B7542" s="1" t="s">
        <v>2381</v>
      </c>
      <c r="C7542" s="1" t="str">
        <f>"RE013"</f>
        <v>RE013</v>
      </c>
      <c r="D7542" s="1" t="str">
        <f>"RE013"</f>
        <v>RE013</v>
      </c>
      <c r="E7542" s="1" t="s">
        <v>4566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</row>
    <row r="7543" spans="1:11" x14ac:dyDescent="0.2">
      <c r="A7543" s="1" t="s">
        <v>2246</v>
      </c>
      <c r="B7543" s="1" t="s">
        <v>2381</v>
      </c>
      <c r="C7543" s="1" t="str">
        <f>"RE074"</f>
        <v>RE074</v>
      </c>
      <c r="D7543" s="1" t="str">
        <f>"RE074"</f>
        <v>RE074</v>
      </c>
      <c r="E7543" s="1" t="s">
        <v>4566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</row>
    <row r="7544" spans="1:11" x14ac:dyDescent="0.2">
      <c r="A7544" s="1" t="s">
        <v>2246</v>
      </c>
      <c r="B7544" s="1" t="s">
        <v>2381</v>
      </c>
      <c r="C7544" s="1" t="str">
        <f>"136817"</f>
        <v>136817</v>
      </c>
      <c r="D7544" s="1" t="str">
        <f>"136817"</f>
        <v>136817</v>
      </c>
      <c r="E7544" s="1" t="s">
        <v>4566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</row>
    <row r="7545" spans="1:11" x14ac:dyDescent="0.2">
      <c r="A7545" s="1" t="s">
        <v>2246</v>
      </c>
      <c r="B7545" s="1" t="s">
        <v>2381</v>
      </c>
      <c r="C7545" s="1" t="str">
        <f>"2116"</f>
        <v>2116</v>
      </c>
      <c r="D7545" s="1" t="str">
        <f>"2116"</f>
        <v>2116</v>
      </c>
      <c r="E7545" s="1" t="s">
        <v>4566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</row>
    <row r="7546" spans="1:11" x14ac:dyDescent="0.2">
      <c r="A7546" s="1" t="s">
        <v>2246</v>
      </c>
      <c r="B7546" s="1" t="s">
        <v>2381</v>
      </c>
      <c r="C7546" s="1" t="str">
        <f>"55002"</f>
        <v>55002</v>
      </c>
      <c r="D7546" s="1" t="str">
        <f>"55002"</f>
        <v>55002</v>
      </c>
      <c r="E7546" s="1" t="s">
        <v>4566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</row>
    <row r="7547" spans="1:11" x14ac:dyDescent="0.2">
      <c r="A7547" s="1" t="s">
        <v>2246</v>
      </c>
      <c r="B7547" s="1" t="s">
        <v>2381</v>
      </c>
      <c r="C7547" s="1" t="str">
        <f>"55004"</f>
        <v>55004</v>
      </c>
      <c r="D7547" s="1" t="str">
        <f>"55004"</f>
        <v>55004</v>
      </c>
      <c r="E7547" s="1" t="s">
        <v>4566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</row>
    <row r="7548" spans="1:11" x14ac:dyDescent="0.2">
      <c r="A7548" s="1" t="s">
        <v>2246</v>
      </c>
      <c r="B7548" s="1" t="s">
        <v>2381</v>
      </c>
      <c r="C7548" s="1" t="str">
        <f>"55005"</f>
        <v>55005</v>
      </c>
      <c r="D7548" s="1" t="str">
        <f>"55005"</f>
        <v>55005</v>
      </c>
      <c r="E7548" s="1" t="s">
        <v>4566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</row>
    <row r="7549" spans="1:11" x14ac:dyDescent="0.2">
      <c r="A7549" s="1" t="s">
        <v>2246</v>
      </c>
      <c r="B7549" s="1" t="s">
        <v>2381</v>
      </c>
      <c r="C7549" s="1" t="str">
        <f>"121604"</f>
        <v>121604</v>
      </c>
      <c r="D7549" s="1" t="str">
        <f>"121604"</f>
        <v>121604</v>
      </c>
      <c r="E7549" s="1" t="s">
        <v>4566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</row>
    <row r="7550" spans="1:11" x14ac:dyDescent="0.2">
      <c r="A7550" s="1" t="s">
        <v>2246</v>
      </c>
      <c r="B7550" s="1" t="s">
        <v>2381</v>
      </c>
      <c r="C7550" s="1" t="str">
        <f>"13551"</f>
        <v>13551</v>
      </c>
      <c r="D7550" s="1" t="str">
        <f>"13551"</f>
        <v>13551</v>
      </c>
      <c r="E7550" s="1" t="s">
        <v>4566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</row>
    <row r="7551" spans="1:11" x14ac:dyDescent="0.2">
      <c r="A7551" s="1" t="s">
        <v>2246</v>
      </c>
      <c r="B7551" s="1" t="s">
        <v>2381</v>
      </c>
      <c r="C7551" s="1" t="str">
        <f>"13552"</f>
        <v>13552</v>
      </c>
      <c r="D7551" s="1" t="str">
        <f>"13552"</f>
        <v>13552</v>
      </c>
      <c r="E7551" s="1" t="s">
        <v>4566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</row>
    <row r="7552" spans="1:11" x14ac:dyDescent="0.2">
      <c r="A7552" s="1" t="s">
        <v>2246</v>
      </c>
      <c r="B7552" s="1" t="s">
        <v>2381</v>
      </c>
      <c r="C7552" s="1" t="str">
        <f>"RE030"</f>
        <v>RE030</v>
      </c>
      <c r="D7552" s="1" t="str">
        <f>"RE030"</f>
        <v>RE030</v>
      </c>
      <c r="E7552" s="1" t="s">
        <v>4566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</row>
    <row r="7553" spans="1:11" x14ac:dyDescent="0.2">
      <c r="A7553" s="1" t="s">
        <v>2246</v>
      </c>
      <c r="B7553" s="1" t="s">
        <v>2381</v>
      </c>
      <c r="C7553" s="1" t="str">
        <f>"RE037"</f>
        <v>RE037</v>
      </c>
      <c r="D7553" s="1" t="str">
        <f>"RE037"</f>
        <v>RE037</v>
      </c>
      <c r="E7553" s="1" t="s">
        <v>4566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</row>
    <row r="7554" spans="1:11" x14ac:dyDescent="0.2">
      <c r="A7554" s="1" t="s">
        <v>2246</v>
      </c>
      <c r="B7554" s="1" t="s">
        <v>2381</v>
      </c>
      <c r="C7554" s="1" t="str">
        <f>"RE039"</f>
        <v>RE039</v>
      </c>
      <c r="D7554" s="1" t="str">
        <f>"RE039"</f>
        <v>RE039</v>
      </c>
      <c r="E7554" s="1" t="s">
        <v>4566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</row>
    <row r="7555" spans="1:11" x14ac:dyDescent="0.2">
      <c r="A7555" s="1" t="s">
        <v>2246</v>
      </c>
      <c r="B7555" s="1" t="s">
        <v>2381</v>
      </c>
      <c r="C7555" s="1" t="str">
        <f>"RE040"</f>
        <v>RE040</v>
      </c>
      <c r="D7555" s="1" t="str">
        <f>"RE040"</f>
        <v>RE040</v>
      </c>
      <c r="E7555" s="1" t="s">
        <v>4566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</row>
    <row r="7556" spans="1:11" x14ac:dyDescent="0.2">
      <c r="A7556" s="1" t="s">
        <v>2246</v>
      </c>
      <c r="B7556" s="1" t="s">
        <v>2381</v>
      </c>
      <c r="C7556" s="1" t="str">
        <f>"RE043"</f>
        <v>RE043</v>
      </c>
      <c r="D7556" s="1" t="str">
        <f>"RE043"</f>
        <v>RE043</v>
      </c>
      <c r="E7556" s="1" t="s">
        <v>4566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</row>
    <row r="7557" spans="1:11" x14ac:dyDescent="0.2">
      <c r="A7557" s="1" t="s">
        <v>2246</v>
      </c>
      <c r="B7557" s="1" t="s">
        <v>2381</v>
      </c>
      <c r="C7557" s="1" t="str">
        <f>"3156"</f>
        <v>3156</v>
      </c>
      <c r="D7557" s="1" t="str">
        <f>"3156"</f>
        <v>3156</v>
      </c>
      <c r="E7557" s="1" t="s">
        <v>4566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</row>
    <row r="7558" spans="1:11" x14ac:dyDescent="0.2">
      <c r="A7558" s="1" t="s">
        <v>2246</v>
      </c>
      <c r="B7558" s="1" t="s">
        <v>2381</v>
      </c>
      <c r="C7558" s="1" t="str">
        <f>"55001"</f>
        <v>55001</v>
      </c>
      <c r="D7558" s="1" t="str">
        <f>"55001"</f>
        <v>55001</v>
      </c>
      <c r="E7558" s="1" t="s">
        <v>4566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</row>
    <row r="7559" spans="1:11" x14ac:dyDescent="0.2">
      <c r="A7559" s="1" t="s">
        <v>2246</v>
      </c>
      <c r="B7559" s="1" t="s">
        <v>2381</v>
      </c>
      <c r="C7559" s="1" t="str">
        <f>"120724"</f>
        <v>120724</v>
      </c>
      <c r="D7559" s="1" t="str">
        <f>"120724"</f>
        <v>120724</v>
      </c>
      <c r="E7559" s="1" t="s">
        <v>4566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</row>
    <row r="7560" spans="1:11" x14ac:dyDescent="0.2">
      <c r="A7560" s="1" t="s">
        <v>2246</v>
      </c>
      <c r="B7560" s="1" t="s">
        <v>2381</v>
      </c>
      <c r="C7560" s="1" t="str">
        <f>"120713"</f>
        <v>120713</v>
      </c>
      <c r="D7560" s="1" t="str">
        <f>"120713"</f>
        <v>120713</v>
      </c>
      <c r="E7560" s="1" t="s">
        <v>4566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</row>
    <row r="7561" spans="1:11" x14ac:dyDescent="0.2">
      <c r="A7561" s="1" t="s">
        <v>2246</v>
      </c>
      <c r="B7561" s="1" t="s">
        <v>2381</v>
      </c>
      <c r="C7561" s="1" t="str">
        <f>"136784"</f>
        <v>136784</v>
      </c>
      <c r="D7561" s="1" t="str">
        <f>"136784"</f>
        <v>136784</v>
      </c>
      <c r="E7561" s="1" t="s">
        <v>4566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</row>
    <row r="7562" spans="1:11" x14ac:dyDescent="0.2">
      <c r="A7562" s="1" t="s">
        <v>2291</v>
      </c>
      <c r="B7562" s="1" t="s">
        <v>2382</v>
      </c>
      <c r="C7562" s="1" t="str">
        <f>"66298891949160"</f>
        <v>66298891949160</v>
      </c>
      <c r="D7562" s="1" t="str">
        <f>"81236"</f>
        <v>81236</v>
      </c>
      <c r="E7562" s="1" t="s">
        <v>4566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</row>
    <row r="7563" spans="1:11" ht="30" x14ac:dyDescent="0.2">
      <c r="A7563" s="1" t="s">
        <v>2246</v>
      </c>
      <c r="B7563" s="1" t="s">
        <v>2383</v>
      </c>
      <c r="C7563" s="1" t="str">
        <f>"RF035"</f>
        <v>RF035</v>
      </c>
      <c r="D7563" s="1" t="str">
        <f>"RF035"</f>
        <v>RF035</v>
      </c>
      <c r="E7563" s="1" t="s">
        <v>4566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</row>
    <row r="7564" spans="1:11" ht="30" x14ac:dyDescent="0.2">
      <c r="A7564" s="1" t="s">
        <v>2246</v>
      </c>
      <c r="B7564" s="1" t="s">
        <v>2384</v>
      </c>
      <c r="C7564" s="1" t="str">
        <f>"RF001"</f>
        <v>RF001</v>
      </c>
      <c r="D7564" s="1" t="str">
        <f>"RF001"</f>
        <v>RF001</v>
      </c>
      <c r="E7564" s="1" t="s">
        <v>4566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</row>
    <row r="7565" spans="1:11" x14ac:dyDescent="0.2">
      <c r="A7565" s="1" t="s">
        <v>2291</v>
      </c>
      <c r="B7565" s="1" t="s">
        <v>2385</v>
      </c>
      <c r="C7565" s="1" t="str">
        <f>"RF052"</f>
        <v>RF052</v>
      </c>
      <c r="D7565" s="1" t="str">
        <f>"RF052"</f>
        <v>RF052</v>
      </c>
      <c r="E7565" s="1" t="s">
        <v>4566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</row>
    <row r="7566" spans="1:11" x14ac:dyDescent="0.2">
      <c r="A7566" s="1" t="s">
        <v>2291</v>
      </c>
      <c r="B7566" s="1" t="s">
        <v>2386</v>
      </c>
      <c r="C7566" s="1" t="str">
        <f>"66298891987915"</f>
        <v>66298891987915</v>
      </c>
      <c r="D7566" s="1" t="str">
        <f>"RF028"</f>
        <v>RF028</v>
      </c>
      <c r="E7566" s="1" t="s">
        <v>4566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</row>
    <row r="7567" spans="1:11" ht="30" x14ac:dyDescent="0.2">
      <c r="A7567" s="1" t="s">
        <v>2291</v>
      </c>
      <c r="B7567" s="1" t="s">
        <v>2387</v>
      </c>
      <c r="C7567" s="1" t="str">
        <f>"49CC06"</f>
        <v>49CC06</v>
      </c>
      <c r="D7567" s="1" t="str">
        <f>"49CC06"</f>
        <v>49CC06</v>
      </c>
      <c r="E7567" s="1" t="s">
        <v>4566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</row>
    <row r="7568" spans="1:11" x14ac:dyDescent="0.2">
      <c r="A7568" s="1" t="s">
        <v>2246</v>
      </c>
      <c r="B7568" s="1" t="s">
        <v>2388</v>
      </c>
      <c r="C7568" s="1" t="str">
        <f>"RF014"</f>
        <v>RF014</v>
      </c>
      <c r="D7568" s="1" t="str">
        <f>"RF014"</f>
        <v>RF014</v>
      </c>
      <c r="E7568" s="1" t="s">
        <v>4566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</row>
    <row r="7569" spans="1:11" x14ac:dyDescent="0.2">
      <c r="A7569" s="1" t="s">
        <v>2246</v>
      </c>
      <c r="B7569" s="1" t="s">
        <v>2389</v>
      </c>
      <c r="C7569" s="1" t="str">
        <f>"RF027"</f>
        <v>RF027</v>
      </c>
      <c r="D7569" s="1" t="str">
        <f>"RF027"</f>
        <v>RF027</v>
      </c>
      <c r="E7569" s="1" t="s">
        <v>4566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</row>
    <row r="7570" spans="1:11" x14ac:dyDescent="0.2">
      <c r="A7570" s="1" t="s">
        <v>2246</v>
      </c>
      <c r="B7570" s="1" t="s">
        <v>2390</v>
      </c>
      <c r="C7570" s="1" t="str">
        <f>"RF033"</f>
        <v>RF033</v>
      </c>
      <c r="D7570" s="1" t="str">
        <f>"RF033"</f>
        <v>RF033</v>
      </c>
      <c r="E7570" s="1" t="s">
        <v>4566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</row>
    <row r="7571" spans="1:11" x14ac:dyDescent="0.2">
      <c r="A7571" s="1" t="s">
        <v>2246</v>
      </c>
      <c r="B7571" s="1" t="s">
        <v>2391</v>
      </c>
      <c r="C7571" s="1" t="str">
        <f>"RF026"</f>
        <v>RF026</v>
      </c>
      <c r="D7571" s="1" t="str">
        <f>"RF026"</f>
        <v>RF026</v>
      </c>
      <c r="E7571" s="1" t="s">
        <v>4566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</row>
    <row r="7572" spans="1:11" x14ac:dyDescent="0.2">
      <c r="A7572" s="1" t="s">
        <v>2291</v>
      </c>
      <c r="B7572" s="1" t="s">
        <v>2392</v>
      </c>
      <c r="C7572" s="1" t="str">
        <f>"66298892074026"</f>
        <v>66298892074026</v>
      </c>
      <c r="D7572" s="1" t="str">
        <f>"RE002-CR"</f>
        <v>RE002-CR</v>
      </c>
      <c r="E7572" s="1" t="s">
        <v>4566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</row>
    <row r="7573" spans="1:11" x14ac:dyDescent="0.2">
      <c r="A7573" s="1" t="s">
        <v>2291</v>
      </c>
      <c r="B7573" s="1" t="s">
        <v>2393</v>
      </c>
      <c r="C7573" s="1" t="str">
        <f>"66298892121918"</f>
        <v>66298892121918</v>
      </c>
      <c r="D7573" s="1" t="str">
        <f>"RE002-N"</f>
        <v>RE002-N</v>
      </c>
      <c r="E7573" s="1" t="s">
        <v>4566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</row>
    <row r="7574" spans="1:11" x14ac:dyDescent="0.2">
      <c r="A7574" s="1" t="s">
        <v>2291</v>
      </c>
      <c r="B7574" s="1" t="s">
        <v>2393</v>
      </c>
      <c r="C7574" s="1" t="str">
        <f>"66298892128494"</f>
        <v>66298892128494</v>
      </c>
      <c r="D7574" s="1" t="str">
        <f>"RE004"</f>
        <v>RE004</v>
      </c>
      <c r="E7574" s="1" t="s">
        <v>4566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</row>
    <row r="7575" spans="1:11" x14ac:dyDescent="0.2">
      <c r="A7575" s="1" t="s">
        <v>2291</v>
      </c>
      <c r="B7575" s="1" t="s">
        <v>2394</v>
      </c>
      <c r="C7575" s="1" t="str">
        <f>"66298892029481"</f>
        <v>66298892029481</v>
      </c>
      <c r="D7575" s="1" t="str">
        <f>"RE017"</f>
        <v>RE017</v>
      </c>
      <c r="E7575" s="1" t="s">
        <v>4566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</row>
    <row r="7576" spans="1:11" x14ac:dyDescent="0.2">
      <c r="A7576" s="1" t="s">
        <v>2246</v>
      </c>
      <c r="B7576" s="1" t="s">
        <v>2394</v>
      </c>
      <c r="C7576" s="1" t="str">
        <f>"RE002"</f>
        <v>RE002</v>
      </c>
      <c r="D7576" s="1" t="str">
        <f>"RE002"</f>
        <v>RE002</v>
      </c>
      <c r="E7576" s="1" t="s">
        <v>4566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</row>
    <row r="7577" spans="1:11" x14ac:dyDescent="0.2">
      <c r="A7577" s="1" t="s">
        <v>2246</v>
      </c>
      <c r="B7577" s="1" t="s">
        <v>2394</v>
      </c>
      <c r="C7577" s="1" t="str">
        <f>"RE003"</f>
        <v>RE003</v>
      </c>
      <c r="D7577" s="1" t="str">
        <f>"RE003"</f>
        <v>RE003</v>
      </c>
      <c r="E7577" s="1" t="s">
        <v>4566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</row>
    <row r="7578" spans="1:11" x14ac:dyDescent="0.2">
      <c r="A7578" s="1" t="s">
        <v>2291</v>
      </c>
      <c r="B7578" s="1" t="s">
        <v>2395</v>
      </c>
      <c r="C7578" s="1" t="str">
        <f>"RF023"</f>
        <v>RF023</v>
      </c>
      <c r="D7578" s="1" t="str">
        <f>"RF023"</f>
        <v>RF023</v>
      </c>
      <c r="E7578" s="1" t="s">
        <v>4566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</row>
    <row r="7579" spans="1:11" x14ac:dyDescent="0.2">
      <c r="A7579" s="1" t="s">
        <v>98</v>
      </c>
      <c r="B7579" s="1" t="s">
        <v>2396</v>
      </c>
      <c r="C7579" s="1" t="str">
        <f>"66298892231325"</f>
        <v>66298892231325</v>
      </c>
      <c r="D7579" s="1" t="str">
        <f>"44151H2C000H000"</f>
        <v>44151H2C000H000</v>
      </c>
      <c r="E7579" s="1" t="s">
        <v>4566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</row>
    <row r="7580" spans="1:11" x14ac:dyDescent="0.2">
      <c r="A7580" s="1" t="s">
        <v>1359</v>
      </c>
      <c r="B7580" s="1" t="s">
        <v>2397</v>
      </c>
      <c r="C7580" s="1" t="str">
        <f>"31350"</f>
        <v>31350</v>
      </c>
      <c r="D7580" s="1" t="str">
        <f>"31350"</f>
        <v>31350</v>
      </c>
      <c r="E7580" s="1" t="s">
        <v>4566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</row>
    <row r="7581" spans="1:11" x14ac:dyDescent="0.2">
      <c r="A7581" s="1" t="s">
        <v>18</v>
      </c>
      <c r="B7581" s="1" t="s">
        <v>2398</v>
      </c>
      <c r="C7581" s="1" t="str">
        <f>"124508"</f>
        <v>124508</v>
      </c>
      <c r="D7581" s="1" t="str">
        <f>"124508"</f>
        <v>124508</v>
      </c>
      <c r="E7581" s="1" t="s">
        <v>4566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</row>
    <row r="7582" spans="1:11" x14ac:dyDescent="0.2">
      <c r="A7582" s="1" t="s">
        <v>1359</v>
      </c>
      <c r="B7582" s="1" t="s">
        <v>2399</v>
      </c>
      <c r="C7582" s="1" t="str">
        <f>"66298892280056"</f>
        <v>66298892280056</v>
      </c>
      <c r="D7582" s="1" t="str">
        <f>"HH056"</f>
        <v>HH056</v>
      </c>
      <c r="E7582" s="1" t="s">
        <v>4566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</row>
    <row r="7583" spans="1:11" x14ac:dyDescent="0.2">
      <c r="A7583" s="1" t="s">
        <v>1359</v>
      </c>
      <c r="B7583" s="1" t="s">
        <v>2400</v>
      </c>
      <c r="C7583" s="1" t="str">
        <f>"66298892325510"</f>
        <v>66298892325510</v>
      </c>
      <c r="D7583" s="1" t="str">
        <f>"HH055"</f>
        <v>HH055</v>
      </c>
      <c r="E7583" s="1" t="s">
        <v>4566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</row>
    <row r="7584" spans="1:11" x14ac:dyDescent="0.2">
      <c r="A7584" s="1" t="s">
        <v>1359</v>
      </c>
      <c r="B7584" s="1" t="s">
        <v>2401</v>
      </c>
      <c r="C7584" s="1" t="str">
        <f>"66298892372500"</f>
        <v>66298892372500</v>
      </c>
      <c r="D7584" s="1" t="str">
        <f>"FU-10A"</f>
        <v>FU-10A</v>
      </c>
      <c r="E7584" s="1" t="s">
        <v>4566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</row>
    <row r="7585" spans="1:11" x14ac:dyDescent="0.2">
      <c r="A7585" s="1" t="s">
        <v>1359</v>
      </c>
      <c r="B7585" s="1" t="s">
        <v>2402</v>
      </c>
      <c r="C7585" s="1" t="str">
        <f>"66298892417290"</f>
        <v>66298892417290</v>
      </c>
      <c r="D7585" s="1" t="str">
        <f>"FU-20A"</f>
        <v>FU-20A</v>
      </c>
      <c r="E7585" s="1" t="s">
        <v>4566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</row>
    <row r="7586" spans="1:11" x14ac:dyDescent="0.2">
      <c r="A7586" s="1" t="s">
        <v>2403</v>
      </c>
      <c r="B7586" s="1" t="s">
        <v>2404</v>
      </c>
      <c r="C7586" s="1" t="str">
        <f>"66298892510718"</f>
        <v>66298892510718</v>
      </c>
      <c r="D7586" s="1" t="str">
        <f>"1586"</f>
        <v>1586</v>
      </c>
      <c r="E7586" s="1" t="s">
        <v>4566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</row>
    <row r="7587" spans="1:11" x14ac:dyDescent="0.2">
      <c r="A7587" s="1" t="s">
        <v>2403</v>
      </c>
      <c r="B7587" s="1" t="s">
        <v>2405</v>
      </c>
      <c r="C7587" s="1" t="str">
        <f>"66298892551569"</f>
        <v>66298892551569</v>
      </c>
      <c r="D7587" s="1" t="str">
        <f>"GO-PART-MORADO"</f>
        <v>GO-PART-MORADO</v>
      </c>
      <c r="E7587" s="1" t="s">
        <v>4566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</row>
    <row r="7588" spans="1:11" x14ac:dyDescent="0.2">
      <c r="A7588" s="1" t="s">
        <v>2403</v>
      </c>
      <c r="B7588" s="1" t="s">
        <v>2406</v>
      </c>
      <c r="C7588" s="1" t="str">
        <f>"61201"</f>
        <v>61201</v>
      </c>
      <c r="D7588" s="1" t="str">
        <f>"61201"</f>
        <v>61201</v>
      </c>
      <c r="E7588" s="1" t="s">
        <v>4566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</row>
    <row r="7589" spans="1:11" x14ac:dyDescent="0.2">
      <c r="A7589" s="1" t="s">
        <v>18</v>
      </c>
      <c r="B7589" s="1" t="s">
        <v>2406</v>
      </c>
      <c r="C7589" s="1" t="str">
        <f>"B060"</f>
        <v>B060</v>
      </c>
      <c r="D7589" s="1" t="str">
        <f>"B060"</f>
        <v>B060</v>
      </c>
      <c r="E7589" s="1" t="s">
        <v>4566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</row>
    <row r="7590" spans="1:11" x14ac:dyDescent="0.2">
      <c r="A7590" s="1" t="s">
        <v>18</v>
      </c>
      <c r="B7590" s="1" t="s">
        <v>2407</v>
      </c>
      <c r="C7590" s="1" t="str">
        <f>"R037"</f>
        <v>R037</v>
      </c>
      <c r="D7590" s="1" t="str">
        <f>"R037"</f>
        <v>R037</v>
      </c>
      <c r="E7590" s="1" t="s">
        <v>4566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</row>
    <row r="7591" spans="1:11" x14ac:dyDescent="0.2">
      <c r="A7591" s="1" t="s">
        <v>2403</v>
      </c>
      <c r="B7591" s="1" t="s">
        <v>2408</v>
      </c>
      <c r="C7591" s="1" t="str">
        <f>"66298892593171"</f>
        <v>66298892593171</v>
      </c>
      <c r="D7591" s="1" t="str">
        <f>"84484"</f>
        <v>84484</v>
      </c>
      <c r="E7591" s="1" t="s">
        <v>4566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</row>
    <row r="7592" spans="1:11" x14ac:dyDescent="0.2">
      <c r="A7592" s="1" t="s">
        <v>2403</v>
      </c>
      <c r="B7592" s="1" t="s">
        <v>2409</v>
      </c>
      <c r="C7592" s="1" t="str">
        <f>"66298892636836"</f>
        <v>66298892636836</v>
      </c>
      <c r="D7592" s="1" t="str">
        <f>"SB001"</f>
        <v>SB001</v>
      </c>
      <c r="E7592" s="1" t="s">
        <v>4566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</row>
    <row r="7593" spans="1:11" x14ac:dyDescent="0.2">
      <c r="A7593" s="1" t="s">
        <v>2403</v>
      </c>
      <c r="B7593" s="1" t="s">
        <v>2410</v>
      </c>
      <c r="C7593" s="1" t="str">
        <f>"66298892679653"</f>
        <v>66298892679653</v>
      </c>
      <c r="D7593" s="1" t="str">
        <f>"SB002"</f>
        <v>SB002</v>
      </c>
      <c r="E7593" s="1" t="s">
        <v>4566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</row>
    <row r="7594" spans="1:11" ht="30" x14ac:dyDescent="0.2">
      <c r="A7594" s="1" t="s">
        <v>2403</v>
      </c>
      <c r="B7594" s="1" t="s">
        <v>2411</v>
      </c>
      <c r="C7594" s="1" t="str">
        <f>"66298892716977"</f>
        <v>66298892716977</v>
      </c>
      <c r="D7594" s="1" t="str">
        <f>"09943"</f>
        <v>09943</v>
      </c>
      <c r="E7594" s="1" t="s">
        <v>4566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</row>
    <row r="7595" spans="1:11" x14ac:dyDescent="0.2">
      <c r="A7595" s="1" t="s">
        <v>2403</v>
      </c>
      <c r="B7595" s="1" t="s">
        <v>2412</v>
      </c>
      <c r="C7595" s="1" t="str">
        <f>"66298892762986"</f>
        <v>66298892762986</v>
      </c>
      <c r="D7595" s="1" t="str">
        <f>"SB004-ROJO"</f>
        <v>SB004-ROJO</v>
      </c>
      <c r="E7595" s="1" t="s">
        <v>4566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</row>
    <row r="7596" spans="1:11" x14ac:dyDescent="0.2">
      <c r="A7596" s="1" t="s">
        <v>2403</v>
      </c>
      <c r="B7596" s="1" t="s">
        <v>2412</v>
      </c>
      <c r="C7596" s="1" t="str">
        <f>"66298892772091"</f>
        <v>66298892772091</v>
      </c>
      <c r="D7596" s="1" t="str">
        <f>"SB004-AZUL"</f>
        <v>SB004-AZUL</v>
      </c>
      <c r="E7596" s="1" t="s">
        <v>4566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</row>
    <row r="7597" spans="1:11" x14ac:dyDescent="0.2">
      <c r="A7597" s="1" t="s">
        <v>2403</v>
      </c>
      <c r="B7597" s="1" t="s">
        <v>2413</v>
      </c>
      <c r="C7597" s="1" t="str">
        <f>"66298892833289"</f>
        <v>66298892833289</v>
      </c>
      <c r="D7597" s="1" t="str">
        <f>"SB003-NARANJO"</f>
        <v>SB003-NARANJO</v>
      </c>
      <c r="E7597" s="1" t="s">
        <v>4566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</row>
    <row r="7598" spans="1:11" x14ac:dyDescent="0.2">
      <c r="A7598" s="1" t="s">
        <v>2403</v>
      </c>
      <c r="B7598" s="1" t="s">
        <v>2413</v>
      </c>
      <c r="C7598" s="1" t="str">
        <f>"66298892873266"</f>
        <v>66298892873266</v>
      </c>
      <c r="D7598" s="1" t="str">
        <f>"SB003-ROJO"</f>
        <v>SB003-ROJO</v>
      </c>
      <c r="E7598" s="1" t="s">
        <v>4566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</row>
    <row r="7599" spans="1:11" x14ac:dyDescent="0.2">
      <c r="A7599" s="1" t="s">
        <v>2403</v>
      </c>
      <c r="B7599" s="1" t="s">
        <v>2413</v>
      </c>
      <c r="C7599" s="1" t="str">
        <f>"66298892879252"</f>
        <v>66298892879252</v>
      </c>
      <c r="D7599" s="1" t="str">
        <f>"SB003-AZUL"</f>
        <v>SB003-AZUL</v>
      </c>
      <c r="E7599" s="1" t="s">
        <v>4566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</row>
    <row r="7600" spans="1:11" x14ac:dyDescent="0.2">
      <c r="A7600" s="1" t="s">
        <v>15</v>
      </c>
      <c r="B7600" s="1" t="s">
        <v>2414</v>
      </c>
      <c r="C7600" s="1" t="str">
        <f>"701798"</f>
        <v>701798</v>
      </c>
      <c r="D7600" s="1" t="str">
        <f>"701798"</f>
        <v>701798</v>
      </c>
      <c r="E7600" s="1" t="s">
        <v>4566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</row>
    <row r="7601" spans="1:11" x14ac:dyDescent="0.2">
      <c r="A7601" s="1" t="s">
        <v>15</v>
      </c>
      <c r="B7601" s="1" t="s">
        <v>2415</v>
      </c>
      <c r="C7601" s="1" t="str">
        <f>"GRASA-ROJA"</f>
        <v>GRASA-ROJA</v>
      </c>
      <c r="D7601" s="1" t="str">
        <f>"GRASA-ROJA"</f>
        <v>GRASA-ROJA</v>
      </c>
      <c r="E7601" s="1" t="s">
        <v>4566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</row>
    <row r="7602" spans="1:11" x14ac:dyDescent="0.2">
      <c r="A7602" s="1" t="s">
        <v>18</v>
      </c>
      <c r="B7602" s="1" t="s">
        <v>2416</v>
      </c>
      <c r="C7602" s="1" t="str">
        <f>"WB069-AZUL"</f>
        <v>WB069-AZUL</v>
      </c>
      <c r="D7602" s="1" t="str">
        <f>"WB069-AZUL"</f>
        <v>WB069-AZUL</v>
      </c>
      <c r="E7602" s="1" t="s">
        <v>4566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</row>
    <row r="7603" spans="1:11" x14ac:dyDescent="0.2">
      <c r="A7603" s="1" t="s">
        <v>18</v>
      </c>
      <c r="B7603" s="1" t="s">
        <v>2417</v>
      </c>
      <c r="C7603" s="1" t="str">
        <f>"66298893019761"</f>
        <v>66298893019761</v>
      </c>
      <c r="D7603" s="1" t="str">
        <f>"WB069-ROJO"</f>
        <v>WB069-ROJO</v>
      </c>
      <c r="E7603" s="1" t="s">
        <v>4566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</row>
    <row r="7604" spans="1:11" x14ac:dyDescent="0.2">
      <c r="A7604" s="1" t="s">
        <v>18</v>
      </c>
      <c r="B7604" s="1" t="s">
        <v>2418</v>
      </c>
      <c r="C7604" s="1" t="str">
        <f>"WB027-NEG/ROJ-XL"</f>
        <v>WB027-NEG/ROJ-XL</v>
      </c>
      <c r="D7604" s="1" t="str">
        <f>"WB027-NEG/ROJ-XL"</f>
        <v>WB027-NEG/ROJ-XL</v>
      </c>
      <c r="E7604" s="1" t="s">
        <v>4566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</row>
    <row r="7605" spans="1:11" x14ac:dyDescent="0.2">
      <c r="A7605" s="1" t="s">
        <v>2419</v>
      </c>
      <c r="B7605" s="1" t="s">
        <v>2420</v>
      </c>
      <c r="C7605" s="1" t="str">
        <f>"130789-AZUL-XL"</f>
        <v>130789-AZUL-XL</v>
      </c>
      <c r="D7605" s="1" t="str">
        <f>"130789-AZUL-XL"</f>
        <v>130789-AZUL-XL</v>
      </c>
      <c r="E7605" s="1" t="s">
        <v>4566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</row>
    <row r="7606" spans="1:11" x14ac:dyDescent="0.2">
      <c r="A7606" s="1" t="s">
        <v>2419</v>
      </c>
      <c r="B7606" s="1" t="s">
        <v>2421</v>
      </c>
      <c r="C7606" s="1" t="str">
        <f>"130789-AZUL-XXL"</f>
        <v>130789-AZUL-XXL</v>
      </c>
      <c r="D7606" s="1" t="str">
        <f>"130789-AZUL-XXL"</f>
        <v>130789-AZUL-XXL</v>
      </c>
      <c r="E7606" s="1" t="s">
        <v>4566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</row>
    <row r="7607" spans="1:11" x14ac:dyDescent="0.2">
      <c r="A7607" s="1" t="s">
        <v>2419</v>
      </c>
      <c r="B7607" s="1" t="s">
        <v>2422</v>
      </c>
      <c r="C7607" s="1" t="str">
        <f>"130789-GRIS-XXL"</f>
        <v>130789-GRIS-XXL</v>
      </c>
      <c r="D7607" s="1" t="str">
        <f>"130789-GRIS-XXL"</f>
        <v>130789-GRIS-XXL</v>
      </c>
      <c r="E7607" s="1" t="s">
        <v>4566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</row>
    <row r="7608" spans="1:11" x14ac:dyDescent="0.2">
      <c r="A7608" s="1" t="s">
        <v>2419</v>
      </c>
      <c r="B7608" s="1" t="s">
        <v>2423</v>
      </c>
      <c r="C7608" s="1" t="str">
        <f>"130789-ROJO-XL"</f>
        <v>130789-ROJO-XL</v>
      </c>
      <c r="D7608" s="1" t="str">
        <f>"130789-ROJO-XL"</f>
        <v>130789-ROJO-XL</v>
      </c>
      <c r="E7608" s="1" t="s">
        <v>4566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</row>
    <row r="7609" spans="1:11" x14ac:dyDescent="0.2">
      <c r="A7609" s="1" t="s">
        <v>18</v>
      </c>
      <c r="B7609" s="1" t="s">
        <v>2424</v>
      </c>
      <c r="C7609" s="1" t="str">
        <f>"WB004-NEG/FLU-L"</f>
        <v>WB004-NEG/FLU-L</v>
      </c>
      <c r="D7609" s="1" t="str">
        <f>"WB004-NEG/FLU-L"</f>
        <v>WB004-NEG/FLU-L</v>
      </c>
      <c r="E7609" s="1" t="s">
        <v>4566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</row>
    <row r="7610" spans="1:11" x14ac:dyDescent="0.2">
      <c r="A7610" s="1" t="s">
        <v>18</v>
      </c>
      <c r="B7610" s="1" t="s">
        <v>2425</v>
      </c>
      <c r="C7610" s="1" t="str">
        <f>"WB076-FLUOR-M"</f>
        <v>WB076-FLUOR-M</v>
      </c>
      <c r="D7610" s="1" t="str">
        <f>"WB076-FLUOR-M"</f>
        <v>WB076-FLUOR-M</v>
      </c>
      <c r="E7610" s="1" t="s">
        <v>4566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</row>
    <row r="7611" spans="1:11" x14ac:dyDescent="0.2">
      <c r="A7611" s="1" t="s">
        <v>18</v>
      </c>
      <c r="B7611" s="1" t="s">
        <v>2426</v>
      </c>
      <c r="C7611" s="1" t="str">
        <f>"66298893170310"</f>
        <v>66298893170310</v>
      </c>
      <c r="D7611" s="1" t="str">
        <f>"WB076-FLUOR-XL"</f>
        <v>WB076-FLUOR-XL</v>
      </c>
      <c r="E7611" s="1" t="s">
        <v>4566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</row>
    <row r="7612" spans="1:11" x14ac:dyDescent="0.2">
      <c r="A7612" s="1" t="s">
        <v>18</v>
      </c>
      <c r="B7612" s="1" t="s">
        <v>2427</v>
      </c>
      <c r="C7612" s="1" t="str">
        <f>"WB076-NARANJO-L"</f>
        <v>WB076-NARANJO-L</v>
      </c>
      <c r="D7612" s="1" t="str">
        <f>"WB076-NARANJO-L"</f>
        <v>WB076-NARANJO-L</v>
      </c>
      <c r="E7612" s="1" t="s">
        <v>4566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</row>
    <row r="7613" spans="1:11" x14ac:dyDescent="0.2">
      <c r="A7613" s="1" t="s">
        <v>18</v>
      </c>
      <c r="B7613" s="1" t="s">
        <v>2428</v>
      </c>
      <c r="C7613" s="1" t="str">
        <f>"WB076-NARANJO-M"</f>
        <v>WB076-NARANJO-M</v>
      </c>
      <c r="D7613" s="1" t="str">
        <f>"WB076-NARANJO-M"</f>
        <v>WB076-NARANJO-M</v>
      </c>
      <c r="E7613" s="1" t="s">
        <v>4566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</row>
    <row r="7614" spans="1:11" x14ac:dyDescent="0.2">
      <c r="A7614" s="1" t="s">
        <v>18</v>
      </c>
      <c r="B7614" s="1" t="s">
        <v>2429</v>
      </c>
      <c r="C7614" s="1" t="str">
        <f>"WB076-NARANJO-XL"</f>
        <v>WB076-NARANJO-XL</v>
      </c>
      <c r="D7614" s="1" t="str">
        <f>"WB076-NARANJO-XL"</f>
        <v>WB076-NARANJO-XL</v>
      </c>
      <c r="E7614" s="1" t="s">
        <v>4566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</row>
    <row r="7615" spans="1:11" x14ac:dyDescent="0.2">
      <c r="A7615" s="1" t="s">
        <v>18</v>
      </c>
      <c r="B7615" s="1" t="s">
        <v>2430</v>
      </c>
      <c r="C7615" s="1" t="str">
        <f>"66298893069647"</f>
        <v>66298893069647</v>
      </c>
      <c r="D7615" s="1" t="str">
        <f>"WB076-FLUOR-L"</f>
        <v>WB076-FLUOR-L</v>
      </c>
      <c r="E7615" s="1" t="s">
        <v>4566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</row>
    <row r="7616" spans="1:11" ht="30" x14ac:dyDescent="0.2">
      <c r="A7616" s="1" t="s">
        <v>18</v>
      </c>
      <c r="B7616" s="1" t="s">
        <v>2431</v>
      </c>
      <c r="C7616" s="1" t="str">
        <f>"66298893477632"</f>
        <v>66298893477632</v>
      </c>
      <c r="D7616" s="1" t="str">
        <f>"WB070-NARANJO"</f>
        <v>WB070-NARANJO</v>
      </c>
      <c r="E7616" s="1" t="s">
        <v>4566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</row>
    <row r="7617" spans="1:11" ht="30" x14ac:dyDescent="0.2">
      <c r="A7617" s="1" t="s">
        <v>18</v>
      </c>
      <c r="B7617" s="1" t="s">
        <v>2432</v>
      </c>
      <c r="C7617" s="1" t="str">
        <f>"66298893526824"</f>
        <v>66298893526824</v>
      </c>
      <c r="D7617" s="1" t="str">
        <f>"WB077-M"</f>
        <v>WB077-M</v>
      </c>
      <c r="E7617" s="1" t="s">
        <v>4566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</row>
    <row r="7618" spans="1:11" x14ac:dyDescent="0.2">
      <c r="A7618" s="1" t="s">
        <v>18</v>
      </c>
      <c r="B7618" s="1" t="s">
        <v>2433</v>
      </c>
      <c r="C7618" s="1" t="str">
        <f>"66298893350598"</f>
        <v>66298893350598</v>
      </c>
      <c r="D7618" s="1" t="str">
        <f>"WB073"</f>
        <v>WB073</v>
      </c>
      <c r="E7618" s="1" t="s">
        <v>4566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</row>
    <row r="7619" spans="1:11" x14ac:dyDescent="0.2">
      <c r="A7619" s="1" t="s">
        <v>2419</v>
      </c>
      <c r="B7619" s="1" t="s">
        <v>2434</v>
      </c>
      <c r="C7619" s="1" t="str">
        <f>"116082-AZUL"</f>
        <v>116082-AZUL</v>
      </c>
      <c r="D7619" s="1" t="str">
        <f>"116082-AZUL"</f>
        <v>116082-AZUL</v>
      </c>
      <c r="E7619" s="1" t="s">
        <v>4566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</row>
    <row r="7620" spans="1:11" x14ac:dyDescent="0.2">
      <c r="A7620" s="1" t="s">
        <v>18</v>
      </c>
      <c r="B7620" s="1" t="s">
        <v>2435</v>
      </c>
      <c r="C7620" s="1" t="str">
        <f>"1104-AMARILLO-L"</f>
        <v>1104-AMARILLO-L</v>
      </c>
      <c r="D7620" s="1" t="str">
        <f>"1104-AMARILLO-L"</f>
        <v>1104-AMARILLO-L</v>
      </c>
      <c r="E7620" s="1" t="s">
        <v>4566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</row>
    <row r="7621" spans="1:11" x14ac:dyDescent="0.2">
      <c r="A7621" s="1" t="s">
        <v>18</v>
      </c>
      <c r="B7621" s="1" t="s">
        <v>2436</v>
      </c>
      <c r="C7621" s="1" t="str">
        <f>"1104-AZUL-L"</f>
        <v>1104-AZUL-L</v>
      </c>
      <c r="D7621" s="1" t="str">
        <f>"1104-AZUL-L"</f>
        <v>1104-AZUL-L</v>
      </c>
      <c r="E7621" s="1" t="s">
        <v>4566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</row>
    <row r="7622" spans="1:11" x14ac:dyDescent="0.2">
      <c r="A7622" s="1" t="s">
        <v>18</v>
      </c>
      <c r="B7622" s="1" t="s">
        <v>2437</v>
      </c>
      <c r="C7622" s="1" t="str">
        <f>"815-GRIS-L"</f>
        <v>815-GRIS-L</v>
      </c>
      <c r="D7622" s="1" t="str">
        <f>"815-GRIS-L"</f>
        <v>815-GRIS-L</v>
      </c>
      <c r="E7622" s="1" t="s">
        <v>4566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</row>
    <row r="7623" spans="1:11" x14ac:dyDescent="0.2">
      <c r="A7623" s="1" t="s">
        <v>18</v>
      </c>
      <c r="B7623" s="1" t="s">
        <v>2438</v>
      </c>
      <c r="C7623" s="1" t="str">
        <f>"1411-NEGRO-L"</f>
        <v>1411-NEGRO-L</v>
      </c>
      <c r="D7623" s="1" t="str">
        <f>"1411-NEGRO-L"</f>
        <v>1411-NEGRO-L</v>
      </c>
      <c r="E7623" s="1" t="s">
        <v>4566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</row>
    <row r="7624" spans="1:11" x14ac:dyDescent="0.2">
      <c r="A7624" s="1" t="s">
        <v>2419</v>
      </c>
      <c r="B7624" s="1" t="s">
        <v>2439</v>
      </c>
      <c r="C7624" s="1" t="str">
        <f>"116082-NEGRO"</f>
        <v>116082-NEGRO</v>
      </c>
      <c r="D7624" s="1" t="str">
        <f>"116082-NEGRO"</f>
        <v>116082-NEGRO</v>
      </c>
      <c r="E7624" s="1" t="s">
        <v>4566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</row>
    <row r="7625" spans="1:11" x14ac:dyDescent="0.2">
      <c r="A7625" s="1" t="s">
        <v>18</v>
      </c>
      <c r="B7625" s="1" t="s">
        <v>2440</v>
      </c>
      <c r="C7625" s="1" t="str">
        <f>"1104-ROJO-L"</f>
        <v>1104-ROJO-L</v>
      </c>
      <c r="D7625" s="1" t="str">
        <f>"1104-ROJO-L"</f>
        <v>1104-ROJO-L</v>
      </c>
      <c r="E7625" s="1" t="s">
        <v>4566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</row>
    <row r="7626" spans="1:11" x14ac:dyDescent="0.2">
      <c r="A7626" s="1" t="s">
        <v>2419</v>
      </c>
      <c r="B7626" s="1" t="s">
        <v>2441</v>
      </c>
      <c r="C7626" s="1" t="str">
        <f>"116082-ROJO"</f>
        <v>116082-ROJO</v>
      </c>
      <c r="D7626" s="1" t="str">
        <f>"116082-ROJO"</f>
        <v>116082-ROJO</v>
      </c>
      <c r="E7626" s="1" t="s">
        <v>4566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</row>
    <row r="7627" spans="1:11" x14ac:dyDescent="0.2">
      <c r="A7627" s="1" t="s">
        <v>18</v>
      </c>
      <c r="B7627" s="1" t="s">
        <v>2442</v>
      </c>
      <c r="C7627" s="1" t="str">
        <f>"1104-AMARILLO-XL"</f>
        <v>1104-AMARILLO-XL</v>
      </c>
      <c r="D7627" s="1" t="str">
        <f>"1104-AMARILLO-XL"</f>
        <v>1104-AMARILLO-XL</v>
      </c>
      <c r="E7627" s="1" t="s">
        <v>4566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</row>
    <row r="7628" spans="1:11" x14ac:dyDescent="0.2">
      <c r="A7628" s="1" t="s">
        <v>18</v>
      </c>
      <c r="B7628" s="1" t="s">
        <v>2443</v>
      </c>
      <c r="C7628" s="1" t="str">
        <f>"816-AZUL-XL"</f>
        <v>816-AZUL-XL</v>
      </c>
      <c r="D7628" s="1" t="str">
        <f>"816-AZUL-XL"</f>
        <v>816-AZUL-XL</v>
      </c>
      <c r="E7628" s="1" t="s">
        <v>4566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</row>
    <row r="7629" spans="1:11" x14ac:dyDescent="0.2">
      <c r="A7629" s="1" t="s">
        <v>18</v>
      </c>
      <c r="B7629" s="1" t="s">
        <v>2443</v>
      </c>
      <c r="C7629" s="1" t="str">
        <f>"957-AZUL-XL"</f>
        <v>957-AZUL-XL</v>
      </c>
      <c r="D7629" s="1" t="str">
        <f>"957-AZUL-XL"</f>
        <v>957-AZUL-XL</v>
      </c>
      <c r="E7629" s="1" t="s">
        <v>4566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</row>
    <row r="7630" spans="1:11" x14ac:dyDescent="0.2">
      <c r="A7630" s="1" t="s">
        <v>18</v>
      </c>
      <c r="B7630" s="1" t="s">
        <v>2443</v>
      </c>
      <c r="C7630" s="1" t="str">
        <f>"1104-AZUL-XL"</f>
        <v>1104-AZUL-XL</v>
      </c>
      <c r="D7630" s="1" t="str">
        <f>"1104-AZUL-XL"</f>
        <v>1104-AZUL-XL</v>
      </c>
      <c r="E7630" s="1" t="s">
        <v>4566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</row>
    <row r="7631" spans="1:11" x14ac:dyDescent="0.2">
      <c r="A7631" s="1" t="s">
        <v>18</v>
      </c>
      <c r="B7631" s="1" t="s">
        <v>2443</v>
      </c>
      <c r="C7631" s="1" t="str">
        <f>"1411-AZUL-XL"</f>
        <v>1411-AZUL-XL</v>
      </c>
      <c r="D7631" s="1" t="str">
        <f>"1411-AZUL-XL"</f>
        <v>1411-AZUL-XL</v>
      </c>
      <c r="E7631" s="1" t="s">
        <v>4566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</row>
    <row r="7632" spans="1:11" x14ac:dyDescent="0.2">
      <c r="A7632" s="1" t="s">
        <v>18</v>
      </c>
      <c r="B7632" s="1" t="s">
        <v>2444</v>
      </c>
      <c r="C7632" s="1" t="str">
        <f>"815-GRIS-XL"</f>
        <v>815-GRIS-XL</v>
      </c>
      <c r="D7632" s="1" t="str">
        <f>"815-GRIS-XL"</f>
        <v>815-GRIS-XL</v>
      </c>
      <c r="E7632" s="1" t="s">
        <v>4566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</row>
    <row r="7633" spans="1:11" x14ac:dyDescent="0.2">
      <c r="A7633" s="1" t="s">
        <v>18</v>
      </c>
      <c r="B7633" s="1" t="s">
        <v>2445</v>
      </c>
      <c r="C7633" s="1" t="str">
        <f>"816-NEGRO-XL"</f>
        <v>816-NEGRO-XL</v>
      </c>
      <c r="D7633" s="1" t="str">
        <f>"816-NEGRO-XL"</f>
        <v>816-NEGRO-XL</v>
      </c>
      <c r="E7633" s="1" t="s">
        <v>4566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</row>
    <row r="7634" spans="1:11" x14ac:dyDescent="0.2">
      <c r="A7634" s="1" t="s">
        <v>18</v>
      </c>
      <c r="B7634" s="1" t="s">
        <v>2445</v>
      </c>
      <c r="C7634" s="1" t="str">
        <f>"957-NEGRO-XL"</f>
        <v>957-NEGRO-XL</v>
      </c>
      <c r="D7634" s="1" t="str">
        <f>"957-NEGRO-XL"</f>
        <v>957-NEGRO-XL</v>
      </c>
      <c r="E7634" s="1" t="s">
        <v>4566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</row>
    <row r="7635" spans="1:11" x14ac:dyDescent="0.2">
      <c r="A7635" s="1" t="s">
        <v>18</v>
      </c>
      <c r="B7635" s="1" t="s">
        <v>2445</v>
      </c>
      <c r="C7635" s="1" t="str">
        <f>"1411-NEGRO-XL"</f>
        <v>1411-NEGRO-XL</v>
      </c>
      <c r="D7635" s="1" t="str">
        <f>"1411-NEGRO-XL"</f>
        <v>1411-NEGRO-XL</v>
      </c>
      <c r="E7635" s="1" t="s">
        <v>4566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</row>
    <row r="7636" spans="1:11" x14ac:dyDescent="0.2">
      <c r="A7636" s="1" t="s">
        <v>18</v>
      </c>
      <c r="B7636" s="1" t="s">
        <v>2446</v>
      </c>
      <c r="C7636" s="1" t="str">
        <f>"816-ROJO-XL"</f>
        <v>816-ROJO-XL</v>
      </c>
      <c r="D7636" s="1" t="str">
        <f>"816-ROJO-XL"</f>
        <v>816-ROJO-XL</v>
      </c>
      <c r="E7636" s="1" t="s">
        <v>4566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</row>
    <row r="7637" spans="1:11" x14ac:dyDescent="0.2">
      <c r="A7637" s="1" t="s">
        <v>18</v>
      </c>
      <c r="B7637" s="1" t="s">
        <v>2446</v>
      </c>
      <c r="C7637" s="1" t="str">
        <f>"957-ROJO-XL"</f>
        <v>957-ROJO-XL</v>
      </c>
      <c r="D7637" s="1" t="str">
        <f>"957-ROJO-XL"</f>
        <v>957-ROJO-XL</v>
      </c>
      <c r="E7637" s="1" t="s">
        <v>4566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</row>
    <row r="7638" spans="1:11" x14ac:dyDescent="0.2">
      <c r="A7638" s="1" t="s">
        <v>18</v>
      </c>
      <c r="B7638" s="1" t="s">
        <v>2446</v>
      </c>
      <c r="C7638" s="1" t="str">
        <f>"1411-ROJO-XL"</f>
        <v>1411-ROJO-XL</v>
      </c>
      <c r="D7638" s="1" t="str">
        <f>"1411-ROJO-XL"</f>
        <v>1411-ROJO-XL</v>
      </c>
      <c r="E7638" s="1" t="s">
        <v>4566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</row>
    <row r="7639" spans="1:11" x14ac:dyDescent="0.2">
      <c r="A7639" s="1" t="s">
        <v>18</v>
      </c>
      <c r="B7639" s="1" t="s">
        <v>2446</v>
      </c>
      <c r="C7639" s="1" t="str">
        <f>"1104-ROJO-XL"</f>
        <v>1104-ROJO-XL</v>
      </c>
      <c r="D7639" s="1" t="str">
        <f>"1104-ROJO-XL"</f>
        <v>1104-ROJO-XL</v>
      </c>
      <c r="E7639" s="1" t="s">
        <v>4566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</row>
    <row r="7640" spans="1:11" x14ac:dyDescent="0.2">
      <c r="A7640" s="1" t="s">
        <v>18</v>
      </c>
      <c r="B7640" s="1" t="s">
        <v>2447</v>
      </c>
      <c r="C7640" s="1" t="str">
        <f>"1411-VERDE-XL"</f>
        <v>1411-VERDE-XL</v>
      </c>
      <c r="D7640" s="1" t="str">
        <f>"1411-VERDE-XL"</f>
        <v>1411-VERDE-XL</v>
      </c>
      <c r="E7640" s="1" t="s">
        <v>4566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</row>
    <row r="7641" spans="1:11" x14ac:dyDescent="0.2">
      <c r="A7641" s="1" t="s">
        <v>18</v>
      </c>
      <c r="B7641" s="1" t="s">
        <v>2448</v>
      </c>
      <c r="C7641" s="1" t="str">
        <f>"957-AZUL-XXL"</f>
        <v>957-AZUL-XXL</v>
      </c>
      <c r="D7641" s="1" t="str">
        <f>"957-AZUL-XXL"</f>
        <v>957-AZUL-XXL</v>
      </c>
      <c r="E7641" s="1" t="s">
        <v>4566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</row>
    <row r="7642" spans="1:11" x14ac:dyDescent="0.2">
      <c r="A7642" s="1" t="s">
        <v>18</v>
      </c>
      <c r="B7642" s="1" t="s">
        <v>2448</v>
      </c>
      <c r="C7642" s="1" t="str">
        <f>"1411-AZUL-XXL"</f>
        <v>1411-AZUL-XXL</v>
      </c>
      <c r="D7642" s="1" t="str">
        <f>"1411-AZUL-XXL"</f>
        <v>1411-AZUL-XXL</v>
      </c>
      <c r="E7642" s="1" t="s">
        <v>4566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</row>
    <row r="7643" spans="1:11" x14ac:dyDescent="0.2">
      <c r="A7643" s="1" t="s">
        <v>18</v>
      </c>
      <c r="B7643" s="1" t="s">
        <v>2449</v>
      </c>
      <c r="C7643" s="1" t="str">
        <f>"1411-ROJO-XXL"</f>
        <v>1411-ROJO-XXL</v>
      </c>
      <c r="D7643" s="1" t="str">
        <f>"1411-ROJO-XXL"</f>
        <v>1411-ROJO-XXL</v>
      </c>
      <c r="E7643" s="1" t="s">
        <v>4566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</row>
    <row r="7644" spans="1:11" x14ac:dyDescent="0.2">
      <c r="A7644" s="1" t="s">
        <v>18</v>
      </c>
      <c r="B7644" s="1" t="s">
        <v>2450</v>
      </c>
      <c r="C7644" s="1" t="str">
        <f>"1411-VERDE-XXL"</f>
        <v>1411-VERDE-XXL</v>
      </c>
      <c r="D7644" s="1" t="str">
        <f>"1411-VERDE-XXL"</f>
        <v>1411-VERDE-XXL</v>
      </c>
      <c r="E7644" s="1" t="s">
        <v>4566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</row>
    <row r="7645" spans="1:11" x14ac:dyDescent="0.2">
      <c r="A7645" s="1" t="s">
        <v>18</v>
      </c>
      <c r="B7645" s="1" t="s">
        <v>2451</v>
      </c>
      <c r="C7645" s="1" t="str">
        <f>"66298893573295"</f>
        <v>66298893573295</v>
      </c>
      <c r="D7645" s="1" t="str">
        <f>"WB071-AZUL"</f>
        <v>WB071-AZUL</v>
      </c>
      <c r="E7645" s="1" t="s">
        <v>4566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</row>
    <row r="7646" spans="1:11" x14ac:dyDescent="0.2">
      <c r="A7646" s="1" t="s">
        <v>18</v>
      </c>
      <c r="B7646" s="1" t="s">
        <v>2452</v>
      </c>
      <c r="C7646" s="1" t="str">
        <f>"66298893611903"</f>
        <v>66298893611903</v>
      </c>
      <c r="D7646" s="1" t="str">
        <f>"WB071-ROJO"</f>
        <v>WB071-ROJO</v>
      </c>
      <c r="E7646" s="1" t="s">
        <v>4566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</row>
    <row r="7647" spans="1:11" x14ac:dyDescent="0.2">
      <c r="A7647" s="1" t="s">
        <v>2419</v>
      </c>
      <c r="B7647" s="1" t="s">
        <v>2453</v>
      </c>
      <c r="C7647" s="1" t="str">
        <f>"66298893651141"</f>
        <v>66298893651141</v>
      </c>
      <c r="D7647" s="1" t="str">
        <f>"WB072-NARANJO"</f>
        <v>WB072-NARANJO</v>
      </c>
      <c r="E7647" s="1" t="s">
        <v>4566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</row>
    <row r="7648" spans="1:11" x14ac:dyDescent="0.2">
      <c r="A7648" s="1" t="s">
        <v>18</v>
      </c>
      <c r="B7648" s="1" t="s">
        <v>2454</v>
      </c>
      <c r="C7648" s="1" t="str">
        <f>"66298893695889"</f>
        <v>66298893695889</v>
      </c>
      <c r="D7648" s="1" t="str">
        <f>"WB072-VERDE"</f>
        <v>WB072-VERDE</v>
      </c>
      <c r="E7648" s="1" t="s">
        <v>4566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</row>
    <row r="7649" spans="1:11" x14ac:dyDescent="0.2">
      <c r="A7649" s="1" t="s">
        <v>18</v>
      </c>
      <c r="B7649" s="1" t="s">
        <v>2455</v>
      </c>
      <c r="C7649" s="1" t="str">
        <f>"WB042-AZUL-L"</f>
        <v>WB042-AZUL-L</v>
      </c>
      <c r="D7649" s="1" t="str">
        <f>"WB042-AZUL-L"</f>
        <v>WB042-AZUL-L</v>
      </c>
      <c r="E7649" s="1" t="s">
        <v>4566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</row>
    <row r="7650" spans="1:11" x14ac:dyDescent="0.2">
      <c r="A7650" s="1" t="s">
        <v>18</v>
      </c>
      <c r="B7650" s="1" t="s">
        <v>2456</v>
      </c>
      <c r="C7650" s="1" t="str">
        <f>"WB042-AZUL-XL"</f>
        <v>WB042-AZUL-XL</v>
      </c>
      <c r="D7650" s="1" t="str">
        <f>"WB042-AZUL-XL"</f>
        <v>WB042-AZUL-XL</v>
      </c>
      <c r="E7650" s="1" t="s">
        <v>4566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</row>
    <row r="7651" spans="1:11" x14ac:dyDescent="0.2">
      <c r="A7651" s="1" t="s">
        <v>18</v>
      </c>
      <c r="B7651" s="1" t="s">
        <v>2457</v>
      </c>
      <c r="C7651" s="1" t="str">
        <f>"WB042-ROJO-L"</f>
        <v>WB042-ROJO-L</v>
      </c>
      <c r="D7651" s="1" t="str">
        <f>"WB042-ROJO-L"</f>
        <v>WB042-ROJO-L</v>
      </c>
      <c r="E7651" s="1" t="s">
        <v>4566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</row>
    <row r="7652" spans="1:11" x14ac:dyDescent="0.2">
      <c r="A7652" s="1" t="s">
        <v>18</v>
      </c>
      <c r="B7652" s="1" t="s">
        <v>2458</v>
      </c>
      <c r="C7652" s="1" t="str">
        <f>"WB042-VERDE-L"</f>
        <v>WB042-VERDE-L</v>
      </c>
      <c r="D7652" s="1" t="str">
        <f>"WB042-VERDE-L"</f>
        <v>WB042-VERDE-L</v>
      </c>
      <c r="E7652" s="1" t="s">
        <v>4566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</row>
    <row r="7653" spans="1:11" x14ac:dyDescent="0.2">
      <c r="A7653" s="1" t="s">
        <v>18</v>
      </c>
      <c r="B7653" s="1" t="s">
        <v>2459</v>
      </c>
      <c r="C7653" s="1" t="str">
        <f>"WB042-VERDE-XL"</f>
        <v>WB042-VERDE-XL</v>
      </c>
      <c r="D7653" s="1" t="str">
        <f>"WB042-VERDE-XL"</f>
        <v>WB042-VERDE-XL</v>
      </c>
      <c r="E7653" s="1" t="s">
        <v>4566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</row>
    <row r="7654" spans="1:11" ht="30" x14ac:dyDescent="0.2">
      <c r="A7654" s="1" t="s">
        <v>18</v>
      </c>
      <c r="B7654" s="1" t="s">
        <v>2460</v>
      </c>
      <c r="C7654" s="1" t="str">
        <f>"66298893747357"</f>
        <v>66298893747357</v>
      </c>
      <c r="D7654" s="1" t="str">
        <f>"2564-NEG/NAR-XL"</f>
        <v>2564-NEG/NAR-XL</v>
      </c>
      <c r="E7654" s="1" t="s">
        <v>4566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</row>
    <row r="7655" spans="1:11" x14ac:dyDescent="0.2">
      <c r="A7655" s="1" t="s">
        <v>18</v>
      </c>
      <c r="B7655" s="1" t="s">
        <v>2461</v>
      </c>
      <c r="C7655" s="1" t="str">
        <f>"66298893792130"</f>
        <v>66298893792130</v>
      </c>
      <c r="D7655" s="1" t="str">
        <f>"2564-NEG/NAR-XXL"</f>
        <v>2564-NEG/NAR-XXL</v>
      </c>
      <c r="E7655" s="1" t="s">
        <v>4566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</row>
    <row r="7656" spans="1:11" x14ac:dyDescent="0.2">
      <c r="A7656" s="1" t="s">
        <v>18</v>
      </c>
      <c r="B7656" s="1" t="s">
        <v>2462</v>
      </c>
      <c r="C7656" s="1" t="str">
        <f>"66298893843852"</f>
        <v>66298893843852</v>
      </c>
      <c r="D7656" s="1" t="str">
        <f>"WB068-AZUL"</f>
        <v>WB068-AZUL</v>
      </c>
      <c r="E7656" s="1" t="s">
        <v>4566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</row>
    <row r="7657" spans="1:11" x14ac:dyDescent="0.2">
      <c r="A7657" s="1" t="s">
        <v>18</v>
      </c>
      <c r="B7657" s="1" t="s">
        <v>2463</v>
      </c>
      <c r="C7657" s="1" t="str">
        <f>"66298893892845"</f>
        <v>66298893892845</v>
      </c>
      <c r="D7657" s="1" t="str">
        <f>"WB068-ROJO"</f>
        <v>WB068-ROJO</v>
      </c>
      <c r="E7657" s="1" t="s">
        <v>4566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</row>
    <row r="7658" spans="1:11" x14ac:dyDescent="0.2">
      <c r="A7658" s="1" t="s">
        <v>18</v>
      </c>
      <c r="B7658" s="1" t="s">
        <v>2464</v>
      </c>
      <c r="C7658" s="1" t="str">
        <f>"66298893933672"</f>
        <v>66298893933672</v>
      </c>
      <c r="D7658" s="1" t="str">
        <f>"WB066-AZUL"</f>
        <v>WB066-AZUL</v>
      </c>
      <c r="E7658" s="1" t="s">
        <v>4566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</row>
    <row r="7659" spans="1:11" x14ac:dyDescent="0.2">
      <c r="A7659" s="1" t="s">
        <v>18</v>
      </c>
      <c r="B7659" s="1" t="s">
        <v>2465</v>
      </c>
      <c r="C7659" s="1" t="str">
        <f>"66298893978742"</f>
        <v>66298893978742</v>
      </c>
      <c r="D7659" s="1" t="str">
        <f>"WB066-ROJO"</f>
        <v>WB066-ROJO</v>
      </c>
      <c r="E7659" s="1" t="s">
        <v>4566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</row>
    <row r="7660" spans="1:11" x14ac:dyDescent="0.2">
      <c r="A7660" s="1" t="s">
        <v>18</v>
      </c>
      <c r="B7660" s="1" t="s">
        <v>2466</v>
      </c>
      <c r="C7660" s="1" t="str">
        <f>"66298894025179"</f>
        <v>66298894025179</v>
      </c>
      <c r="D7660" s="1" t="str">
        <f>"WB066-VERDE"</f>
        <v>WB066-VERDE</v>
      </c>
      <c r="E7660" s="1" t="s">
        <v>4566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</row>
    <row r="7661" spans="1:11" x14ac:dyDescent="0.2">
      <c r="A7661" s="1" t="s">
        <v>18</v>
      </c>
      <c r="B7661" s="1" t="s">
        <v>2467</v>
      </c>
      <c r="C7661" s="1" t="str">
        <f>"130811"</f>
        <v>130811</v>
      </c>
      <c r="D7661" s="1" t="str">
        <f>"130811"</f>
        <v>130811</v>
      </c>
      <c r="E7661" s="1" t="s">
        <v>4566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</row>
    <row r="7662" spans="1:11" x14ac:dyDescent="0.2">
      <c r="A7662" s="1" t="s">
        <v>18</v>
      </c>
      <c r="B7662" s="1" t="s">
        <v>2468</v>
      </c>
      <c r="C7662" s="1" t="str">
        <f>"66298894069066"</f>
        <v>66298894069066</v>
      </c>
      <c r="D7662" s="1" t="str">
        <f>"WB004-ROJO-XL"</f>
        <v>WB004-ROJO-XL</v>
      </c>
      <c r="E7662" s="1" t="s">
        <v>4566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</row>
    <row r="7663" spans="1:11" x14ac:dyDescent="0.2">
      <c r="A7663" s="1" t="s">
        <v>18</v>
      </c>
      <c r="B7663" s="1" t="s">
        <v>2469</v>
      </c>
      <c r="C7663" s="1" t="str">
        <f>"66298894111958"</f>
        <v>66298894111958</v>
      </c>
      <c r="D7663" s="1" t="str">
        <f>"WB067-MORADO"</f>
        <v>WB067-MORADO</v>
      </c>
      <c r="E7663" s="1" t="s">
        <v>4566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</row>
    <row r="7664" spans="1:11" x14ac:dyDescent="0.2">
      <c r="A7664" s="1" t="s">
        <v>18</v>
      </c>
      <c r="B7664" s="1" t="s">
        <v>2470</v>
      </c>
      <c r="C7664" s="1" t="str">
        <f>"66298894155119"</f>
        <v>66298894155119</v>
      </c>
      <c r="D7664" s="1" t="str">
        <f>"WB067-VERDE"</f>
        <v>WB067-VERDE</v>
      </c>
      <c r="E7664" s="1" t="s">
        <v>4566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</row>
    <row r="7665" spans="1:11" x14ac:dyDescent="0.2">
      <c r="A7665" s="1" t="s">
        <v>18</v>
      </c>
      <c r="B7665" s="1" t="s">
        <v>2471</v>
      </c>
      <c r="C7665" s="1" t="str">
        <f>"66298894198124"</f>
        <v>66298894198124</v>
      </c>
      <c r="D7665" s="1" t="str">
        <f>"WB070-VERDE"</f>
        <v>WB070-VERDE</v>
      </c>
      <c r="E7665" s="1" t="s">
        <v>4566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</row>
    <row r="7666" spans="1:11" x14ac:dyDescent="0.2">
      <c r="A7666" s="1" t="s">
        <v>18</v>
      </c>
      <c r="B7666" s="1" t="s">
        <v>2472</v>
      </c>
      <c r="C7666" s="1" t="str">
        <f>"66298894243605"</f>
        <v>66298894243605</v>
      </c>
      <c r="D7666" s="1" t="str">
        <f>"WB064-AZUL"</f>
        <v>WB064-AZUL</v>
      </c>
      <c r="E7666" s="1" t="s">
        <v>4566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</row>
    <row r="7667" spans="1:11" x14ac:dyDescent="0.2">
      <c r="A7667" s="1" t="s">
        <v>18</v>
      </c>
      <c r="B7667" s="1" t="s">
        <v>2473</v>
      </c>
      <c r="C7667" s="1" t="str">
        <f>"66298894281633"</f>
        <v>66298894281633</v>
      </c>
      <c r="D7667" s="1" t="str">
        <f>"WB064-GRIS"</f>
        <v>WB064-GRIS</v>
      </c>
      <c r="E7667" s="1" t="s">
        <v>4566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</row>
    <row r="7668" spans="1:11" x14ac:dyDescent="0.2">
      <c r="A7668" s="1" t="s">
        <v>18</v>
      </c>
      <c r="B7668" s="1" t="s">
        <v>2474</v>
      </c>
      <c r="C7668" s="1" t="str">
        <f>"66298894323027"</f>
        <v>66298894323027</v>
      </c>
      <c r="D7668" s="1" t="str">
        <f>"WB064-ROJO"</f>
        <v>WB064-ROJO</v>
      </c>
      <c r="E7668" s="1" t="s">
        <v>4566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</row>
    <row r="7669" spans="1:11" x14ac:dyDescent="0.2">
      <c r="A7669" s="1" t="s">
        <v>18</v>
      </c>
      <c r="B7669" s="1" t="s">
        <v>2475</v>
      </c>
      <c r="C7669" s="1" t="str">
        <f>"66298894366589"</f>
        <v>66298894366589</v>
      </c>
      <c r="D7669" s="1" t="str">
        <f>"LE040A"</f>
        <v>LE040A</v>
      </c>
      <c r="E7669" s="1" t="s">
        <v>4566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</row>
    <row r="7670" spans="1:11" x14ac:dyDescent="0.2">
      <c r="A7670" s="1" t="s">
        <v>18</v>
      </c>
      <c r="B7670" s="1" t="s">
        <v>2476</v>
      </c>
      <c r="C7670" s="1" t="str">
        <f>"66298892467824"</f>
        <v>66298892467824</v>
      </c>
      <c r="D7670" s="1" t="str">
        <f>"LE040N"</f>
        <v>LE040N</v>
      </c>
      <c r="E7670" s="1" t="s">
        <v>4566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</row>
    <row r="7671" spans="1:11" x14ac:dyDescent="0.2">
      <c r="A7671" s="1" t="s">
        <v>18</v>
      </c>
      <c r="B7671" s="1" t="s">
        <v>2477</v>
      </c>
      <c r="C7671" s="1" t="str">
        <f>"66298894409495"</f>
        <v>66298894409495</v>
      </c>
      <c r="D7671" s="1" t="str">
        <f>"LE040R"</f>
        <v>LE040R</v>
      </c>
      <c r="E7671" s="1" t="s">
        <v>4566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</row>
    <row r="7672" spans="1:11" x14ac:dyDescent="0.2">
      <c r="A7672" s="1" t="s">
        <v>18</v>
      </c>
      <c r="B7672" s="1" t="s">
        <v>2478</v>
      </c>
      <c r="C7672" s="1" t="str">
        <f>"WB063-AZUL-L"</f>
        <v>WB063-AZUL-L</v>
      </c>
      <c r="D7672" s="1" t="str">
        <f>"WB063-AZUL-L"</f>
        <v>WB063-AZUL-L</v>
      </c>
      <c r="E7672" s="1" t="s">
        <v>4566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</row>
    <row r="7673" spans="1:11" x14ac:dyDescent="0.2">
      <c r="A7673" s="1" t="s">
        <v>18</v>
      </c>
      <c r="B7673" s="1" t="s">
        <v>2479</v>
      </c>
      <c r="C7673" s="1" t="str">
        <f>"WB063-AZUL-XL"</f>
        <v>WB063-AZUL-XL</v>
      </c>
      <c r="D7673" s="1" t="str">
        <f>"WB063-AZUL-XL"</f>
        <v>WB063-AZUL-XL</v>
      </c>
      <c r="E7673" s="1" t="s">
        <v>4566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</row>
    <row r="7674" spans="1:11" x14ac:dyDescent="0.2">
      <c r="A7674" s="1" t="s">
        <v>18</v>
      </c>
      <c r="B7674" s="1" t="s">
        <v>2480</v>
      </c>
      <c r="C7674" s="1" t="str">
        <f>"WB063-NEGRO-XL"</f>
        <v>WB063-NEGRO-XL</v>
      </c>
      <c r="D7674" s="1" t="str">
        <f>"WB063-NEGRO-XL"</f>
        <v>WB063-NEGRO-XL</v>
      </c>
      <c r="E7674" s="1" t="s">
        <v>4566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</row>
    <row r="7675" spans="1:11" x14ac:dyDescent="0.2">
      <c r="A7675" s="1" t="s">
        <v>18</v>
      </c>
      <c r="B7675" s="1" t="s">
        <v>2481</v>
      </c>
      <c r="C7675" s="1" t="str">
        <f>"WB063-ROJO-L"</f>
        <v>WB063-ROJO-L</v>
      </c>
      <c r="D7675" s="1" t="str">
        <f>"WB063-ROJO-L"</f>
        <v>WB063-ROJO-L</v>
      </c>
      <c r="E7675" s="1" t="s">
        <v>4566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</row>
    <row r="7676" spans="1:11" x14ac:dyDescent="0.2">
      <c r="A7676" s="1" t="s">
        <v>18</v>
      </c>
      <c r="B7676" s="1" t="s">
        <v>2482</v>
      </c>
      <c r="C7676" s="1" t="str">
        <f>"WB063-ROJO-XL"</f>
        <v>WB063-ROJO-XL</v>
      </c>
      <c r="D7676" s="1" t="str">
        <f>"WB063-ROJO-XL"</f>
        <v>WB063-ROJO-XL</v>
      </c>
      <c r="E7676" s="1" t="s">
        <v>4566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</row>
    <row r="7677" spans="1:11" x14ac:dyDescent="0.2">
      <c r="A7677" s="1" t="s">
        <v>2419</v>
      </c>
      <c r="B7677" s="1" t="s">
        <v>2483</v>
      </c>
      <c r="C7677" s="1" t="str">
        <f>"142020"</f>
        <v>142020</v>
      </c>
      <c r="D7677" s="1" t="str">
        <f>"142020"</f>
        <v>142020</v>
      </c>
      <c r="E7677" s="1" t="s">
        <v>4566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</row>
    <row r="7678" spans="1:11" x14ac:dyDescent="0.2">
      <c r="A7678" s="1" t="s">
        <v>18</v>
      </c>
      <c r="B7678" s="1" t="s">
        <v>2484</v>
      </c>
      <c r="C7678" s="1" t="str">
        <f>"136432"</f>
        <v>136432</v>
      </c>
      <c r="D7678" s="1" t="str">
        <f>"136432"</f>
        <v>136432</v>
      </c>
      <c r="E7678" s="1" t="s">
        <v>4566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</row>
    <row r="7679" spans="1:11" x14ac:dyDescent="0.2">
      <c r="A7679" s="1" t="s">
        <v>2419</v>
      </c>
      <c r="B7679" s="1" t="s">
        <v>2485</v>
      </c>
      <c r="C7679" s="1" t="str">
        <f>"WB004"</f>
        <v>WB004</v>
      </c>
      <c r="D7679" s="1" t="str">
        <f>"WB004"</f>
        <v>WB004</v>
      </c>
      <c r="E7679" s="1" t="s">
        <v>4566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</row>
    <row r="7680" spans="1:11" x14ac:dyDescent="0.2">
      <c r="A7680" s="1" t="s">
        <v>2419</v>
      </c>
      <c r="B7680" s="1" t="s">
        <v>2485</v>
      </c>
      <c r="C7680" s="1" t="str">
        <f>"WB060"</f>
        <v>WB060</v>
      </c>
      <c r="D7680" s="1" t="str">
        <f>"WB060"</f>
        <v>WB060</v>
      </c>
      <c r="E7680" s="1" t="s">
        <v>4566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</row>
    <row r="7681" spans="1:11" x14ac:dyDescent="0.2">
      <c r="A7681" s="1" t="s">
        <v>2419</v>
      </c>
      <c r="B7681" s="1" t="s">
        <v>2485</v>
      </c>
      <c r="C7681" s="1" t="str">
        <f>"WB064"</f>
        <v>WB064</v>
      </c>
      <c r="D7681" s="1" t="str">
        <f>"WB064"</f>
        <v>WB064</v>
      </c>
      <c r="E7681" s="1" t="s">
        <v>4566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</row>
    <row r="7682" spans="1:11" x14ac:dyDescent="0.2">
      <c r="A7682" s="1" t="s">
        <v>2419</v>
      </c>
      <c r="B7682" s="1" t="s">
        <v>2485</v>
      </c>
      <c r="C7682" s="1" t="str">
        <f>"WB066"</f>
        <v>WB066</v>
      </c>
      <c r="D7682" s="1" t="str">
        <f>"WB066"</f>
        <v>WB066</v>
      </c>
      <c r="E7682" s="1" t="s">
        <v>4566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</row>
    <row r="7683" spans="1:11" x14ac:dyDescent="0.2">
      <c r="A7683" s="1" t="s">
        <v>2419</v>
      </c>
      <c r="B7683" s="1" t="s">
        <v>2485</v>
      </c>
      <c r="C7683" s="1" t="str">
        <f>"WB068"</f>
        <v>WB068</v>
      </c>
      <c r="D7683" s="1" t="str">
        <f>"WB068"</f>
        <v>WB068</v>
      </c>
      <c r="E7683" s="1" t="s">
        <v>4566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</row>
    <row r="7684" spans="1:11" x14ac:dyDescent="0.2">
      <c r="A7684" s="1" t="s">
        <v>2419</v>
      </c>
      <c r="B7684" s="1" t="s">
        <v>2485</v>
      </c>
      <c r="C7684" s="1" t="str">
        <f>"WB093"</f>
        <v>WB093</v>
      </c>
      <c r="D7684" s="1" t="str">
        <f>"WB093"</f>
        <v>WB093</v>
      </c>
      <c r="E7684" s="1" t="s">
        <v>4566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</row>
    <row r="7685" spans="1:11" x14ac:dyDescent="0.2">
      <c r="A7685" s="1" t="s">
        <v>18</v>
      </c>
      <c r="B7685" s="1" t="s">
        <v>2486</v>
      </c>
      <c r="C7685" s="1" t="str">
        <f>"66298894494879"</f>
        <v>66298894494879</v>
      </c>
      <c r="D7685" s="1" t="str">
        <f>"0400-GUANTES"</f>
        <v>0400-GUANTES</v>
      </c>
      <c r="E7685" s="1" t="s">
        <v>4566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</row>
    <row r="7686" spans="1:11" x14ac:dyDescent="0.2">
      <c r="A7686" s="1" t="s">
        <v>18</v>
      </c>
      <c r="B7686" s="1" t="s">
        <v>2486</v>
      </c>
      <c r="C7686" s="1" t="str">
        <f>"A-3320"</f>
        <v>A-3320</v>
      </c>
      <c r="D7686" s="1" t="str">
        <f>"A-3320"</f>
        <v>A-3320</v>
      </c>
      <c r="E7686" s="1" t="s">
        <v>4566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</row>
    <row r="7687" spans="1:11" x14ac:dyDescent="0.2">
      <c r="A7687" s="1" t="s">
        <v>18</v>
      </c>
      <c r="B7687" s="1" t="s">
        <v>2487</v>
      </c>
      <c r="C7687" s="1" t="str">
        <f>"66298895222289"</f>
        <v>66298895222289</v>
      </c>
      <c r="D7687" s="1" t="str">
        <f>"0400-NIÑO"</f>
        <v>0400-NIÑO</v>
      </c>
      <c r="E7687" s="1" t="s">
        <v>4566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</row>
    <row r="7688" spans="1:11" x14ac:dyDescent="0.2">
      <c r="A7688" s="1" t="s">
        <v>18</v>
      </c>
      <c r="B7688" s="1" t="s">
        <v>2488</v>
      </c>
      <c r="C7688" s="1" t="str">
        <f>"3785"</f>
        <v>3785</v>
      </c>
      <c r="D7688" s="1" t="str">
        <f>"3785"</f>
        <v>3785</v>
      </c>
      <c r="E7688" s="1" t="s">
        <v>4566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</row>
    <row r="7689" spans="1:11" x14ac:dyDescent="0.2">
      <c r="A7689" s="1" t="s">
        <v>18</v>
      </c>
      <c r="B7689" s="1" t="s">
        <v>2489</v>
      </c>
      <c r="C7689" s="1" t="str">
        <f>"8600"</f>
        <v>8600</v>
      </c>
      <c r="D7689" s="1" t="str">
        <f>"8600"</f>
        <v>8600</v>
      </c>
      <c r="E7689" s="1" t="s">
        <v>4566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</row>
    <row r="7690" spans="1:11" x14ac:dyDescent="0.2">
      <c r="A7690" s="1" t="s">
        <v>18</v>
      </c>
      <c r="B7690" s="1" t="s">
        <v>2490</v>
      </c>
      <c r="C7690" s="1" t="str">
        <f>"66298894450475"</f>
        <v>66298894450475</v>
      </c>
      <c r="D7690" s="1" t="str">
        <f>"MECHANIX-L"</f>
        <v>MECHANIX-L</v>
      </c>
      <c r="E7690" s="1" t="s">
        <v>4566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</row>
    <row r="7691" spans="1:11" x14ac:dyDescent="0.2">
      <c r="A7691" s="1" t="s">
        <v>2491</v>
      </c>
      <c r="B7691" s="1" t="s">
        <v>2492</v>
      </c>
      <c r="C7691" s="1" t="str">
        <f>"66298894536193"</f>
        <v>66298894536193</v>
      </c>
      <c r="D7691" s="1" t="str">
        <f>"91254-KF0-003"</f>
        <v>91254-KF0-003</v>
      </c>
      <c r="E7691" s="1" t="s">
        <v>4566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</row>
    <row r="7692" spans="1:11" x14ac:dyDescent="0.2">
      <c r="A7692" s="1" t="s">
        <v>98</v>
      </c>
      <c r="B7692" s="1" t="s">
        <v>2493</v>
      </c>
      <c r="C7692" s="1" t="str">
        <f>"14610-KSP-910JP"</f>
        <v>14610-KSP-910JP</v>
      </c>
      <c r="D7692" s="1" t="str">
        <f>"14610-KSP-910JP"</f>
        <v>14610-KSP-910JP</v>
      </c>
      <c r="E7692" s="1" t="s">
        <v>4566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</row>
    <row r="7693" spans="1:11" x14ac:dyDescent="0.2">
      <c r="A7693" s="1" t="s">
        <v>98</v>
      </c>
      <c r="B7693" s="1" t="s">
        <v>2494</v>
      </c>
      <c r="C7693" s="1" t="str">
        <f>"12771-18A00"</f>
        <v>12771-18A00</v>
      </c>
      <c r="D7693" s="1" t="str">
        <f>"12771-18A00"</f>
        <v>12771-18A00</v>
      </c>
      <c r="E7693" s="1" t="s">
        <v>4566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</row>
    <row r="7694" spans="1:11" x14ac:dyDescent="0.2">
      <c r="A7694" s="1" t="s">
        <v>98</v>
      </c>
      <c r="B7694" s="1" t="s">
        <v>2495</v>
      </c>
      <c r="C7694" s="1" t="str">
        <f>"66298894578141"</f>
        <v>66298894578141</v>
      </c>
      <c r="D7694" s="1" t="str">
        <f>"21C-E2231-00"</f>
        <v>21C-E2231-00</v>
      </c>
      <c r="E7694" s="1" t="s">
        <v>4566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</row>
    <row r="7695" spans="1:11" x14ac:dyDescent="0.2">
      <c r="A7695" s="1" t="s">
        <v>98</v>
      </c>
      <c r="B7695" s="1" t="s">
        <v>2496</v>
      </c>
      <c r="C7695" s="1" t="str">
        <f>"66298894621268"</f>
        <v>66298894621268</v>
      </c>
      <c r="D7695" s="1" t="str">
        <f>"12771-12F60JP"</f>
        <v>12771-12F60JP</v>
      </c>
      <c r="E7695" s="1" t="s">
        <v>4566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</row>
    <row r="7696" spans="1:11" x14ac:dyDescent="0.2">
      <c r="A7696" s="1" t="s">
        <v>98</v>
      </c>
      <c r="B7696" s="1" t="s">
        <v>2497</v>
      </c>
      <c r="C7696" s="1" t="str">
        <f>"14620-KPF-900JP"</f>
        <v>14620-KPF-900JP</v>
      </c>
      <c r="D7696" s="1" t="str">
        <f>"14620-KPF-900JP"</f>
        <v>14620-KPF-900JP</v>
      </c>
      <c r="E7696" s="1" t="s">
        <v>4566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</row>
    <row r="7697" spans="1:11" x14ac:dyDescent="0.2">
      <c r="A7697" s="1" t="s">
        <v>98</v>
      </c>
      <c r="B7697" s="1" t="s">
        <v>2498</v>
      </c>
      <c r="C7697" s="1" t="str">
        <f>"66298894669841"</f>
        <v>66298894669841</v>
      </c>
      <c r="D7697" s="1" t="str">
        <f>"Y119"</f>
        <v>Y119</v>
      </c>
      <c r="E7697" s="1" t="s">
        <v>4566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</row>
    <row r="7698" spans="1:11" ht="30" x14ac:dyDescent="0.2">
      <c r="A7698" s="1" t="s">
        <v>98</v>
      </c>
      <c r="B7698" s="1" t="s">
        <v>2499</v>
      </c>
      <c r="C7698" s="1" t="str">
        <f>"14500-KPF-305"</f>
        <v>14500-KPF-305</v>
      </c>
      <c r="D7698" s="1" t="str">
        <f>"14500-KPF-305"</f>
        <v>14500-KPF-305</v>
      </c>
      <c r="E7698" s="1" t="s">
        <v>4566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</row>
    <row r="7699" spans="1:11" x14ac:dyDescent="0.2">
      <c r="A7699" s="1" t="s">
        <v>98</v>
      </c>
      <c r="B7699" s="1" t="s">
        <v>2500</v>
      </c>
      <c r="C7699" s="1" t="str">
        <f>"66298894710533"</f>
        <v>66298894710533</v>
      </c>
      <c r="D7699" s="1" t="str">
        <f>"11827"</f>
        <v>11827</v>
      </c>
      <c r="E7699" s="1" t="s">
        <v>4566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</row>
    <row r="7700" spans="1:11" x14ac:dyDescent="0.2">
      <c r="A7700" s="1" t="s">
        <v>98</v>
      </c>
      <c r="B7700" s="1" t="s">
        <v>2501</v>
      </c>
      <c r="C7700" s="1" t="str">
        <f>"66298894758517"</f>
        <v>66298894758517</v>
      </c>
      <c r="D7700" s="1" t="str">
        <f>"7831"</f>
        <v>7831</v>
      </c>
      <c r="E7700" s="1" t="s">
        <v>4566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</row>
    <row r="7701" spans="1:11" x14ac:dyDescent="0.2">
      <c r="A7701" s="1" t="s">
        <v>98</v>
      </c>
      <c r="B7701" s="1" t="s">
        <v>2501</v>
      </c>
      <c r="C7701" s="1" t="str">
        <f>"66298894813674"</f>
        <v>66298894813674</v>
      </c>
      <c r="D7701" s="1" t="str">
        <f>"CH003"</f>
        <v>CH003</v>
      </c>
      <c r="E7701" s="1" t="s">
        <v>4566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</row>
    <row r="7702" spans="1:11" x14ac:dyDescent="0.2">
      <c r="A7702" s="1" t="s">
        <v>98</v>
      </c>
      <c r="B7702" s="1" t="s">
        <v>2502</v>
      </c>
      <c r="C7702" s="1" t="str">
        <f>"66298894859135"</f>
        <v>66298894859135</v>
      </c>
      <c r="D7702" s="1" t="str">
        <f>"1543"</f>
        <v>1543</v>
      </c>
      <c r="E7702" s="1" t="s">
        <v>4566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</row>
    <row r="7703" spans="1:11" x14ac:dyDescent="0.2">
      <c r="A7703" s="1" t="s">
        <v>98</v>
      </c>
      <c r="B7703" s="1" t="s">
        <v>2502</v>
      </c>
      <c r="C7703" s="1" t="str">
        <f>"66298894866481"</f>
        <v>66298894866481</v>
      </c>
      <c r="D7703" s="1" t="str">
        <f>"01543"</f>
        <v>01543</v>
      </c>
      <c r="E7703" s="1" t="s">
        <v>4566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</row>
    <row r="7704" spans="1:11" x14ac:dyDescent="0.2">
      <c r="A7704" s="1" t="s">
        <v>2503</v>
      </c>
      <c r="B7704" s="1" t="s">
        <v>2504</v>
      </c>
      <c r="C7704" s="1" t="str">
        <f>"CH004"</f>
        <v>CH004</v>
      </c>
      <c r="D7704" s="1" t="str">
        <f>"CH004"</f>
        <v>CH004</v>
      </c>
      <c r="E7704" s="1" t="s">
        <v>4566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</row>
    <row r="7705" spans="1:11" x14ac:dyDescent="0.2">
      <c r="A7705" s="1" t="s">
        <v>98</v>
      </c>
      <c r="B7705" s="1" t="s">
        <v>2505</v>
      </c>
      <c r="C7705" s="1" t="str">
        <f>"66298894925758"</f>
        <v>66298894925758</v>
      </c>
      <c r="D7705" s="1" t="str">
        <f>"13520"</f>
        <v>13520</v>
      </c>
      <c r="E7705" s="1" t="s">
        <v>4566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</row>
    <row r="7706" spans="1:11" x14ac:dyDescent="0.2">
      <c r="A7706" s="1" t="s">
        <v>98</v>
      </c>
      <c r="B7706" s="1" t="s">
        <v>2506</v>
      </c>
      <c r="C7706" s="1" t="str">
        <f>"66298894967530"</f>
        <v>66298894967530</v>
      </c>
      <c r="D7706" s="1" t="str">
        <f>"11826"</f>
        <v>11826</v>
      </c>
      <c r="E7706" s="1" t="s">
        <v>4566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</row>
    <row r="7707" spans="1:11" x14ac:dyDescent="0.2">
      <c r="A7707" s="1" t="s">
        <v>98</v>
      </c>
      <c r="B7707" s="1" t="s">
        <v>2506</v>
      </c>
      <c r="C7707" s="1" t="str">
        <f>"20022"</f>
        <v>20022</v>
      </c>
      <c r="D7707" s="1" t="str">
        <f>"20022"</f>
        <v>20022</v>
      </c>
      <c r="E7707" s="1" t="s">
        <v>4566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</row>
    <row r="7708" spans="1:11" x14ac:dyDescent="0.2">
      <c r="A7708" s="1" t="s">
        <v>98</v>
      </c>
      <c r="B7708" s="1" t="s">
        <v>2507</v>
      </c>
      <c r="C7708" s="1" t="str">
        <f>"66298895053735"</f>
        <v>66298895053735</v>
      </c>
      <c r="D7708" s="1" t="str">
        <f>"DK-1013-30"</f>
        <v>DK-1013-30</v>
      </c>
      <c r="E7708" s="1" t="s">
        <v>4566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</row>
    <row r="7709" spans="1:11" x14ac:dyDescent="0.2">
      <c r="A7709" s="1" t="s">
        <v>98</v>
      </c>
      <c r="B7709" s="1" t="s">
        <v>2508</v>
      </c>
      <c r="C7709" s="1" t="str">
        <f>"66298895097488"</f>
        <v>66298895097488</v>
      </c>
      <c r="D7709" s="1" t="str">
        <f>"11828"</f>
        <v>11828</v>
      </c>
      <c r="E7709" s="1" t="s">
        <v>4566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</row>
    <row r="7710" spans="1:11" x14ac:dyDescent="0.2">
      <c r="A7710" s="1" t="s">
        <v>98</v>
      </c>
      <c r="B7710" s="1" t="s">
        <v>2509</v>
      </c>
      <c r="C7710" s="1" t="str">
        <f>"66298895138771"</f>
        <v>66298895138771</v>
      </c>
      <c r="D7710" s="1" t="str">
        <f>"11830-GUIAY TENS"</f>
        <v>11830-GUIAY TENS</v>
      </c>
      <c r="E7710" s="1" t="s">
        <v>4566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</row>
    <row r="7711" spans="1:11" x14ac:dyDescent="0.2">
      <c r="A7711" s="1" t="s">
        <v>98</v>
      </c>
      <c r="B7711" s="1" t="s">
        <v>2510</v>
      </c>
      <c r="C7711" s="1" t="str">
        <f>"66298895179840"</f>
        <v>66298895179840</v>
      </c>
      <c r="D7711" s="1" t="str">
        <f>"GUIA-TENS-DOMINA"</f>
        <v>GUIA-TENS-DOMINA</v>
      </c>
      <c r="E7711" s="1" t="s">
        <v>4566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</row>
    <row r="7712" spans="1:11" x14ac:dyDescent="0.2">
      <c r="A7712" s="1" t="s">
        <v>18</v>
      </c>
      <c r="B7712" s="1" t="s">
        <v>2511</v>
      </c>
      <c r="C7712" s="1" t="str">
        <f>"66298895271761"</f>
        <v>66298895271761</v>
      </c>
      <c r="D7712" s="1" t="str">
        <f>"H158-B"</f>
        <v>H158-B</v>
      </c>
      <c r="E7712" s="1" t="s">
        <v>4566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</row>
    <row r="7713" spans="1:11" x14ac:dyDescent="0.2">
      <c r="A7713" s="1" t="s">
        <v>18</v>
      </c>
      <c r="B7713" s="1" t="s">
        <v>2511</v>
      </c>
      <c r="C7713" s="1" t="str">
        <f>"66298895281160"</f>
        <v>66298895281160</v>
      </c>
      <c r="D7713" s="1" t="str">
        <f>"H158"</f>
        <v>H158</v>
      </c>
      <c r="E7713" s="1" t="s">
        <v>4566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</row>
    <row r="7714" spans="1:11" x14ac:dyDescent="0.2">
      <c r="A7714" s="1" t="s">
        <v>102</v>
      </c>
      <c r="B7714" s="1" t="s">
        <v>2512</v>
      </c>
      <c r="C7714" s="1" t="str">
        <f>"66298895340030"</f>
        <v>66298895340030</v>
      </c>
      <c r="D7714" s="1" t="str">
        <f>"H128"</f>
        <v>H128</v>
      </c>
      <c r="E7714" s="1" t="s">
        <v>4566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</row>
    <row r="7715" spans="1:11" x14ac:dyDescent="0.2">
      <c r="A7715" s="1" t="s">
        <v>2491</v>
      </c>
      <c r="B7715" s="1" t="s">
        <v>2513</v>
      </c>
      <c r="C7715" s="1" t="str">
        <f>"66298895390032"</f>
        <v>66298895390032</v>
      </c>
      <c r="D7715" s="1" t="str">
        <f>"BW125T12-E15-11"</f>
        <v>BW125T12-E15-11</v>
      </c>
      <c r="E7715" s="1" t="s">
        <v>4566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</row>
    <row r="7716" spans="1:11" x14ac:dyDescent="0.2">
      <c r="A7716" s="1" t="s">
        <v>2491</v>
      </c>
      <c r="B7716" s="1" t="s">
        <v>2514</v>
      </c>
      <c r="C7716" s="1" t="str">
        <f>"66298895433888"</f>
        <v>66298895433888</v>
      </c>
      <c r="D7716" s="1" t="str">
        <f>"SA019"</f>
        <v>SA019</v>
      </c>
      <c r="E7716" s="1" t="s">
        <v>4566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</row>
    <row r="7717" spans="1:11" x14ac:dyDescent="0.2">
      <c r="A7717" s="1" t="s">
        <v>2491</v>
      </c>
      <c r="B7717" s="1" t="s">
        <v>2515</v>
      </c>
      <c r="C7717" s="1" t="str">
        <f>"SA043"</f>
        <v>SA043</v>
      </c>
      <c r="D7717" s="1" t="str">
        <f>"SA043"</f>
        <v>SA043</v>
      </c>
      <c r="E7717" s="1" t="s">
        <v>4566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</row>
    <row r="7718" spans="1:11" x14ac:dyDescent="0.2">
      <c r="A7718" s="1" t="s">
        <v>2491</v>
      </c>
      <c r="B7718" s="1" t="s">
        <v>2516</v>
      </c>
      <c r="C7718" s="1" t="str">
        <f>"SA004"</f>
        <v>SA004</v>
      </c>
      <c r="D7718" s="1" t="str">
        <f>"SA004"</f>
        <v>SA004</v>
      </c>
      <c r="E7718" s="1" t="s">
        <v>4566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</row>
    <row r="7719" spans="1:11" x14ac:dyDescent="0.2">
      <c r="A7719" s="1" t="s">
        <v>2491</v>
      </c>
      <c r="B7719" s="1" t="s">
        <v>2517</v>
      </c>
      <c r="C7719" s="1" t="str">
        <f>"66298895478483"</f>
        <v>66298895478483</v>
      </c>
      <c r="D7719" s="1" t="str">
        <f>"SA006"</f>
        <v>SA006</v>
      </c>
      <c r="E7719" s="1" t="s">
        <v>4566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</row>
    <row r="7720" spans="1:11" x14ac:dyDescent="0.2">
      <c r="A7720" s="1" t="s">
        <v>2491</v>
      </c>
      <c r="B7720" s="1" t="s">
        <v>2518</v>
      </c>
      <c r="C7720" s="1" t="str">
        <f>"66298895521549"</f>
        <v>66298895521549</v>
      </c>
      <c r="D7720" s="1" t="str">
        <f>"49CC42"</f>
        <v>49CC42</v>
      </c>
      <c r="E7720" s="1" t="s">
        <v>4566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</row>
    <row r="7721" spans="1:11" x14ac:dyDescent="0.2">
      <c r="A7721" s="1" t="s">
        <v>2491</v>
      </c>
      <c r="B7721" s="1" t="s">
        <v>2519</v>
      </c>
      <c r="C7721" s="1" t="str">
        <f>"66298895565868"</f>
        <v>66298895565868</v>
      </c>
      <c r="D7721" s="1" t="str">
        <f>"SA049"</f>
        <v>SA049</v>
      </c>
      <c r="E7721" s="1" t="s">
        <v>4566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</row>
    <row r="7722" spans="1:11" x14ac:dyDescent="0.2">
      <c r="A7722" s="1" t="s">
        <v>2491</v>
      </c>
      <c r="B7722" s="1" t="s">
        <v>2520</v>
      </c>
      <c r="C7722" s="1" t="str">
        <f>"66298895618815"</f>
        <v>66298895618815</v>
      </c>
      <c r="D7722" s="1" t="str">
        <f>"SA050"</f>
        <v>SA050</v>
      </c>
      <c r="E7722" s="1" t="s">
        <v>4566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</row>
    <row r="7723" spans="1:11" x14ac:dyDescent="0.2">
      <c r="A7723" s="1" t="s">
        <v>2491</v>
      </c>
      <c r="B7723" s="1" t="s">
        <v>2521</v>
      </c>
      <c r="C7723" s="1" t="str">
        <f>"SA053"</f>
        <v>SA053</v>
      </c>
      <c r="D7723" s="1" t="str">
        <f>"SA053"</f>
        <v>SA053</v>
      </c>
      <c r="E7723" s="1" t="s">
        <v>4566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</row>
    <row r="7724" spans="1:11" x14ac:dyDescent="0.2">
      <c r="A7724" s="1" t="s">
        <v>2491</v>
      </c>
      <c r="B7724" s="1" t="s">
        <v>2522</v>
      </c>
      <c r="C7724" s="1" t="str">
        <f>"SA014"</f>
        <v>SA014</v>
      </c>
      <c r="D7724" s="1" t="str">
        <f>"SA014"</f>
        <v>SA014</v>
      </c>
      <c r="E7724" s="1" t="s">
        <v>4566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</row>
    <row r="7725" spans="1:11" x14ac:dyDescent="0.2">
      <c r="A7725" s="1" t="s">
        <v>18</v>
      </c>
      <c r="B7725" s="1" t="s">
        <v>2523</v>
      </c>
      <c r="C7725" s="1" t="str">
        <f>"3010101"</f>
        <v>3010101</v>
      </c>
      <c r="D7725" s="1" t="str">
        <f>"3010101"</f>
        <v>3010101</v>
      </c>
      <c r="E7725" s="1" t="s">
        <v>4566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</row>
    <row r="7726" spans="1:11" x14ac:dyDescent="0.2">
      <c r="A7726" s="1" t="s">
        <v>18</v>
      </c>
      <c r="B7726" s="1" t="s">
        <v>2524</v>
      </c>
      <c r="C7726" s="1" t="str">
        <f>"66298895666130"</f>
        <v>66298895666130</v>
      </c>
      <c r="D7726" s="1" t="str">
        <f>"HR-3000-AM"</f>
        <v>HR-3000-AM</v>
      </c>
      <c r="E7726" s="1" t="s">
        <v>4566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</row>
    <row r="7727" spans="1:11" x14ac:dyDescent="0.2">
      <c r="A7727" s="1" t="s">
        <v>18</v>
      </c>
      <c r="B7727" s="1" t="s">
        <v>2525</v>
      </c>
      <c r="C7727" s="1" t="str">
        <f>"3010047"</f>
        <v>3010047</v>
      </c>
      <c r="D7727" s="1" t="str">
        <f>"3010047"</f>
        <v>3010047</v>
      </c>
      <c r="E7727" s="1" t="s">
        <v>4566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</row>
    <row r="7728" spans="1:11" x14ac:dyDescent="0.2">
      <c r="A7728" s="1" t="s">
        <v>18</v>
      </c>
      <c r="B7728" s="1" t="s">
        <v>2526</v>
      </c>
      <c r="C7728" s="1" t="str">
        <f>"66298895710427"</f>
        <v>66298895710427</v>
      </c>
      <c r="D7728" s="1" t="str">
        <f>"HR-3000-R"</f>
        <v>HR-3000-R</v>
      </c>
      <c r="E7728" s="1" t="s">
        <v>4566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</row>
    <row r="7729" spans="1:11" x14ac:dyDescent="0.2">
      <c r="A7729" s="1" t="s">
        <v>1050</v>
      </c>
      <c r="B7729" s="1" t="s">
        <v>2527</v>
      </c>
      <c r="C7729" s="1" t="str">
        <f>"66298895757990"</f>
        <v>66298895757990</v>
      </c>
      <c r="D7729" s="1" t="str">
        <f>"49CC69"</f>
        <v>49CC69</v>
      </c>
      <c r="E7729" s="1" t="s">
        <v>4566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</row>
    <row r="7730" spans="1:11" x14ac:dyDescent="0.2">
      <c r="A7730" s="1" t="s">
        <v>1050</v>
      </c>
      <c r="B7730" s="1" t="s">
        <v>2528</v>
      </c>
      <c r="C7730" s="1" t="str">
        <f>"66298895803760"</f>
        <v>66298895803760</v>
      </c>
      <c r="D7730" s="1" t="str">
        <f>"B075"</f>
        <v>B075</v>
      </c>
      <c r="E7730" s="1" t="s">
        <v>4566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</row>
    <row r="7731" spans="1:11" x14ac:dyDescent="0.2">
      <c r="A7731" s="1" t="s">
        <v>1050</v>
      </c>
      <c r="B7731" s="1" t="s">
        <v>2529</v>
      </c>
      <c r="C7731" s="1" t="str">
        <f>"66298895843269"</f>
        <v>66298895843269</v>
      </c>
      <c r="D7731" s="1" t="str">
        <f>"82331"</f>
        <v>82331</v>
      </c>
      <c r="E7731" s="1" t="s">
        <v>4566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</row>
    <row r="7732" spans="1:11" x14ac:dyDescent="0.2">
      <c r="A7732" s="1" t="s">
        <v>2530</v>
      </c>
      <c r="B7732" s="1" t="s">
        <v>2531</v>
      </c>
      <c r="C7732" s="1" t="str">
        <f>"U030"</f>
        <v>U030</v>
      </c>
      <c r="D7732" s="1" t="str">
        <f>"U030"</f>
        <v>U030</v>
      </c>
      <c r="E7732" s="1" t="s">
        <v>4566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</row>
    <row r="7733" spans="1:11" x14ac:dyDescent="0.2">
      <c r="A7733" s="1" t="s">
        <v>2530</v>
      </c>
      <c r="B7733" s="1" t="s">
        <v>2531</v>
      </c>
      <c r="C7733" s="1" t="str">
        <f>"XA002"</f>
        <v>XA002</v>
      </c>
      <c r="D7733" s="1" t="str">
        <f>"XA002"</f>
        <v>XA002</v>
      </c>
      <c r="E7733" s="1" t="s">
        <v>4566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</row>
    <row r="7734" spans="1:11" x14ac:dyDescent="0.2">
      <c r="A7734" s="1" t="s">
        <v>1050</v>
      </c>
      <c r="B7734" s="1" t="s">
        <v>2532</v>
      </c>
      <c r="C7734" s="1" t="str">
        <f>"66298895884673"</f>
        <v>66298895884673</v>
      </c>
      <c r="D7734" s="1" t="str">
        <f>"E011"</f>
        <v>E011</v>
      </c>
      <c r="E7734" s="1" t="s">
        <v>4566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</row>
    <row r="7735" spans="1:11" x14ac:dyDescent="0.2">
      <c r="A7735" s="1" t="s">
        <v>1050</v>
      </c>
      <c r="B7735" s="1" t="s">
        <v>2533</v>
      </c>
      <c r="C7735" s="1" t="str">
        <f>"66298895931161"</f>
        <v>66298895931161</v>
      </c>
      <c r="D7735" s="1" t="str">
        <f>"XA019"</f>
        <v>XA019</v>
      </c>
      <c r="E7735" s="1" t="s">
        <v>4566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</row>
    <row r="7736" spans="1:11" x14ac:dyDescent="0.2">
      <c r="A7736" s="1" t="s">
        <v>1050</v>
      </c>
      <c r="B7736" s="1" t="s">
        <v>2534</v>
      </c>
      <c r="C7736" s="1" t="str">
        <f>"66298896019807"</f>
        <v>66298896019807</v>
      </c>
      <c r="D7736" s="1" t="str">
        <f>"16210-437-000BR"</f>
        <v>16210-437-000BR</v>
      </c>
      <c r="E7736" s="1" t="s">
        <v>4566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</row>
    <row r="7737" spans="1:11" x14ac:dyDescent="0.2">
      <c r="A7737" s="1" t="s">
        <v>2530</v>
      </c>
      <c r="B7737" s="1" t="s">
        <v>2535</v>
      </c>
      <c r="C7737" s="1" t="str">
        <f>"589003"</f>
        <v>589003</v>
      </c>
      <c r="D7737" s="1" t="str">
        <f>"589003"</f>
        <v>589003</v>
      </c>
      <c r="E7737" s="1" t="s">
        <v>4566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</row>
    <row r="7738" spans="1:11" x14ac:dyDescent="0.2">
      <c r="A7738" s="1" t="s">
        <v>1050</v>
      </c>
      <c r="B7738" s="1" t="s">
        <v>2536</v>
      </c>
      <c r="C7738" s="1" t="str">
        <f>"66298896060035"</f>
        <v>66298896060035</v>
      </c>
      <c r="D7738" s="1" t="str">
        <f>"XA014"</f>
        <v>XA014</v>
      </c>
      <c r="E7738" s="1" t="s">
        <v>4566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</row>
    <row r="7739" spans="1:11" x14ac:dyDescent="0.2">
      <c r="A7739" s="1" t="s">
        <v>1050</v>
      </c>
      <c r="B7739" s="1" t="s">
        <v>2537</v>
      </c>
      <c r="C7739" s="1" t="str">
        <f>"66298896106876"</f>
        <v>66298896106876</v>
      </c>
      <c r="D7739" s="1" t="str">
        <f>"38B-E3585-00"</f>
        <v>38B-E3585-00</v>
      </c>
      <c r="E7739" s="1" t="s">
        <v>4566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</row>
    <row r="7740" spans="1:11" x14ac:dyDescent="0.2">
      <c r="A7740" s="1" t="s">
        <v>98</v>
      </c>
      <c r="B7740" s="1" t="s">
        <v>2538</v>
      </c>
      <c r="C7740" s="1" t="str">
        <f>"66298896152067"</f>
        <v>66298896152067</v>
      </c>
      <c r="D7740" s="1" t="str">
        <f>"R056"</f>
        <v>R056</v>
      </c>
      <c r="E7740" s="1" t="s">
        <v>4566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</row>
    <row r="7741" spans="1:11" x14ac:dyDescent="0.2">
      <c r="A7741" s="1" t="s">
        <v>2530</v>
      </c>
      <c r="B7741" s="1" t="s">
        <v>2539</v>
      </c>
      <c r="C7741" s="1" t="str">
        <f>"GAA001"</f>
        <v>GAA001</v>
      </c>
      <c r="D7741" s="1" t="str">
        <f>"GAA001"</f>
        <v>GAA001</v>
      </c>
      <c r="E7741" s="1" t="s">
        <v>4566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</row>
    <row r="7742" spans="1:11" x14ac:dyDescent="0.2">
      <c r="A7742" s="1" t="s">
        <v>1050</v>
      </c>
      <c r="B7742" s="1" t="s">
        <v>2540</v>
      </c>
      <c r="C7742" s="1" t="str">
        <f>"66298896192923"</f>
        <v>66298896192923</v>
      </c>
      <c r="D7742" s="1" t="str">
        <f>"XA006"</f>
        <v>XA006</v>
      </c>
      <c r="E7742" s="1" t="s">
        <v>4566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</row>
    <row r="7743" spans="1:11" x14ac:dyDescent="0.2">
      <c r="A7743" s="1" t="s">
        <v>479</v>
      </c>
      <c r="B7743" s="1" t="s">
        <v>2541</v>
      </c>
      <c r="C7743" s="1" t="str">
        <f>"66298896235068"</f>
        <v>66298896235068</v>
      </c>
      <c r="D7743" s="1" t="str">
        <f>"I-S-1958"</f>
        <v>I-S-1958</v>
      </c>
      <c r="E7743" s="1" t="s">
        <v>4566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</row>
    <row r="7744" spans="1:11" x14ac:dyDescent="0.2">
      <c r="A7744" s="1" t="s">
        <v>1567</v>
      </c>
      <c r="B7744" s="1" t="s">
        <v>2542</v>
      </c>
      <c r="C7744" s="1" t="str">
        <f>"RO-3124"</f>
        <v>RO-3124</v>
      </c>
      <c r="D7744" s="1" t="str">
        <f>"RO-3124"</f>
        <v>RO-3124</v>
      </c>
      <c r="E7744" s="1" t="s">
        <v>4566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</row>
    <row r="7745" spans="1:11" x14ac:dyDescent="0.2">
      <c r="B7745" s="1" t="s">
        <v>1569</v>
      </c>
    </row>
    <row r="7746" spans="1:11" x14ac:dyDescent="0.2">
      <c r="B7746" s="1" t="s">
        <v>2543</v>
      </c>
    </row>
    <row r="7747" spans="1:11" x14ac:dyDescent="0.2">
      <c r="B7747" s="1" t="s">
        <v>2544</v>
      </c>
    </row>
    <row r="7748" spans="1:11" x14ac:dyDescent="0.2">
      <c r="B7748" s="1" t="s">
        <v>4561</v>
      </c>
    </row>
    <row r="7749" spans="1:11" x14ac:dyDescent="0.2">
      <c r="B7749" s="1" t="s">
        <v>2546</v>
      </c>
    </row>
    <row r="7750" spans="1:11" x14ac:dyDescent="0.2">
      <c r="B7750" s="1" t="s">
        <v>1574</v>
      </c>
    </row>
    <row r="7751" spans="1:11" x14ac:dyDescent="0.2">
      <c r="B7751" s="1" t="s">
        <v>1575</v>
      </c>
    </row>
    <row r="7752" spans="1:11" x14ac:dyDescent="0.2">
      <c r="B7752" s="1" t="s">
        <v>4568</v>
      </c>
    </row>
    <row r="7753" spans="1:11" x14ac:dyDescent="0.2">
      <c r="B7753" s="1" t="s">
        <v>4569</v>
      </c>
    </row>
    <row r="7754" spans="1:11" x14ac:dyDescent="0.2">
      <c r="A7754" s="1" t="s">
        <v>1567</v>
      </c>
      <c r="B7754" s="1" t="s">
        <v>2542</v>
      </c>
      <c r="C7754" s="1" t="str">
        <f>"RO-3128"</f>
        <v>RO-3128</v>
      </c>
      <c r="D7754" s="1" t="str">
        <f>"RO-3128"</f>
        <v>RO-3128</v>
      </c>
      <c r="E7754" s="1" t="s">
        <v>4566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</row>
    <row r="7755" spans="1:11" x14ac:dyDescent="0.2">
      <c r="B7755" s="1" t="s">
        <v>1569</v>
      </c>
    </row>
    <row r="7756" spans="1:11" x14ac:dyDescent="0.2">
      <c r="B7756" s="1" t="s">
        <v>2543</v>
      </c>
    </row>
    <row r="7757" spans="1:11" x14ac:dyDescent="0.2">
      <c r="B7757" s="1" t="s">
        <v>2544</v>
      </c>
    </row>
    <row r="7758" spans="1:11" x14ac:dyDescent="0.2">
      <c r="B7758" s="1" t="s">
        <v>2545</v>
      </c>
    </row>
    <row r="7759" spans="1:11" x14ac:dyDescent="0.2">
      <c r="B7759" s="1" t="s">
        <v>2546</v>
      </c>
    </row>
    <row r="7760" spans="1:11" x14ac:dyDescent="0.2">
      <c r="B7760" s="1" t="s">
        <v>1574</v>
      </c>
    </row>
    <row r="7761" spans="1:11" x14ac:dyDescent="0.2">
      <c r="B7761" s="1" t="s">
        <v>1575</v>
      </c>
    </row>
    <row r="7762" spans="1:11" x14ac:dyDescent="0.2">
      <c r="B7762" s="1" t="s">
        <v>2547</v>
      </c>
    </row>
    <row r="7763" spans="1:11" x14ac:dyDescent="0.2">
      <c r="B7763" s="1" t="s">
        <v>2548</v>
      </c>
    </row>
    <row r="7764" spans="1:11" x14ac:dyDescent="0.2">
      <c r="A7764" s="1" t="s">
        <v>1567</v>
      </c>
      <c r="B7764" s="1" t="s">
        <v>2542</v>
      </c>
      <c r="C7764" s="1" t="str">
        <f>"RO-3150"</f>
        <v>RO-3150</v>
      </c>
      <c r="D7764" s="1" t="str">
        <f>"RO-3150"</f>
        <v>RO-3150</v>
      </c>
      <c r="E7764" s="1" t="s">
        <v>4566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</row>
    <row r="7765" spans="1:11" x14ac:dyDescent="0.2">
      <c r="B7765" s="1" t="s">
        <v>1569</v>
      </c>
    </row>
    <row r="7766" spans="1:11" x14ac:dyDescent="0.2">
      <c r="B7766" s="1" t="s">
        <v>2543</v>
      </c>
    </row>
    <row r="7767" spans="1:11" x14ac:dyDescent="0.2">
      <c r="B7767" s="1" t="s">
        <v>2544</v>
      </c>
    </row>
    <row r="7768" spans="1:11" x14ac:dyDescent="0.2">
      <c r="B7768" s="1" t="s">
        <v>2545</v>
      </c>
    </row>
    <row r="7769" spans="1:11" x14ac:dyDescent="0.2">
      <c r="B7769" s="1" t="s">
        <v>2546</v>
      </c>
    </row>
    <row r="7770" spans="1:11" x14ac:dyDescent="0.2">
      <c r="B7770" s="1" t="s">
        <v>1574</v>
      </c>
    </row>
    <row r="7771" spans="1:11" x14ac:dyDescent="0.2">
      <c r="B7771" s="1" t="s">
        <v>1575</v>
      </c>
    </row>
    <row r="7772" spans="1:11" x14ac:dyDescent="0.2">
      <c r="B7772" s="1" t="s">
        <v>2549</v>
      </c>
    </row>
    <row r="7773" spans="1:11" x14ac:dyDescent="0.2">
      <c r="B7773" s="1" t="s">
        <v>2550</v>
      </c>
    </row>
    <row r="7774" spans="1:11" x14ac:dyDescent="0.2">
      <c r="A7774" s="1" t="s">
        <v>1567</v>
      </c>
      <c r="B7774" s="1" t="s">
        <v>2542</v>
      </c>
      <c r="C7774" s="1" t="str">
        <f>"RO-3151"</f>
        <v>RO-3151</v>
      </c>
      <c r="D7774" s="1" t="str">
        <f>"RO-3151"</f>
        <v>RO-3151</v>
      </c>
      <c r="E7774" s="1" t="s">
        <v>4566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</row>
    <row r="7775" spans="1:11" x14ac:dyDescent="0.2">
      <c r="B7775" s="1" t="s">
        <v>1569</v>
      </c>
    </row>
    <row r="7776" spans="1:11" x14ac:dyDescent="0.2">
      <c r="B7776" s="1" t="s">
        <v>2543</v>
      </c>
    </row>
    <row r="7777" spans="1:11" x14ac:dyDescent="0.2">
      <c r="B7777" s="1" t="s">
        <v>2544</v>
      </c>
    </row>
    <row r="7778" spans="1:11" x14ac:dyDescent="0.2">
      <c r="B7778" s="1" t="s">
        <v>2545</v>
      </c>
    </row>
    <row r="7779" spans="1:11" x14ac:dyDescent="0.2">
      <c r="B7779" s="1" t="s">
        <v>2546</v>
      </c>
    </row>
    <row r="7780" spans="1:11" x14ac:dyDescent="0.2">
      <c r="B7780" s="1" t="s">
        <v>1574</v>
      </c>
    </row>
    <row r="7781" spans="1:11" x14ac:dyDescent="0.2">
      <c r="B7781" s="1" t="s">
        <v>1575</v>
      </c>
    </row>
    <row r="7782" spans="1:11" x14ac:dyDescent="0.2">
      <c r="B7782" s="1" t="s">
        <v>2551</v>
      </c>
    </row>
    <row r="7783" spans="1:11" x14ac:dyDescent="0.2">
      <c r="B7783" s="1" t="s">
        <v>2552</v>
      </c>
    </row>
    <row r="7784" spans="1:11" x14ac:dyDescent="0.2">
      <c r="A7784" s="1" t="s">
        <v>1567</v>
      </c>
      <c r="B7784" s="1" t="s">
        <v>2542</v>
      </c>
      <c r="C7784" s="1" t="str">
        <f>"RO-3127"</f>
        <v>RO-3127</v>
      </c>
      <c r="D7784" s="1" t="str">
        <f>"RO-3127"</f>
        <v>RO-3127</v>
      </c>
      <c r="E7784" s="1" t="s">
        <v>4566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</row>
    <row r="7785" spans="1:11" x14ac:dyDescent="0.2">
      <c r="B7785" s="1" t="s">
        <v>1569</v>
      </c>
    </row>
    <row r="7786" spans="1:11" x14ac:dyDescent="0.2">
      <c r="B7786" s="1" t="s">
        <v>2543</v>
      </c>
    </row>
    <row r="7787" spans="1:11" x14ac:dyDescent="0.2">
      <c r="B7787" s="1" t="s">
        <v>1571</v>
      </c>
    </row>
    <row r="7788" spans="1:11" x14ac:dyDescent="0.2">
      <c r="B7788" s="1" t="s">
        <v>2553</v>
      </c>
    </row>
    <row r="7789" spans="1:11" x14ac:dyDescent="0.2">
      <c r="B7789" s="1" t="s">
        <v>2546</v>
      </c>
    </row>
    <row r="7790" spans="1:11" x14ac:dyDescent="0.2">
      <c r="B7790" s="1" t="s">
        <v>1574</v>
      </c>
    </row>
    <row r="7791" spans="1:11" x14ac:dyDescent="0.2">
      <c r="B7791" s="1" t="s">
        <v>1575</v>
      </c>
    </row>
    <row r="7792" spans="1:11" x14ac:dyDescent="0.2">
      <c r="B7792" s="1" t="s">
        <v>2554</v>
      </c>
    </row>
    <row r="7793" spans="1:11" x14ac:dyDescent="0.2">
      <c r="B7793" s="1" t="s">
        <v>2555</v>
      </c>
    </row>
    <row r="7794" spans="1:11" x14ac:dyDescent="0.2">
      <c r="A7794" s="1" t="s">
        <v>1567</v>
      </c>
      <c r="B7794" s="1" t="s">
        <v>2556</v>
      </c>
      <c r="C7794" s="1" t="str">
        <f>"RO-3180"</f>
        <v>RO-3180</v>
      </c>
      <c r="D7794" s="1" t="str">
        <f>"RO-3180"</f>
        <v>RO-3180</v>
      </c>
      <c r="E7794" s="1" t="s">
        <v>4566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</row>
    <row r="7795" spans="1:11" x14ac:dyDescent="0.2">
      <c r="B7795" s="1" t="s">
        <v>2557</v>
      </c>
    </row>
    <row r="7796" spans="1:11" x14ac:dyDescent="0.2">
      <c r="B7796" s="1" t="s">
        <v>2558</v>
      </c>
    </row>
    <row r="7797" spans="1:11" x14ac:dyDescent="0.2">
      <c r="B7797" s="1" t="s">
        <v>2544</v>
      </c>
    </row>
    <row r="7798" spans="1:11" x14ac:dyDescent="0.2">
      <c r="B7798" s="1" t="s">
        <v>2545</v>
      </c>
    </row>
    <row r="7799" spans="1:11" x14ac:dyDescent="0.2">
      <c r="B7799" s="1" t="s">
        <v>2546</v>
      </c>
    </row>
    <row r="7800" spans="1:11" x14ac:dyDescent="0.2">
      <c r="B7800" s="1" t="s">
        <v>1574</v>
      </c>
    </row>
    <row r="7801" spans="1:11" x14ac:dyDescent="0.2">
      <c r="B7801" s="1" t="s">
        <v>1575</v>
      </c>
    </row>
    <row r="7802" spans="1:11" x14ac:dyDescent="0.2">
      <c r="B7802" s="1" t="s">
        <v>2559</v>
      </c>
    </row>
    <row r="7803" spans="1:11" x14ac:dyDescent="0.2">
      <c r="B7803" s="1" t="s">
        <v>2560</v>
      </c>
    </row>
    <row r="7804" spans="1:11" x14ac:dyDescent="0.2">
      <c r="A7804" s="1" t="s">
        <v>1567</v>
      </c>
      <c r="B7804" s="1" t="s">
        <v>2556</v>
      </c>
      <c r="C7804" s="1" t="str">
        <f>"RO-3179"</f>
        <v>RO-3179</v>
      </c>
      <c r="D7804" s="1" t="str">
        <f>"RO-3179"</f>
        <v>RO-3179</v>
      </c>
      <c r="E7804" s="1" t="s">
        <v>4566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</row>
    <row r="7805" spans="1:11" x14ac:dyDescent="0.2">
      <c r="B7805" s="1" t="s">
        <v>2557</v>
      </c>
    </row>
    <row r="7806" spans="1:11" x14ac:dyDescent="0.2">
      <c r="B7806" s="1" t="s">
        <v>2558</v>
      </c>
    </row>
    <row r="7807" spans="1:11" x14ac:dyDescent="0.2">
      <c r="B7807" s="1" t="s">
        <v>1571</v>
      </c>
    </row>
    <row r="7808" spans="1:11" x14ac:dyDescent="0.2">
      <c r="B7808" s="1" t="s">
        <v>2545</v>
      </c>
    </row>
    <row r="7809" spans="1:11" x14ac:dyDescent="0.2">
      <c r="B7809" s="1" t="s">
        <v>2546</v>
      </c>
    </row>
    <row r="7810" spans="1:11" x14ac:dyDescent="0.2">
      <c r="B7810" s="1" t="s">
        <v>1574</v>
      </c>
    </row>
    <row r="7811" spans="1:11" x14ac:dyDescent="0.2">
      <c r="B7811" s="1" t="s">
        <v>1575</v>
      </c>
    </row>
    <row r="7812" spans="1:11" x14ac:dyDescent="0.2">
      <c r="B7812" s="1" t="s">
        <v>2561</v>
      </c>
    </row>
    <row r="7813" spans="1:11" x14ac:dyDescent="0.2">
      <c r="B7813" s="1" t="s">
        <v>2562</v>
      </c>
    </row>
    <row r="7814" spans="1:11" ht="30" x14ac:dyDescent="0.2">
      <c r="A7814" s="1" t="s">
        <v>2004</v>
      </c>
      <c r="B7814" s="1" t="s">
        <v>2563</v>
      </c>
      <c r="C7814" s="1" t="str">
        <f>"67950195409428"</f>
        <v>67950195409428</v>
      </c>
      <c r="D7814" s="1" t="str">
        <f>"P-H10E16-01"</f>
        <v>P-H10E16-01</v>
      </c>
      <c r="E7814" s="1" t="s">
        <v>4566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</row>
    <row r="7815" spans="1:11" ht="30" x14ac:dyDescent="0.2">
      <c r="A7815" s="1" t="s">
        <v>2004</v>
      </c>
      <c r="B7815" s="1" t="s">
        <v>2564</v>
      </c>
      <c r="C7815" s="1" t="str">
        <f>"67950195429541"</f>
        <v>67950195429541</v>
      </c>
      <c r="D7815" s="1" t="str">
        <f>"P-H11E20-01"</f>
        <v>P-H11E20-01</v>
      </c>
      <c r="E7815" s="1" t="s">
        <v>4566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</row>
    <row r="7816" spans="1:11" x14ac:dyDescent="0.2">
      <c r="A7816" s="1" t="s">
        <v>2565</v>
      </c>
      <c r="B7816" s="1" t="s">
        <v>2566</v>
      </c>
      <c r="C7816" s="1" t="str">
        <f>"66298896285030"</f>
        <v>66298896285030</v>
      </c>
      <c r="D7816" s="1" t="str">
        <f>"82617"</f>
        <v>82617</v>
      </c>
      <c r="E7816" s="1" t="s">
        <v>4566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</row>
    <row r="7817" spans="1:11" x14ac:dyDescent="0.2">
      <c r="A7817" s="1" t="s">
        <v>2567</v>
      </c>
      <c r="B7817" s="1" t="s">
        <v>2568</v>
      </c>
      <c r="C7817" s="1" t="str">
        <f>"66298896340012"</f>
        <v>66298896340012</v>
      </c>
      <c r="D7817" s="1" t="str">
        <f>"S0119"</f>
        <v>S0119</v>
      </c>
      <c r="E7817" s="1" t="s">
        <v>4566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</row>
    <row r="7818" spans="1:11" x14ac:dyDescent="0.2">
      <c r="A7818" s="1" t="s">
        <v>2567</v>
      </c>
      <c r="B7818" s="1" t="s">
        <v>2569</v>
      </c>
      <c r="C7818" s="1" t="str">
        <f>"1899"</f>
        <v>1899</v>
      </c>
      <c r="D7818" s="1" t="str">
        <f>"1899"</f>
        <v>1899</v>
      </c>
      <c r="E7818" s="1" t="s">
        <v>4566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</row>
    <row r="7819" spans="1:11" ht="45" x14ac:dyDescent="0.2">
      <c r="A7819" s="1" t="s">
        <v>2567</v>
      </c>
      <c r="B7819" s="1" t="s">
        <v>2570</v>
      </c>
      <c r="C7819" s="1" t="str">
        <f>"11189"</f>
        <v>11189</v>
      </c>
      <c r="D7819" s="1" t="str">
        <f>"11189"</f>
        <v>11189</v>
      </c>
      <c r="E7819" s="1" t="s">
        <v>4566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</row>
    <row r="7820" spans="1:11" ht="30" x14ac:dyDescent="0.2">
      <c r="A7820" s="1" t="s">
        <v>2567</v>
      </c>
      <c r="B7820" s="1" t="s">
        <v>2571</v>
      </c>
      <c r="C7820" s="1" t="str">
        <f>"49CC93"</f>
        <v>49CC93</v>
      </c>
      <c r="D7820" s="1" t="str">
        <f>"49CC93"</f>
        <v>49CC93</v>
      </c>
      <c r="E7820" s="1" t="s">
        <v>4566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</row>
    <row r="7821" spans="1:11" x14ac:dyDescent="0.2">
      <c r="A7821" s="1" t="s">
        <v>2567</v>
      </c>
      <c r="B7821" s="1" t="s">
        <v>2572</v>
      </c>
      <c r="C7821" s="1" t="str">
        <f>"DA029"</f>
        <v>DA029</v>
      </c>
      <c r="D7821" s="1" t="str">
        <f>"DA029"</f>
        <v>DA029</v>
      </c>
      <c r="E7821" s="1" t="s">
        <v>4566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</row>
    <row r="7822" spans="1:11" ht="30" x14ac:dyDescent="0.2">
      <c r="A7822" s="1" t="s">
        <v>2567</v>
      </c>
      <c r="B7822" s="1" t="s">
        <v>2573</v>
      </c>
      <c r="C7822" s="1" t="str">
        <f>"66298896429209"</f>
        <v>66298896429209</v>
      </c>
      <c r="D7822" s="1" t="str">
        <f>"400038"</f>
        <v>400038</v>
      </c>
      <c r="E7822" s="1" t="s">
        <v>4566</v>
      </c>
      <c r="F7822" s="1">
        <v>40</v>
      </c>
      <c r="G7822" s="1">
        <v>16647</v>
      </c>
      <c r="H7822" s="1">
        <v>665880</v>
      </c>
      <c r="I7822" s="1">
        <v>0</v>
      </c>
      <c r="J7822" s="1">
        <v>40</v>
      </c>
      <c r="K7822" s="1">
        <v>0</v>
      </c>
    </row>
    <row r="7823" spans="1:11" ht="30" x14ac:dyDescent="0.2">
      <c r="A7823" s="1" t="s">
        <v>2567</v>
      </c>
      <c r="B7823" s="1" t="s">
        <v>2574</v>
      </c>
      <c r="C7823" s="1" t="str">
        <f>"66298896471925"</f>
        <v>66298896471925</v>
      </c>
      <c r="D7823" s="1" t="str">
        <f>"400740"</f>
        <v>400740</v>
      </c>
      <c r="E7823" s="1" t="s">
        <v>4566</v>
      </c>
      <c r="F7823" s="1">
        <v>24</v>
      </c>
      <c r="G7823" s="1">
        <v>18807</v>
      </c>
      <c r="H7823" s="1">
        <v>451368</v>
      </c>
      <c r="I7823" s="1">
        <v>0</v>
      </c>
      <c r="J7823" s="1">
        <v>24</v>
      </c>
      <c r="K7823" s="1">
        <v>0</v>
      </c>
    </row>
    <row r="7824" spans="1:11" x14ac:dyDescent="0.2">
      <c r="A7824" s="1" t="s">
        <v>2567</v>
      </c>
      <c r="B7824" s="1" t="s">
        <v>2575</v>
      </c>
      <c r="C7824" s="1" t="str">
        <f>"66298896383619"</f>
        <v>66298896383619</v>
      </c>
      <c r="D7824" s="1" t="str">
        <f>"400037"</f>
        <v>400037</v>
      </c>
      <c r="E7824" s="1" t="s">
        <v>4566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</row>
    <row r="7825" spans="1:11" x14ac:dyDescent="0.2">
      <c r="A7825" s="1" t="s">
        <v>2567</v>
      </c>
      <c r="B7825" s="1" t="s">
        <v>2576</v>
      </c>
      <c r="C7825" s="1" t="str">
        <f>"7859"</f>
        <v>7859</v>
      </c>
      <c r="D7825" s="1" t="str">
        <f>"7859"</f>
        <v>7859</v>
      </c>
      <c r="E7825" s="1" t="s">
        <v>4566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</row>
    <row r="7826" spans="1:11" ht="30" x14ac:dyDescent="0.2">
      <c r="A7826" s="1" t="s">
        <v>2567</v>
      </c>
      <c r="B7826" s="1" t="s">
        <v>2577</v>
      </c>
      <c r="C7826" s="1" t="str">
        <f>"12123"</f>
        <v>12123</v>
      </c>
      <c r="D7826" s="1" t="str">
        <f>"12123"</f>
        <v>12123</v>
      </c>
      <c r="E7826" s="1" t="s">
        <v>4566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</row>
    <row r="7827" spans="1:11" ht="30" x14ac:dyDescent="0.2">
      <c r="A7827" s="1" t="s">
        <v>2567</v>
      </c>
      <c r="B7827" s="1" t="s">
        <v>2578</v>
      </c>
      <c r="C7827" s="1" t="str">
        <f>"66298896581769"</f>
        <v>66298896581769</v>
      </c>
      <c r="D7827" s="1" t="str">
        <f>"401083"</f>
        <v>401083</v>
      </c>
      <c r="E7827" s="1" t="s">
        <v>4566</v>
      </c>
      <c r="F7827" s="1">
        <v>29</v>
      </c>
      <c r="G7827" s="1">
        <v>21192</v>
      </c>
      <c r="H7827" s="1">
        <v>614568</v>
      </c>
      <c r="I7827" s="1">
        <v>0</v>
      </c>
      <c r="J7827" s="1">
        <v>29</v>
      </c>
      <c r="K7827" s="1">
        <v>0</v>
      </c>
    </row>
    <row r="7828" spans="1:11" ht="30" x14ac:dyDescent="0.2">
      <c r="A7828" s="1" t="s">
        <v>2567</v>
      </c>
      <c r="B7828" s="1" t="s">
        <v>2579</v>
      </c>
      <c r="C7828" s="1" t="str">
        <f>"66298896537128"</f>
        <v>66298896537128</v>
      </c>
      <c r="D7828" s="1" t="str">
        <f>"400040"</f>
        <v>400040</v>
      </c>
      <c r="E7828" s="1" t="s">
        <v>4566</v>
      </c>
      <c r="F7828" s="1">
        <v>6</v>
      </c>
      <c r="G7828" s="1">
        <v>12698</v>
      </c>
      <c r="H7828" s="1">
        <v>76188</v>
      </c>
      <c r="I7828" s="1">
        <v>0</v>
      </c>
      <c r="J7828" s="1">
        <v>6</v>
      </c>
      <c r="K7828" s="1">
        <v>0</v>
      </c>
    </row>
    <row r="7829" spans="1:11" ht="30" x14ac:dyDescent="0.2">
      <c r="A7829" s="1" t="s">
        <v>2567</v>
      </c>
      <c r="B7829" s="1" t="s">
        <v>2580</v>
      </c>
      <c r="C7829" s="1" t="str">
        <f>"66298896626120"</f>
        <v>66298896626120</v>
      </c>
      <c r="D7829" s="1" t="str">
        <f>"DA015"</f>
        <v>DA015</v>
      </c>
      <c r="E7829" s="1" t="s">
        <v>4566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</row>
    <row r="7830" spans="1:11" ht="30" x14ac:dyDescent="0.2">
      <c r="A7830" s="1" t="s">
        <v>2567</v>
      </c>
      <c r="B7830" s="1" t="s">
        <v>2581</v>
      </c>
      <c r="C7830" s="1" t="str">
        <f>"66298896670599"</f>
        <v>66298896670599</v>
      </c>
      <c r="D7830" s="1" t="str">
        <f>"401076"</f>
        <v>401076</v>
      </c>
      <c r="E7830" s="1" t="s">
        <v>4566</v>
      </c>
      <c r="F7830" s="1">
        <v>90</v>
      </c>
      <c r="G7830" s="1">
        <v>19749</v>
      </c>
      <c r="H7830" s="1">
        <v>1777410</v>
      </c>
      <c r="I7830" s="1">
        <v>0</v>
      </c>
      <c r="J7830" s="1">
        <v>90</v>
      </c>
      <c r="K7830" s="1">
        <v>0</v>
      </c>
    </row>
    <row r="7831" spans="1:11" x14ac:dyDescent="0.2">
      <c r="A7831" s="1" t="s">
        <v>2567</v>
      </c>
      <c r="B7831" s="1" t="s">
        <v>2582</v>
      </c>
      <c r="C7831" s="1" t="str">
        <f>"DA001"</f>
        <v>DA001</v>
      </c>
      <c r="D7831" s="1" t="str">
        <f>"DA001"</f>
        <v>DA001</v>
      </c>
      <c r="E7831" s="1" t="s">
        <v>4566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</row>
    <row r="7832" spans="1:11" ht="30" x14ac:dyDescent="0.2">
      <c r="A7832" s="1" t="s">
        <v>2567</v>
      </c>
      <c r="B7832" s="1" t="s">
        <v>2583</v>
      </c>
      <c r="C7832" s="1" t="str">
        <f>"DA011"</f>
        <v>DA011</v>
      </c>
      <c r="D7832" s="1" t="str">
        <f>"DA011"</f>
        <v>DA011</v>
      </c>
      <c r="E7832" s="1" t="s">
        <v>4566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</row>
    <row r="7833" spans="1:11" ht="30" x14ac:dyDescent="0.2">
      <c r="A7833" s="1" t="s">
        <v>2567</v>
      </c>
      <c r="B7833" s="1" t="s">
        <v>2584</v>
      </c>
      <c r="C7833" s="1" t="str">
        <f>"66298896715458"</f>
        <v>66298896715458</v>
      </c>
      <c r="D7833" s="1" t="str">
        <f>"401077"</f>
        <v>401077</v>
      </c>
      <c r="E7833" s="1" t="s">
        <v>4566</v>
      </c>
      <c r="F7833" s="1">
        <v>30</v>
      </c>
      <c r="G7833" s="1">
        <v>20351</v>
      </c>
      <c r="H7833" s="1">
        <v>610530</v>
      </c>
      <c r="I7833" s="1">
        <v>0</v>
      </c>
      <c r="J7833" s="1">
        <v>30</v>
      </c>
      <c r="K7833" s="1">
        <v>0</v>
      </c>
    </row>
    <row r="7834" spans="1:11" x14ac:dyDescent="0.2">
      <c r="A7834" s="1" t="s">
        <v>2567</v>
      </c>
      <c r="B7834" s="1" t="s">
        <v>2585</v>
      </c>
      <c r="C7834" s="1" t="str">
        <f>"11170"</f>
        <v>11170</v>
      </c>
      <c r="D7834" s="1" t="str">
        <f>"11170"</f>
        <v>11170</v>
      </c>
      <c r="E7834" s="1" t="s">
        <v>4566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</row>
    <row r="7835" spans="1:11" x14ac:dyDescent="0.2">
      <c r="A7835" s="1" t="s">
        <v>2567</v>
      </c>
      <c r="B7835" s="1" t="s">
        <v>2586</v>
      </c>
      <c r="C7835" s="1" t="str">
        <f>"12863"</f>
        <v>12863</v>
      </c>
      <c r="D7835" s="1" t="str">
        <f>"12863"</f>
        <v>12863</v>
      </c>
      <c r="E7835" s="1" t="s">
        <v>4566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</row>
    <row r="7836" spans="1:11" x14ac:dyDescent="0.2">
      <c r="A7836" s="1" t="s">
        <v>2567</v>
      </c>
      <c r="B7836" s="1" t="s">
        <v>2587</v>
      </c>
      <c r="C7836" s="1" t="str">
        <f>"11210-12F50-K"</f>
        <v>11210-12F50-K</v>
      </c>
      <c r="D7836" s="1" t="str">
        <f>"11210-12F50-K"</f>
        <v>11210-12F50-K</v>
      </c>
      <c r="E7836" s="1" t="s">
        <v>4566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</row>
    <row r="7837" spans="1:11" x14ac:dyDescent="0.2">
      <c r="A7837" s="1" t="s">
        <v>2567</v>
      </c>
      <c r="B7837" s="1" t="s">
        <v>2588</v>
      </c>
      <c r="C7837" s="1" t="str">
        <f>"12261"</f>
        <v>12261</v>
      </c>
      <c r="D7837" s="1" t="str">
        <f>"12261"</f>
        <v>12261</v>
      </c>
      <c r="E7837" s="1" t="s">
        <v>4566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</row>
    <row r="7838" spans="1:11" x14ac:dyDescent="0.2">
      <c r="A7838" s="1" t="s">
        <v>2567</v>
      </c>
      <c r="B7838" s="1" t="s">
        <v>2589</v>
      </c>
      <c r="C7838" s="1" t="str">
        <f>"8516"</f>
        <v>8516</v>
      </c>
      <c r="D7838" s="1" t="str">
        <f>"8516"</f>
        <v>8516</v>
      </c>
      <c r="E7838" s="1" t="s">
        <v>4566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</row>
    <row r="7839" spans="1:11" ht="30" x14ac:dyDescent="0.2">
      <c r="A7839" s="1" t="s">
        <v>2567</v>
      </c>
      <c r="B7839" s="1" t="s">
        <v>2590</v>
      </c>
      <c r="C7839" s="1" t="str">
        <f>"DA007"</f>
        <v>DA007</v>
      </c>
      <c r="D7839" s="1" t="str">
        <f>"DA007"</f>
        <v>DA007</v>
      </c>
      <c r="E7839" s="1" t="s">
        <v>4566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</row>
    <row r="7840" spans="1:11" ht="30" x14ac:dyDescent="0.2">
      <c r="A7840" s="1" t="s">
        <v>2567</v>
      </c>
      <c r="B7840" s="1" t="s">
        <v>2591</v>
      </c>
      <c r="C7840" s="1" t="str">
        <f>"7823"</f>
        <v>7823</v>
      </c>
      <c r="D7840" s="1" t="str">
        <f>"7823"</f>
        <v>7823</v>
      </c>
      <c r="E7840" s="1" t="s">
        <v>4566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</row>
    <row r="7841" spans="1:11" ht="30" x14ac:dyDescent="0.2">
      <c r="A7841" s="1" t="s">
        <v>2567</v>
      </c>
      <c r="B7841" s="1" t="s">
        <v>2592</v>
      </c>
      <c r="C7841" s="1" t="str">
        <f>"54B-E1310-00"</f>
        <v>54B-E1310-00</v>
      </c>
      <c r="D7841" s="1" t="str">
        <f>"54B-E1310-00"</f>
        <v>54B-E1310-00</v>
      </c>
      <c r="E7841" s="1" t="s">
        <v>4566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</row>
    <row r="7842" spans="1:11" ht="30" x14ac:dyDescent="0.2">
      <c r="A7842" s="1" t="s">
        <v>2567</v>
      </c>
      <c r="B7842" s="1" t="s">
        <v>2593</v>
      </c>
      <c r="C7842" s="1" t="str">
        <f>"66298896757160"</f>
        <v>66298896757160</v>
      </c>
      <c r="D7842" s="1" t="str">
        <f>"401079"</f>
        <v>401079</v>
      </c>
      <c r="E7842" s="1" t="s">
        <v>4566</v>
      </c>
      <c r="F7842" s="1">
        <v>16</v>
      </c>
      <c r="G7842" s="1">
        <v>22885</v>
      </c>
      <c r="H7842" s="1">
        <v>366160</v>
      </c>
      <c r="I7842" s="1">
        <v>0</v>
      </c>
      <c r="J7842" s="1">
        <v>16</v>
      </c>
      <c r="K7842" s="1">
        <v>0</v>
      </c>
    </row>
    <row r="7843" spans="1:11" ht="30" x14ac:dyDescent="0.2">
      <c r="A7843" s="1" t="s">
        <v>2567</v>
      </c>
      <c r="B7843" s="1" t="s">
        <v>2594</v>
      </c>
      <c r="C7843" s="1" t="str">
        <f>"P400485100063"</f>
        <v>P400485100063</v>
      </c>
      <c r="D7843" s="1" t="str">
        <f>"P400485100063"</f>
        <v>P400485100063</v>
      </c>
      <c r="E7843" s="1" t="s">
        <v>4566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</row>
    <row r="7844" spans="1:11" ht="30" x14ac:dyDescent="0.2">
      <c r="A7844" s="1" t="s">
        <v>2567</v>
      </c>
      <c r="B7844" s="1" t="s">
        <v>2595</v>
      </c>
      <c r="C7844" s="1" t="str">
        <f>"66298896801440"</f>
        <v>66298896801440</v>
      </c>
      <c r="D7844" s="1" t="str">
        <f>"401080"</f>
        <v>401080</v>
      </c>
      <c r="E7844" s="1" t="s">
        <v>4566</v>
      </c>
      <c r="F7844" s="1">
        <v>18</v>
      </c>
      <c r="G7844" s="1">
        <v>25444</v>
      </c>
      <c r="H7844" s="1">
        <v>457992</v>
      </c>
      <c r="I7844" s="1">
        <v>0</v>
      </c>
      <c r="J7844" s="1">
        <v>18</v>
      </c>
      <c r="K7844" s="1">
        <v>0</v>
      </c>
    </row>
    <row r="7845" spans="1:11" x14ac:dyDescent="0.2">
      <c r="A7845" s="1" t="s">
        <v>2567</v>
      </c>
      <c r="B7845" s="1" t="s">
        <v>2596</v>
      </c>
      <c r="C7845" s="1" t="str">
        <f>"66298896847490"</f>
        <v>66298896847490</v>
      </c>
      <c r="D7845" s="1" t="str">
        <f>"400044"</f>
        <v>400044</v>
      </c>
      <c r="E7845" s="1" t="s">
        <v>4566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</row>
    <row r="7846" spans="1:11" x14ac:dyDescent="0.2">
      <c r="A7846" s="1" t="s">
        <v>2567</v>
      </c>
      <c r="B7846" s="1" t="s">
        <v>2597</v>
      </c>
      <c r="C7846" s="1" t="str">
        <f>"8501"</f>
        <v>8501</v>
      </c>
      <c r="D7846" s="1" t="str">
        <f>"8501"</f>
        <v>8501</v>
      </c>
      <c r="E7846" s="1" t="s">
        <v>4566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</row>
    <row r="7847" spans="1:11" ht="30" x14ac:dyDescent="0.2">
      <c r="A7847" s="1" t="s">
        <v>2567</v>
      </c>
      <c r="B7847" s="1" t="s">
        <v>2598</v>
      </c>
      <c r="C7847" s="1" t="str">
        <f>"66298896888220"</f>
        <v>66298896888220</v>
      </c>
      <c r="D7847" s="1" t="str">
        <f>"401081"</f>
        <v>401081</v>
      </c>
      <c r="E7847" s="1" t="s">
        <v>4566</v>
      </c>
      <c r="F7847" s="1">
        <v>28</v>
      </c>
      <c r="G7847" s="1">
        <v>19682</v>
      </c>
      <c r="H7847" s="1">
        <v>551096</v>
      </c>
      <c r="I7847" s="1">
        <v>0</v>
      </c>
      <c r="J7847" s="1">
        <v>28</v>
      </c>
      <c r="K7847" s="1">
        <v>0</v>
      </c>
    </row>
    <row r="7848" spans="1:11" x14ac:dyDescent="0.2">
      <c r="A7848" s="1" t="s">
        <v>2567</v>
      </c>
      <c r="B7848" s="1" t="s">
        <v>2599</v>
      </c>
      <c r="C7848" s="1" t="str">
        <f>"DA028"</f>
        <v>DA028</v>
      </c>
      <c r="D7848" s="1" t="str">
        <f>"DA028"</f>
        <v>DA028</v>
      </c>
      <c r="E7848" s="1" t="s">
        <v>4566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</row>
    <row r="7849" spans="1:11" x14ac:dyDescent="0.2">
      <c r="A7849" s="1" t="s">
        <v>2567</v>
      </c>
      <c r="B7849" s="1" t="s">
        <v>2599</v>
      </c>
      <c r="C7849" s="1" t="str">
        <f>"2428"</f>
        <v>2428</v>
      </c>
      <c r="D7849" s="1" t="str">
        <f>"2428"</f>
        <v>2428</v>
      </c>
      <c r="E7849" s="1" t="s">
        <v>4566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</row>
    <row r="7850" spans="1:11" ht="30" x14ac:dyDescent="0.2">
      <c r="A7850" s="1" t="s">
        <v>2567</v>
      </c>
      <c r="B7850" s="1" t="s">
        <v>2600</v>
      </c>
      <c r="C7850" s="1" t="str">
        <f>"66298896929391"</f>
        <v>66298896929391</v>
      </c>
      <c r="D7850" s="1" t="str">
        <f>"400737"</f>
        <v>400737</v>
      </c>
      <c r="E7850" s="1" t="s">
        <v>4566</v>
      </c>
      <c r="F7850" s="1">
        <v>4</v>
      </c>
      <c r="G7850" s="1">
        <v>17519</v>
      </c>
      <c r="H7850" s="1">
        <v>70076</v>
      </c>
      <c r="I7850" s="1">
        <v>0</v>
      </c>
      <c r="J7850" s="1">
        <v>4</v>
      </c>
      <c r="K7850" s="1">
        <v>0</v>
      </c>
    </row>
    <row r="7851" spans="1:11" ht="30" x14ac:dyDescent="0.2">
      <c r="A7851" s="1" t="s">
        <v>2567</v>
      </c>
      <c r="B7851" s="1" t="s">
        <v>2601</v>
      </c>
      <c r="C7851" s="1" t="str">
        <f>"66298897054631"</f>
        <v>66298897054631</v>
      </c>
      <c r="D7851" s="1" t="str">
        <f>"400743"</f>
        <v>400743</v>
      </c>
      <c r="E7851" s="1" t="s">
        <v>4566</v>
      </c>
      <c r="F7851" s="1">
        <v>43</v>
      </c>
      <c r="G7851" s="1">
        <v>19903</v>
      </c>
      <c r="H7851" s="1">
        <v>855829</v>
      </c>
      <c r="I7851" s="1">
        <v>0</v>
      </c>
      <c r="J7851" s="1">
        <v>43</v>
      </c>
      <c r="K7851" s="1">
        <v>0</v>
      </c>
    </row>
    <row r="7852" spans="1:11" ht="30" x14ac:dyDescent="0.2">
      <c r="A7852" s="1" t="s">
        <v>2567</v>
      </c>
      <c r="B7852" s="1" t="s">
        <v>2602</v>
      </c>
      <c r="C7852" s="1" t="str">
        <f>"66298897004040"</f>
        <v>66298897004040</v>
      </c>
      <c r="D7852" s="1" t="str">
        <f>"DA014"</f>
        <v>DA014</v>
      </c>
      <c r="E7852" s="1" t="s">
        <v>4566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</row>
    <row r="7853" spans="1:11" x14ac:dyDescent="0.2">
      <c r="A7853" s="1" t="s">
        <v>2567</v>
      </c>
      <c r="B7853" s="1" t="s">
        <v>2603</v>
      </c>
      <c r="C7853" s="1" t="str">
        <f>"66298897093099"</f>
        <v>66298897093099</v>
      </c>
      <c r="D7853" s="1" t="str">
        <f>"XM-30306-000-K"</f>
        <v>XM-30306-000-K</v>
      </c>
      <c r="E7853" s="1" t="s">
        <v>4566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</row>
    <row r="7854" spans="1:11" x14ac:dyDescent="0.2">
      <c r="A7854" s="1" t="s">
        <v>2567</v>
      </c>
      <c r="B7854" s="1" t="s">
        <v>2604</v>
      </c>
      <c r="C7854" s="1" t="str">
        <f>"ITF-150"</f>
        <v>ITF-150</v>
      </c>
      <c r="D7854" s="1" t="str">
        <f>"ITF-150"</f>
        <v>ITF-150</v>
      </c>
      <c r="E7854" s="1" t="s">
        <v>4566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</row>
    <row r="7855" spans="1:11" x14ac:dyDescent="0.2">
      <c r="A7855" s="1" t="s">
        <v>2567</v>
      </c>
      <c r="B7855" s="1" t="s">
        <v>2605</v>
      </c>
      <c r="C7855" s="1" t="str">
        <f>"10492"</f>
        <v>10492</v>
      </c>
      <c r="D7855" s="1" t="str">
        <f>"10492"</f>
        <v>10492</v>
      </c>
      <c r="E7855" s="1" t="s">
        <v>4566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</row>
    <row r="7856" spans="1:11" x14ac:dyDescent="0.2">
      <c r="A7856" s="1" t="s">
        <v>2567</v>
      </c>
      <c r="B7856" s="1" t="s">
        <v>2606</v>
      </c>
      <c r="C7856" s="1" t="str">
        <f>"66298897135588"</f>
        <v>66298897135588</v>
      </c>
      <c r="D7856" s="1" t="str">
        <f>"400746"</f>
        <v>400746</v>
      </c>
      <c r="E7856" s="1" t="s">
        <v>4566</v>
      </c>
      <c r="F7856" s="1">
        <v>21</v>
      </c>
      <c r="G7856" s="1">
        <v>17264</v>
      </c>
      <c r="H7856" s="1">
        <v>362544</v>
      </c>
      <c r="I7856" s="1">
        <v>0</v>
      </c>
      <c r="J7856" s="1">
        <v>21</v>
      </c>
      <c r="K7856" s="1">
        <v>0</v>
      </c>
    </row>
    <row r="7857" spans="1:11" ht="30" x14ac:dyDescent="0.2">
      <c r="A7857" s="1" t="s">
        <v>2567</v>
      </c>
      <c r="B7857" s="1" t="s">
        <v>2607</v>
      </c>
      <c r="C7857" s="1" t="str">
        <f>"KIT-HP-PULSAR200"</f>
        <v>KIT-HP-PULSAR200</v>
      </c>
      <c r="D7857" s="1" t="str">
        <f>"KIT-HP-PULSAR200"</f>
        <v>KIT-HP-PULSAR200</v>
      </c>
      <c r="E7857" s="1" t="s">
        <v>4566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</row>
    <row r="7858" spans="1:11" x14ac:dyDescent="0.2">
      <c r="A7858" s="1" t="s">
        <v>2567</v>
      </c>
      <c r="B7858" s="1" t="s">
        <v>2608</v>
      </c>
      <c r="C7858" s="1" t="str">
        <f>"66298897183661"</f>
        <v>66298897183661</v>
      </c>
      <c r="D7858" s="1" t="str">
        <f>"400738"</f>
        <v>400738</v>
      </c>
      <c r="E7858" s="1" t="s">
        <v>4566</v>
      </c>
      <c r="F7858" s="1">
        <v>32</v>
      </c>
      <c r="G7858" s="1">
        <v>19557</v>
      </c>
      <c r="H7858" s="1">
        <v>625824</v>
      </c>
      <c r="I7858" s="1">
        <v>0</v>
      </c>
      <c r="J7858" s="1">
        <v>32</v>
      </c>
      <c r="K7858" s="1">
        <v>0</v>
      </c>
    </row>
    <row r="7859" spans="1:11" x14ac:dyDescent="0.2">
      <c r="A7859" s="1" t="s">
        <v>2567</v>
      </c>
      <c r="B7859" s="1" t="s">
        <v>2609</v>
      </c>
      <c r="C7859" s="1" t="str">
        <f>"36-JL00-07-K"</f>
        <v>36-JL00-07-K</v>
      </c>
      <c r="D7859" s="1" t="str">
        <f>"36-JL00-07-K"</f>
        <v>36-JL00-07-K</v>
      </c>
      <c r="E7859" s="1" t="s">
        <v>4566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</row>
    <row r="7860" spans="1:11" ht="30" x14ac:dyDescent="0.2">
      <c r="A7860" s="1" t="s">
        <v>2567</v>
      </c>
      <c r="B7860" s="1" t="s">
        <v>2610</v>
      </c>
      <c r="C7860" s="1" t="str">
        <f>"66298897227260"</f>
        <v>66298897227260</v>
      </c>
      <c r="D7860" s="1" t="str">
        <f>"1210A-GFY6-C10-K"</f>
        <v>1210A-GFY6-C10-K</v>
      </c>
      <c r="E7860" s="1" t="s">
        <v>4566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</row>
    <row r="7861" spans="1:11" ht="30" x14ac:dyDescent="0.2">
      <c r="A7861" s="1" t="s">
        <v>2567</v>
      </c>
      <c r="B7861" s="1" t="s">
        <v>2610</v>
      </c>
      <c r="C7861" s="1" t="str">
        <f>"66298897266150"</f>
        <v>66298897266150</v>
      </c>
      <c r="D7861" s="1" t="str">
        <f>"DA019"</f>
        <v>DA019</v>
      </c>
      <c r="E7861" s="1" t="s">
        <v>4566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</row>
    <row r="7862" spans="1:11" ht="30" x14ac:dyDescent="0.2">
      <c r="A7862" s="1" t="s">
        <v>2567</v>
      </c>
      <c r="B7862" s="1" t="s">
        <v>2611</v>
      </c>
      <c r="C7862" s="1" t="str">
        <f>"66298897308846"</f>
        <v>66298897308846</v>
      </c>
      <c r="D7862" s="1" t="str">
        <f>"400739"</f>
        <v>400739</v>
      </c>
      <c r="E7862" s="1" t="s">
        <v>4566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</row>
    <row r="7863" spans="1:11" ht="30" x14ac:dyDescent="0.2">
      <c r="A7863" s="1" t="s">
        <v>2567</v>
      </c>
      <c r="B7863" s="1" t="s">
        <v>2612</v>
      </c>
      <c r="C7863" s="1" t="str">
        <f>"66298897356999"</f>
        <v>66298897356999</v>
      </c>
      <c r="D7863" s="1" t="str">
        <f>"DA010"</f>
        <v>DA010</v>
      </c>
      <c r="E7863" s="1" t="s">
        <v>4566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</row>
    <row r="7864" spans="1:11" x14ac:dyDescent="0.2">
      <c r="A7864" s="1" t="s">
        <v>2567</v>
      </c>
      <c r="B7864" s="1" t="s">
        <v>2613</v>
      </c>
      <c r="C7864" s="1" t="str">
        <f>"DA031"</f>
        <v>DA031</v>
      </c>
      <c r="D7864" s="1" t="str">
        <f>"DA031"</f>
        <v>DA031</v>
      </c>
      <c r="E7864" s="1" t="s">
        <v>4566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</row>
    <row r="7865" spans="1:11" x14ac:dyDescent="0.2">
      <c r="A7865" s="1" t="s">
        <v>2567</v>
      </c>
      <c r="B7865" s="1" t="s">
        <v>2613</v>
      </c>
      <c r="C7865" s="1" t="str">
        <f>"12100-KGA-900-K"</f>
        <v>12100-KGA-900-K</v>
      </c>
      <c r="D7865" s="1" t="str">
        <f>"12100-KGA-900-K"</f>
        <v>12100-KGA-900-K</v>
      </c>
      <c r="E7865" s="1" t="s">
        <v>4566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</row>
    <row r="7866" spans="1:11" ht="30" x14ac:dyDescent="0.2">
      <c r="A7866" s="1" t="s">
        <v>2567</v>
      </c>
      <c r="B7866" s="1" t="s">
        <v>2614</v>
      </c>
      <c r="C7866" s="1" t="str">
        <f>"66298897443745"</f>
        <v>66298897443745</v>
      </c>
      <c r="D7866" s="1" t="str">
        <f>"401085"</f>
        <v>401085</v>
      </c>
      <c r="E7866" s="1" t="s">
        <v>4566</v>
      </c>
      <c r="F7866" s="1">
        <v>90</v>
      </c>
      <c r="G7866" s="1">
        <v>20118</v>
      </c>
      <c r="H7866" s="1">
        <v>1810620</v>
      </c>
      <c r="I7866" s="1">
        <v>0</v>
      </c>
      <c r="J7866" s="1">
        <v>90</v>
      </c>
      <c r="K7866" s="1">
        <v>0</v>
      </c>
    </row>
    <row r="7867" spans="1:11" x14ac:dyDescent="0.2">
      <c r="A7867" s="1" t="s">
        <v>2567</v>
      </c>
      <c r="B7867" s="1" t="s">
        <v>2615</v>
      </c>
      <c r="C7867" s="1" t="str">
        <f>"66298897400617"</f>
        <v>66298897400617</v>
      </c>
      <c r="D7867" s="1" t="str">
        <f>"400048"</f>
        <v>400048</v>
      </c>
      <c r="E7867" s="1" t="s">
        <v>4566</v>
      </c>
      <c r="F7867" s="1">
        <v>40</v>
      </c>
      <c r="G7867" s="1">
        <v>13440</v>
      </c>
      <c r="H7867" s="1">
        <v>537600</v>
      </c>
      <c r="I7867" s="1">
        <v>0</v>
      </c>
      <c r="J7867" s="1">
        <v>40</v>
      </c>
      <c r="K7867" s="1">
        <v>0</v>
      </c>
    </row>
    <row r="7868" spans="1:11" ht="30" x14ac:dyDescent="0.2">
      <c r="A7868" s="1" t="s">
        <v>2567</v>
      </c>
      <c r="B7868" s="1" t="s">
        <v>2616</v>
      </c>
      <c r="C7868" s="1" t="str">
        <f>"66298897486145"</f>
        <v>66298897486145</v>
      </c>
      <c r="D7868" s="1" t="str">
        <f>"400745"</f>
        <v>400745</v>
      </c>
      <c r="E7868" s="1" t="s">
        <v>4566</v>
      </c>
      <c r="F7868" s="1">
        <v>16</v>
      </c>
      <c r="G7868" s="1">
        <v>13607</v>
      </c>
      <c r="H7868" s="1">
        <v>217712</v>
      </c>
      <c r="I7868" s="1">
        <v>0</v>
      </c>
      <c r="J7868" s="1">
        <v>16</v>
      </c>
      <c r="K7868" s="1">
        <v>0</v>
      </c>
    </row>
    <row r="7869" spans="1:11" x14ac:dyDescent="0.2">
      <c r="A7869" s="1" t="s">
        <v>2567</v>
      </c>
      <c r="B7869" s="1" t="s">
        <v>2617</v>
      </c>
      <c r="C7869" s="1" t="str">
        <f>"66298897529876"</f>
        <v>66298897529876</v>
      </c>
      <c r="D7869" s="1" t="str">
        <f>"400747"</f>
        <v>400747</v>
      </c>
      <c r="E7869" s="1" t="s">
        <v>4566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</row>
    <row r="7870" spans="1:11" x14ac:dyDescent="0.2">
      <c r="A7870" s="1" t="s">
        <v>2567</v>
      </c>
      <c r="B7870" s="1" t="s">
        <v>2618</v>
      </c>
      <c r="C7870" s="1" t="str">
        <f>"66298897572360"</f>
        <v>66298897572360</v>
      </c>
      <c r="D7870" s="1" t="str">
        <f>"DA023"</f>
        <v>DA023</v>
      </c>
      <c r="E7870" s="1" t="s">
        <v>4566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</row>
    <row r="7871" spans="1:11" x14ac:dyDescent="0.2">
      <c r="A7871" s="1" t="s">
        <v>98</v>
      </c>
      <c r="B7871" s="1" t="s">
        <v>2619</v>
      </c>
      <c r="C7871" s="1" t="str">
        <f>"66298897616538"</f>
        <v>66298897616538</v>
      </c>
      <c r="D7871" s="1" t="str">
        <f>"H215"</f>
        <v>H215</v>
      </c>
      <c r="E7871" s="1" t="s">
        <v>4566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</row>
    <row r="7872" spans="1:11" x14ac:dyDescent="0.2">
      <c r="A7872" s="1" t="s">
        <v>2004</v>
      </c>
      <c r="B7872" s="1" t="s">
        <v>2620</v>
      </c>
      <c r="C7872" s="1" t="str">
        <f>"67950195435088"</f>
        <v>67950195435088</v>
      </c>
      <c r="D7872" s="1" t="str">
        <f>"DSK-3001"</f>
        <v>DSK-3001</v>
      </c>
      <c r="E7872" s="1" t="s">
        <v>4566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</row>
    <row r="7873" spans="1:11" x14ac:dyDescent="0.2">
      <c r="A7873" s="1" t="s">
        <v>2503</v>
      </c>
      <c r="B7873" s="1" t="s">
        <v>2621</v>
      </c>
      <c r="C7873" s="1" t="str">
        <f>"66298897703512"</f>
        <v>66298897703512</v>
      </c>
      <c r="D7873" s="1" t="str">
        <f>"400317"</f>
        <v>400317</v>
      </c>
      <c r="E7873" s="1" t="s">
        <v>4566</v>
      </c>
      <c r="F7873" s="1">
        <v>92</v>
      </c>
      <c r="G7873" s="1">
        <v>2309</v>
      </c>
      <c r="H7873" s="1">
        <v>212428</v>
      </c>
      <c r="I7873" s="1">
        <v>0</v>
      </c>
      <c r="J7873" s="1">
        <v>92</v>
      </c>
      <c r="K7873" s="1">
        <v>0</v>
      </c>
    </row>
    <row r="7874" spans="1:11" x14ac:dyDescent="0.2">
      <c r="A7874" s="1" t="s">
        <v>2503</v>
      </c>
      <c r="B7874" s="1" t="s">
        <v>2622</v>
      </c>
      <c r="C7874" s="1" t="str">
        <f>"66298897658287"</f>
        <v>66298897658287</v>
      </c>
      <c r="D7874" s="1" t="str">
        <f>"400325"</f>
        <v>400325</v>
      </c>
      <c r="E7874" s="1" t="s">
        <v>4566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</row>
    <row r="7875" spans="1:11" x14ac:dyDescent="0.2">
      <c r="A7875" s="1" t="s">
        <v>2503</v>
      </c>
      <c r="B7875" s="1" t="s">
        <v>2623</v>
      </c>
      <c r="C7875" s="1" t="str">
        <f>"7851"</f>
        <v>7851</v>
      </c>
      <c r="D7875" s="1" t="str">
        <f>"7851"</f>
        <v>7851</v>
      </c>
      <c r="E7875" s="1" t="s">
        <v>4566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</row>
    <row r="7876" spans="1:11" x14ac:dyDescent="0.2">
      <c r="A7876" s="1" t="s">
        <v>2503</v>
      </c>
      <c r="B7876" s="1" t="s">
        <v>2624</v>
      </c>
      <c r="C7876" s="1" t="str">
        <f>"66298897749581"</f>
        <v>66298897749581</v>
      </c>
      <c r="D7876" s="1" t="str">
        <f>"400318"</f>
        <v>400318</v>
      </c>
      <c r="E7876" s="1" t="s">
        <v>4566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</row>
    <row r="7877" spans="1:11" x14ac:dyDescent="0.2">
      <c r="A7877" s="1" t="s">
        <v>2503</v>
      </c>
      <c r="B7877" s="1" t="s">
        <v>2625</v>
      </c>
      <c r="C7877" s="1" t="str">
        <f>"66298897835329"</f>
        <v>66298897835329</v>
      </c>
      <c r="D7877" s="1" t="str">
        <f>"CH006"</f>
        <v>CH006</v>
      </c>
      <c r="E7877" s="1" t="s">
        <v>4566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</row>
    <row r="7878" spans="1:11" ht="30" x14ac:dyDescent="0.2">
      <c r="A7878" s="1" t="s">
        <v>2503</v>
      </c>
      <c r="B7878" s="1" t="s">
        <v>2626</v>
      </c>
      <c r="C7878" s="1" t="str">
        <f>"66298897792970"</f>
        <v>66298897792970</v>
      </c>
      <c r="D7878" s="1" t="str">
        <f>"400988"</f>
        <v>400988</v>
      </c>
      <c r="E7878" s="1" t="s">
        <v>4566</v>
      </c>
      <c r="F7878" s="1">
        <v>137</v>
      </c>
      <c r="G7878" s="1">
        <v>2262</v>
      </c>
      <c r="H7878" s="1">
        <v>309894</v>
      </c>
      <c r="I7878" s="1">
        <v>0</v>
      </c>
      <c r="J7878" s="1">
        <v>137</v>
      </c>
      <c r="K7878" s="1">
        <v>0</v>
      </c>
    </row>
    <row r="7879" spans="1:11" x14ac:dyDescent="0.2">
      <c r="A7879" s="1" t="s">
        <v>2503</v>
      </c>
      <c r="B7879" s="1" t="s">
        <v>2627</v>
      </c>
      <c r="C7879" s="1" t="str">
        <f>"66298897876070"</f>
        <v>66298897876070</v>
      </c>
      <c r="D7879" s="1" t="str">
        <f>"400987"</f>
        <v>400987</v>
      </c>
      <c r="E7879" s="1" t="s">
        <v>4566</v>
      </c>
      <c r="F7879" s="1">
        <v>212</v>
      </c>
      <c r="G7879" s="1">
        <v>2484</v>
      </c>
      <c r="H7879" s="1">
        <v>526608</v>
      </c>
      <c r="I7879" s="1">
        <v>0</v>
      </c>
      <c r="J7879" s="1">
        <v>212</v>
      </c>
      <c r="K7879" s="1">
        <v>0</v>
      </c>
    </row>
    <row r="7880" spans="1:11" x14ac:dyDescent="0.2">
      <c r="A7880" s="1" t="s">
        <v>2503</v>
      </c>
      <c r="B7880" s="1" t="s">
        <v>2628</v>
      </c>
      <c r="C7880" s="1" t="str">
        <f>"66298897920200"</f>
        <v>66298897920200</v>
      </c>
      <c r="D7880" s="1" t="str">
        <f>"400320"</f>
        <v>400320</v>
      </c>
      <c r="E7880" s="1" t="s">
        <v>4566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</row>
    <row r="7881" spans="1:11" x14ac:dyDescent="0.2">
      <c r="A7881" s="1" t="s">
        <v>2503</v>
      </c>
      <c r="B7881" s="1" t="s">
        <v>2629</v>
      </c>
      <c r="C7881" s="1" t="str">
        <f>"66298897962796"</f>
        <v>66298897962796</v>
      </c>
      <c r="D7881" s="1" t="str">
        <f>"400321"</f>
        <v>400321</v>
      </c>
      <c r="E7881" s="1" t="s">
        <v>4566</v>
      </c>
      <c r="F7881" s="1">
        <v>62</v>
      </c>
      <c r="G7881" s="1">
        <v>2270</v>
      </c>
      <c r="H7881" s="1">
        <v>140740</v>
      </c>
      <c r="I7881" s="1">
        <v>0</v>
      </c>
      <c r="J7881" s="1">
        <v>62</v>
      </c>
      <c r="K7881" s="1">
        <v>0</v>
      </c>
    </row>
    <row r="7882" spans="1:11" x14ac:dyDescent="0.2">
      <c r="A7882" s="1" t="s">
        <v>2503</v>
      </c>
      <c r="B7882" s="1" t="s">
        <v>2630</v>
      </c>
      <c r="C7882" s="1" t="str">
        <f>"66298898009744"</f>
        <v>66298898009744</v>
      </c>
      <c r="D7882" s="1" t="str">
        <f>"400322"</f>
        <v>400322</v>
      </c>
      <c r="E7882" s="1" t="s">
        <v>4566</v>
      </c>
      <c r="F7882" s="1">
        <v>20</v>
      </c>
      <c r="G7882" s="1">
        <v>1744</v>
      </c>
      <c r="H7882" s="1">
        <v>34880</v>
      </c>
      <c r="I7882" s="1">
        <v>0</v>
      </c>
      <c r="J7882" s="1">
        <v>20</v>
      </c>
      <c r="K7882" s="1">
        <v>0</v>
      </c>
    </row>
    <row r="7883" spans="1:11" x14ac:dyDescent="0.2">
      <c r="A7883" s="1" t="s">
        <v>2503</v>
      </c>
      <c r="B7883" s="1" t="s">
        <v>2631</v>
      </c>
      <c r="C7883" s="1" t="str">
        <f>"66298898058379"</f>
        <v>66298898058379</v>
      </c>
      <c r="D7883" s="1" t="str">
        <f>"400323"</f>
        <v>400323</v>
      </c>
      <c r="E7883" s="1" t="s">
        <v>4566</v>
      </c>
      <c r="F7883" s="1">
        <v>100</v>
      </c>
      <c r="G7883" s="1">
        <v>4611</v>
      </c>
      <c r="H7883" s="1">
        <v>461100</v>
      </c>
      <c r="I7883" s="1">
        <v>0</v>
      </c>
      <c r="J7883" s="1">
        <v>100</v>
      </c>
      <c r="K7883" s="1">
        <v>0</v>
      </c>
    </row>
    <row r="7884" spans="1:11" x14ac:dyDescent="0.2">
      <c r="A7884" s="1" t="s">
        <v>2503</v>
      </c>
      <c r="B7884" s="1" t="s">
        <v>2632</v>
      </c>
      <c r="C7884" s="1" t="str">
        <f>"66298898100228"</f>
        <v>66298898100228</v>
      </c>
      <c r="D7884" s="1" t="str">
        <f>"400324"</f>
        <v>400324</v>
      </c>
      <c r="E7884" s="1" t="s">
        <v>4566</v>
      </c>
      <c r="F7884" s="1">
        <v>30</v>
      </c>
      <c r="G7884" s="1">
        <v>1720</v>
      </c>
      <c r="H7884" s="1">
        <v>51600</v>
      </c>
      <c r="I7884" s="1">
        <v>0</v>
      </c>
      <c r="J7884" s="1">
        <v>30</v>
      </c>
      <c r="K7884" s="1">
        <v>0</v>
      </c>
    </row>
    <row r="7885" spans="1:11" x14ac:dyDescent="0.2">
      <c r="A7885" s="1" t="s">
        <v>18</v>
      </c>
      <c r="B7885" s="1" t="s">
        <v>2633</v>
      </c>
      <c r="C7885" s="1" t="str">
        <f>"115477"</f>
        <v>115477</v>
      </c>
      <c r="D7885" s="1" t="str">
        <f>"115477"</f>
        <v>115477</v>
      </c>
      <c r="E7885" s="1" t="s">
        <v>4566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</row>
    <row r="7886" spans="1:11" x14ac:dyDescent="0.2">
      <c r="A7886" s="1" t="s">
        <v>98</v>
      </c>
      <c r="B7886" s="1" t="s">
        <v>2634</v>
      </c>
      <c r="C7886" s="1" t="str">
        <f>"66298898144135"</f>
        <v>66298898144135</v>
      </c>
      <c r="D7886" s="1" t="str">
        <f>"H127"</f>
        <v>H127</v>
      </c>
      <c r="E7886" s="1" t="s">
        <v>4566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</row>
    <row r="7887" spans="1:11" ht="30" x14ac:dyDescent="0.2">
      <c r="A7887" s="1" t="s">
        <v>2565</v>
      </c>
      <c r="B7887" s="1" t="s">
        <v>2635</v>
      </c>
      <c r="C7887" s="1" t="str">
        <f>"10000091383"</f>
        <v>10000091383</v>
      </c>
      <c r="D7887" s="1" t="str">
        <f>"10000091383"</f>
        <v>10000091383</v>
      </c>
      <c r="E7887" s="1" t="s">
        <v>4566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</row>
    <row r="7888" spans="1:11" ht="30" x14ac:dyDescent="0.2">
      <c r="A7888" s="1" t="s">
        <v>2565</v>
      </c>
      <c r="B7888" s="1" t="s">
        <v>2636</v>
      </c>
      <c r="C7888" s="1" t="str">
        <f>"36-JZ00-80-KITH"</f>
        <v>36-JZ00-80-KITH</v>
      </c>
      <c r="D7888" s="1" t="str">
        <f>"36-JZ00-80-KITH"</f>
        <v>36-JZ00-80-KITH</v>
      </c>
      <c r="E7888" s="1" t="s">
        <v>4566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</row>
    <row r="7889" spans="1:11" x14ac:dyDescent="0.2">
      <c r="A7889" s="1" t="s">
        <v>2565</v>
      </c>
      <c r="B7889" s="1" t="s">
        <v>2637</v>
      </c>
      <c r="C7889" s="1" t="str">
        <f>"10000091552"</f>
        <v>10000091552</v>
      </c>
      <c r="D7889" s="1" t="str">
        <f>"10000091552"</f>
        <v>10000091552</v>
      </c>
      <c r="E7889" s="1" t="s">
        <v>4566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</row>
    <row r="7890" spans="1:11" x14ac:dyDescent="0.2">
      <c r="A7890" s="1" t="s">
        <v>2565</v>
      </c>
      <c r="B7890" s="1" t="s">
        <v>2638</v>
      </c>
      <c r="C7890" s="1" t="str">
        <f>"10000091551"</f>
        <v>10000091551</v>
      </c>
      <c r="D7890" s="1" t="str">
        <f>"10000091551"</f>
        <v>10000091551</v>
      </c>
      <c r="E7890" s="1" t="s">
        <v>4566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</row>
    <row r="7891" spans="1:11" x14ac:dyDescent="0.2">
      <c r="A7891" s="1" t="s">
        <v>2565</v>
      </c>
      <c r="B7891" s="1" t="s">
        <v>2639</v>
      </c>
      <c r="C7891" s="1" t="str">
        <f>"66298898242506"</f>
        <v>66298898242506</v>
      </c>
      <c r="D7891" s="1" t="str">
        <f>"41200-K70-600KIT"</f>
        <v>41200-K70-600KIT</v>
      </c>
      <c r="E7891" s="1" t="s">
        <v>4566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</row>
    <row r="7892" spans="1:11" ht="30" x14ac:dyDescent="0.2">
      <c r="A7892" s="1" t="s">
        <v>2565</v>
      </c>
      <c r="B7892" s="1" t="s">
        <v>2640</v>
      </c>
      <c r="C7892" s="1" t="str">
        <f>"10000091459"</f>
        <v>10000091459</v>
      </c>
      <c r="D7892" s="1" t="str">
        <f>"10000091459"</f>
        <v>10000091459</v>
      </c>
      <c r="E7892" s="1" t="s">
        <v>4566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</row>
    <row r="7893" spans="1:11" ht="30" x14ac:dyDescent="0.2">
      <c r="A7893" s="1" t="s">
        <v>2565</v>
      </c>
      <c r="B7893" s="1" t="s">
        <v>2641</v>
      </c>
      <c r="C7893" s="1" t="str">
        <f>"10000091338"</f>
        <v>10000091338</v>
      </c>
      <c r="D7893" s="1" t="str">
        <f>"10000091338"</f>
        <v>10000091338</v>
      </c>
      <c r="E7893" s="1" t="s">
        <v>4566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</row>
    <row r="7894" spans="1:11" x14ac:dyDescent="0.2">
      <c r="A7894" s="1" t="s">
        <v>2565</v>
      </c>
      <c r="B7894" s="1" t="s">
        <v>2642</v>
      </c>
      <c r="C7894" s="1" t="str">
        <f>"12308"</f>
        <v>12308</v>
      </c>
      <c r="D7894" s="1" t="str">
        <f>"12308"</f>
        <v>12308</v>
      </c>
      <c r="E7894" s="1" t="s">
        <v>4566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</row>
    <row r="7895" spans="1:11" ht="30" x14ac:dyDescent="0.2">
      <c r="A7895" s="1" t="s">
        <v>2565</v>
      </c>
      <c r="B7895" s="1" t="s">
        <v>2643</v>
      </c>
      <c r="C7895" s="1" t="str">
        <f>"41200-KVX-900-KI"</f>
        <v>41200-KVX-900-KI</v>
      </c>
      <c r="D7895" s="1" t="str">
        <f>"41200-KVX-900-KI"</f>
        <v>41200-KVX-900-KI</v>
      </c>
      <c r="E7895" s="1" t="s">
        <v>4566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</row>
    <row r="7896" spans="1:11" ht="30" x14ac:dyDescent="0.2">
      <c r="A7896" s="1" t="s">
        <v>2565</v>
      </c>
      <c r="B7896" s="1" t="s">
        <v>2644</v>
      </c>
      <c r="C7896" s="1" t="str">
        <f>"66298898286614"</f>
        <v>66298898286614</v>
      </c>
      <c r="D7896" s="1" t="str">
        <f>"41200-KPN-A00KIT"</f>
        <v>41200-KPN-A00KIT</v>
      </c>
      <c r="E7896" s="1" t="s">
        <v>4566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</row>
    <row r="7897" spans="1:11" ht="30" x14ac:dyDescent="0.2">
      <c r="A7897" s="1" t="s">
        <v>2565</v>
      </c>
      <c r="B7897" s="1" t="s">
        <v>2645</v>
      </c>
      <c r="C7897" s="1" t="str">
        <f>"41200-KSP-B00-KITH"</f>
        <v>41200-KSP-B00-KITH</v>
      </c>
      <c r="D7897" s="1" t="str">
        <f>"41200-KSP-B00-KITH"</f>
        <v>41200-KSP-B00-KITH</v>
      </c>
      <c r="E7897" s="1" t="s">
        <v>4566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</row>
    <row r="7898" spans="1:11" ht="30" x14ac:dyDescent="0.2">
      <c r="A7898" s="1" t="s">
        <v>2565</v>
      </c>
      <c r="B7898" s="1" t="s">
        <v>2646</v>
      </c>
      <c r="C7898" s="1" t="str">
        <f>"41201-KVE-900KITH"</f>
        <v>41201-KVE-900KITH</v>
      </c>
      <c r="D7898" s="1" t="str">
        <f>"41201-KVE-900KITH"</f>
        <v>41201-KVE-900KITH</v>
      </c>
      <c r="E7898" s="1" t="s">
        <v>4566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</row>
    <row r="7899" spans="1:11" x14ac:dyDescent="0.2">
      <c r="A7899" s="1" t="s">
        <v>2565</v>
      </c>
      <c r="B7899" s="1" t="s">
        <v>2647</v>
      </c>
      <c r="C7899" s="1" t="str">
        <f>"41201-KYJ-900-KITH"</f>
        <v>41201-KYJ-900-KITH</v>
      </c>
      <c r="D7899" s="1" t="str">
        <f>"41201-KYJ-900-KITH"</f>
        <v>41201-KYJ-900-KITH</v>
      </c>
      <c r="E7899" s="1" t="s">
        <v>4566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</row>
    <row r="7900" spans="1:11" x14ac:dyDescent="0.2">
      <c r="A7900" s="1" t="s">
        <v>2565</v>
      </c>
      <c r="B7900" s="1" t="s">
        <v>2648</v>
      </c>
      <c r="C7900" s="1" t="str">
        <f>"10000091441"</f>
        <v>10000091441</v>
      </c>
      <c r="D7900" s="1" t="str">
        <f>"10000091441"</f>
        <v>10000091441</v>
      </c>
      <c r="E7900" s="1" t="s">
        <v>4566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</row>
    <row r="7901" spans="1:11" x14ac:dyDescent="0.2">
      <c r="A7901" s="1" t="s">
        <v>2565</v>
      </c>
      <c r="B7901" s="1" t="s">
        <v>2649</v>
      </c>
      <c r="C7901" s="1" t="str">
        <f>"10000091182"</f>
        <v>10000091182</v>
      </c>
      <c r="D7901" s="1" t="str">
        <f>"10000091182"</f>
        <v>10000091182</v>
      </c>
      <c r="E7901" s="1" t="s">
        <v>4566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</row>
    <row r="7902" spans="1:11" x14ac:dyDescent="0.2">
      <c r="A7902" s="1" t="s">
        <v>2565</v>
      </c>
      <c r="B7902" s="1" t="s">
        <v>2650</v>
      </c>
      <c r="C7902" s="1" t="str">
        <f>"66298898385566"</f>
        <v>66298898385566</v>
      </c>
      <c r="D7902" s="1" t="str">
        <f>"41201-383-0045-K"</f>
        <v>41201-383-0045-K</v>
      </c>
      <c r="E7902" s="1" t="s">
        <v>4566</v>
      </c>
      <c r="F7902" s="1">
        <v>1</v>
      </c>
      <c r="G7902" s="1">
        <v>10666</v>
      </c>
      <c r="H7902" s="1">
        <v>10666</v>
      </c>
      <c r="I7902" s="1">
        <v>0</v>
      </c>
      <c r="J7902" s="1">
        <v>1</v>
      </c>
      <c r="K7902" s="1">
        <v>0</v>
      </c>
    </row>
    <row r="7903" spans="1:11" x14ac:dyDescent="0.2">
      <c r="A7903" s="1" t="s">
        <v>2565</v>
      </c>
      <c r="B7903" s="1" t="s">
        <v>2651</v>
      </c>
      <c r="C7903" s="1" t="str">
        <f>"66298898843468"</f>
        <v>66298898843468</v>
      </c>
      <c r="D7903" s="1" t="str">
        <f>"KIT-TRAS-14/38"</f>
        <v>KIT-TRAS-14/38</v>
      </c>
      <c r="E7903" s="1" t="s">
        <v>4566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</row>
    <row r="7904" spans="1:11" x14ac:dyDescent="0.2">
      <c r="A7904" s="1" t="s">
        <v>2565</v>
      </c>
      <c r="B7904" s="1" t="s">
        <v>2652</v>
      </c>
      <c r="C7904" s="1" t="str">
        <f>"66298898428323"</f>
        <v>66298898428323</v>
      </c>
      <c r="D7904" s="1" t="str">
        <f>"41201-383-3635-K"</f>
        <v>41201-383-3635-K</v>
      </c>
      <c r="E7904" s="1" t="s">
        <v>4566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</row>
    <row r="7905" spans="1:11" ht="30" x14ac:dyDescent="0.2">
      <c r="A7905" s="1" t="s">
        <v>2565</v>
      </c>
      <c r="B7905" s="1" t="s">
        <v>2653</v>
      </c>
      <c r="C7905" s="1" t="str">
        <f>"41201-383-0035-KITH"</f>
        <v>41201-383-0035-KITH</v>
      </c>
      <c r="D7905" s="1" t="str">
        <f>"41201-383-0035-KITH"</f>
        <v>41201-383-0035-KITH</v>
      </c>
      <c r="E7905" s="1" t="s">
        <v>4566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</row>
    <row r="7906" spans="1:11" x14ac:dyDescent="0.2">
      <c r="A7906" s="1" t="s">
        <v>2565</v>
      </c>
      <c r="B7906" s="1" t="s">
        <v>2654</v>
      </c>
      <c r="C7906" s="1" t="str">
        <f>"66298898518450"</f>
        <v>66298898518450</v>
      </c>
      <c r="D7906" s="1" t="str">
        <f>"41201-383-3637-K"</f>
        <v>41201-383-3637-K</v>
      </c>
      <c r="E7906" s="1" t="s">
        <v>4566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</row>
    <row r="7907" spans="1:11" x14ac:dyDescent="0.2">
      <c r="A7907" s="1" t="s">
        <v>2565</v>
      </c>
      <c r="B7907" s="1" t="s">
        <v>2655</v>
      </c>
      <c r="C7907" s="1" t="str">
        <f>"66298898471315"</f>
        <v>66298898471315</v>
      </c>
      <c r="D7907" s="1" t="str">
        <f>"41201-383-0037-K"</f>
        <v>41201-383-0037-K</v>
      </c>
      <c r="E7907" s="1" t="s">
        <v>4566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</row>
    <row r="7908" spans="1:11" x14ac:dyDescent="0.2">
      <c r="A7908" s="1" t="s">
        <v>2565</v>
      </c>
      <c r="B7908" s="1" t="s">
        <v>2656</v>
      </c>
      <c r="C7908" s="1" t="str">
        <f>"66298898560492"</f>
        <v>66298898560492</v>
      </c>
      <c r="D7908" s="1" t="str">
        <f>"41201-383-0038-K"</f>
        <v>41201-383-0038-K</v>
      </c>
      <c r="E7908" s="1" t="s">
        <v>4566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</row>
    <row r="7909" spans="1:11" x14ac:dyDescent="0.2">
      <c r="A7909" s="1" t="s">
        <v>2565</v>
      </c>
      <c r="B7909" s="1" t="s">
        <v>2657</v>
      </c>
      <c r="C7909" s="1" t="str">
        <f>"66298898605378"</f>
        <v>66298898605378</v>
      </c>
      <c r="D7909" s="1" t="str">
        <f>"41201-383-3643-K"</f>
        <v>41201-383-3643-K</v>
      </c>
      <c r="E7909" s="1" t="s">
        <v>4566</v>
      </c>
      <c r="F7909" s="1">
        <v>2</v>
      </c>
      <c r="G7909" s="1">
        <v>9596</v>
      </c>
      <c r="H7909" s="1">
        <v>19192</v>
      </c>
      <c r="I7909" s="1">
        <v>0</v>
      </c>
      <c r="J7909" s="1">
        <v>2</v>
      </c>
      <c r="K7909" s="1">
        <v>0</v>
      </c>
    </row>
    <row r="7910" spans="1:11" x14ac:dyDescent="0.2">
      <c r="A7910" s="1" t="s">
        <v>2565</v>
      </c>
      <c r="B7910" s="1" t="s">
        <v>2658</v>
      </c>
      <c r="C7910" s="1" t="str">
        <f>"66298898654832"</f>
        <v>66298898654832</v>
      </c>
      <c r="D7910" s="1" t="str">
        <f>"41201-383-1638-K"</f>
        <v>41201-383-1638-K</v>
      </c>
      <c r="E7910" s="1" t="s">
        <v>4566</v>
      </c>
      <c r="F7910" s="1">
        <v>3</v>
      </c>
      <c r="G7910" s="1">
        <v>8565</v>
      </c>
      <c r="H7910" s="1">
        <v>25695</v>
      </c>
      <c r="I7910" s="1">
        <v>0</v>
      </c>
      <c r="J7910" s="1">
        <v>3</v>
      </c>
      <c r="K7910" s="1">
        <v>0</v>
      </c>
    </row>
    <row r="7911" spans="1:11" x14ac:dyDescent="0.2">
      <c r="A7911" s="1" t="s">
        <v>2565</v>
      </c>
      <c r="B7911" s="1" t="s">
        <v>2659</v>
      </c>
      <c r="C7911" s="1" t="str">
        <f>"66298898699792"</f>
        <v>66298898699792</v>
      </c>
      <c r="D7911" s="1" t="str">
        <f>"41201-383-1639-K"</f>
        <v>41201-383-1639-K</v>
      </c>
      <c r="E7911" s="1" t="s">
        <v>4566</v>
      </c>
      <c r="F7911" s="1">
        <v>3</v>
      </c>
      <c r="G7911" s="1">
        <v>8676</v>
      </c>
      <c r="H7911" s="1">
        <v>26028</v>
      </c>
      <c r="I7911" s="1">
        <v>0</v>
      </c>
      <c r="J7911" s="1">
        <v>3</v>
      </c>
      <c r="K7911" s="1">
        <v>0</v>
      </c>
    </row>
    <row r="7912" spans="1:11" x14ac:dyDescent="0.2">
      <c r="A7912" s="1" t="s">
        <v>2565</v>
      </c>
      <c r="B7912" s="1" t="s">
        <v>2660</v>
      </c>
      <c r="C7912" s="1" t="str">
        <f>"66298898744523"</f>
        <v>66298898744523</v>
      </c>
      <c r="D7912" s="1" t="str">
        <f>"41201-383-1739KI"</f>
        <v>41201-383-1739KI</v>
      </c>
      <c r="E7912" s="1" t="s">
        <v>4566</v>
      </c>
      <c r="F7912" s="1">
        <v>1</v>
      </c>
      <c r="G7912" s="1">
        <v>9834</v>
      </c>
      <c r="H7912" s="1">
        <v>9834</v>
      </c>
      <c r="I7912" s="1">
        <v>0</v>
      </c>
      <c r="J7912" s="1">
        <v>1</v>
      </c>
      <c r="K7912" s="1">
        <v>0</v>
      </c>
    </row>
    <row r="7913" spans="1:11" x14ac:dyDescent="0.2">
      <c r="A7913" s="1" t="s">
        <v>2565</v>
      </c>
      <c r="B7913" s="1" t="s">
        <v>2661</v>
      </c>
      <c r="C7913" s="1" t="str">
        <f>"66298898786270"</f>
        <v>66298898786270</v>
      </c>
      <c r="D7913" s="1" t="str">
        <f>"PP-20400-000-KIT"</f>
        <v>PP-20400-000-KIT</v>
      </c>
      <c r="E7913" s="1" t="s">
        <v>4566</v>
      </c>
      <c r="F7913" s="1">
        <v>1</v>
      </c>
      <c r="G7913" s="1">
        <v>10045</v>
      </c>
      <c r="H7913" s="1">
        <v>10045</v>
      </c>
      <c r="I7913" s="1">
        <v>0</v>
      </c>
      <c r="J7913" s="1">
        <v>1</v>
      </c>
      <c r="K7913" s="1">
        <v>0</v>
      </c>
    </row>
    <row r="7914" spans="1:11" ht="30" x14ac:dyDescent="0.2">
      <c r="A7914" s="1" t="s">
        <v>2565</v>
      </c>
      <c r="B7914" s="1" t="s">
        <v>2662</v>
      </c>
      <c r="C7914" s="1" t="str">
        <f>"41201-KGA-900-KI"</f>
        <v>41201-KGA-900-KI</v>
      </c>
      <c r="D7914" s="1" t="str">
        <f>"41201-KGA-900-KI"</f>
        <v>41201-KGA-900-KI</v>
      </c>
      <c r="E7914" s="1" t="s">
        <v>4566</v>
      </c>
      <c r="F7914" s="1">
        <v>5</v>
      </c>
      <c r="G7914" s="1">
        <v>12143</v>
      </c>
      <c r="H7914" s="1">
        <v>60715</v>
      </c>
      <c r="I7914" s="1">
        <v>0</v>
      </c>
      <c r="J7914" s="1">
        <v>5</v>
      </c>
      <c r="K7914" s="1">
        <v>0</v>
      </c>
    </row>
    <row r="7915" spans="1:11" x14ac:dyDescent="0.2">
      <c r="A7915" s="1" t="s">
        <v>2565</v>
      </c>
      <c r="B7915" s="1" t="s">
        <v>2663</v>
      </c>
      <c r="C7915" s="1" t="str">
        <f>"41201-KRF-B40-KITH"</f>
        <v>41201-KRF-B40-KITH</v>
      </c>
      <c r="D7915" s="1" t="str">
        <f>"41201-KRF-B40-KITH"</f>
        <v>41201-KRF-B40-KITH</v>
      </c>
      <c r="E7915" s="1" t="s">
        <v>4566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</row>
    <row r="7916" spans="1:11" ht="30" x14ac:dyDescent="0.2">
      <c r="A7916" s="1" t="s">
        <v>2565</v>
      </c>
      <c r="B7916" s="1" t="s">
        <v>2664</v>
      </c>
      <c r="C7916" s="1" t="str">
        <f>"10000091476"</f>
        <v>10000091476</v>
      </c>
      <c r="D7916" s="1" t="str">
        <f>"10000091476"</f>
        <v>10000091476</v>
      </c>
      <c r="E7916" s="1" t="s">
        <v>4566</v>
      </c>
      <c r="F7916" s="1">
        <v>1</v>
      </c>
      <c r="G7916" s="1">
        <v>44420.17</v>
      </c>
      <c r="H7916" s="1">
        <v>44420</v>
      </c>
      <c r="I7916" s="1">
        <v>0</v>
      </c>
      <c r="J7916" s="1">
        <v>1</v>
      </c>
      <c r="K7916" s="1">
        <v>0</v>
      </c>
    </row>
    <row r="7917" spans="1:11" ht="30" x14ac:dyDescent="0.2">
      <c r="A7917" s="1" t="s">
        <v>2565</v>
      </c>
      <c r="B7917" s="1" t="s">
        <v>2665</v>
      </c>
      <c r="C7917" s="1" t="str">
        <f>"64511-42A01-KITH-OR"</f>
        <v>64511-42A01-KITH-OR</v>
      </c>
      <c r="D7917" s="1" t="str">
        <f>"64511-42A01-KITH-OR"</f>
        <v>64511-42A01-KITH-OR</v>
      </c>
      <c r="E7917" s="1" t="s">
        <v>4566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</row>
    <row r="7918" spans="1:11" x14ac:dyDescent="0.2">
      <c r="A7918" s="1" t="s">
        <v>2565</v>
      </c>
      <c r="B7918" s="1" t="s">
        <v>2666</v>
      </c>
      <c r="C7918" s="1" t="str">
        <f>"64511-42A01-KITH"</f>
        <v>64511-42A01-KITH</v>
      </c>
      <c r="D7918" s="1" t="str">
        <f>"64511-42A01-KITH"</f>
        <v>64511-42A01-KITH</v>
      </c>
      <c r="E7918" s="1" t="s">
        <v>4566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</row>
    <row r="7919" spans="1:11" x14ac:dyDescent="0.2">
      <c r="A7919" s="1" t="s">
        <v>2565</v>
      </c>
      <c r="B7919" s="1" t="s">
        <v>2667</v>
      </c>
      <c r="C7919" s="1" t="str">
        <f>"10000091619"</f>
        <v>10000091619</v>
      </c>
      <c r="D7919" s="1" t="str">
        <f>"10000091619"</f>
        <v>10000091619</v>
      </c>
      <c r="E7919" s="1" t="s">
        <v>4566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</row>
    <row r="7920" spans="1:11" ht="30" x14ac:dyDescent="0.2">
      <c r="A7920" s="1" t="s">
        <v>2565</v>
      </c>
      <c r="B7920" s="1" t="s">
        <v>2668</v>
      </c>
      <c r="C7920" s="1" t="str">
        <f>"64511-45F00-KIT"</f>
        <v>64511-45F00-KIT</v>
      </c>
      <c r="D7920" s="1" t="str">
        <f>"64511-45F00-KIT"</f>
        <v>64511-45F00-KIT</v>
      </c>
      <c r="E7920" s="1" t="s">
        <v>4566</v>
      </c>
      <c r="F7920" s="1">
        <v>31</v>
      </c>
      <c r="G7920" s="1">
        <v>12583</v>
      </c>
      <c r="H7920" s="1">
        <v>390073</v>
      </c>
      <c r="I7920" s="1">
        <v>0</v>
      </c>
      <c r="J7920" s="1">
        <v>31</v>
      </c>
      <c r="K7920" s="1">
        <v>0</v>
      </c>
    </row>
    <row r="7921" spans="1:11" ht="30" x14ac:dyDescent="0.2">
      <c r="A7921" s="1" t="s">
        <v>2565</v>
      </c>
      <c r="B7921" s="1" t="s">
        <v>2669</v>
      </c>
      <c r="C7921" s="1" t="str">
        <f>"10000091465"</f>
        <v>10000091465</v>
      </c>
      <c r="D7921" s="1" t="str">
        <f>"10000091465"</f>
        <v>10000091465</v>
      </c>
      <c r="E7921" s="1" t="s">
        <v>4566</v>
      </c>
      <c r="F7921" s="1">
        <v>7</v>
      </c>
      <c r="G7921" s="1">
        <v>14672.27</v>
      </c>
      <c r="H7921" s="1">
        <v>102706</v>
      </c>
      <c r="I7921" s="1">
        <v>0</v>
      </c>
      <c r="J7921" s="1">
        <v>7</v>
      </c>
      <c r="K7921" s="1">
        <v>0</v>
      </c>
    </row>
    <row r="7922" spans="1:11" ht="30" x14ac:dyDescent="0.2">
      <c r="A7922" s="1" t="s">
        <v>2565</v>
      </c>
      <c r="B7922" s="1" t="s">
        <v>2670</v>
      </c>
      <c r="C7922" s="1" t="str">
        <f>"10000091196"</f>
        <v>10000091196</v>
      </c>
      <c r="D7922" s="1" t="str">
        <f>"10000091196"</f>
        <v>10000091196</v>
      </c>
      <c r="E7922" s="1" t="s">
        <v>4566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</row>
    <row r="7923" spans="1:11" x14ac:dyDescent="0.2">
      <c r="A7923" s="1" t="s">
        <v>2565</v>
      </c>
      <c r="B7923" s="1" t="s">
        <v>2671</v>
      </c>
      <c r="C7923" s="1" t="str">
        <f>"66298899038620"</f>
        <v>66298899038620</v>
      </c>
      <c r="D7923" s="1" t="str">
        <f>"45D-F5440-00-KIT"</f>
        <v>45D-F5440-00-KIT</v>
      </c>
      <c r="E7923" s="1" t="s">
        <v>4566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</row>
    <row r="7924" spans="1:11" x14ac:dyDescent="0.2">
      <c r="A7924" s="1" t="s">
        <v>2565</v>
      </c>
      <c r="B7924" s="1" t="s">
        <v>2672</v>
      </c>
      <c r="C7924" s="1" t="str">
        <f>"10000071909"</f>
        <v>10000071909</v>
      </c>
      <c r="D7924" s="1" t="str">
        <f>"10000071909"</f>
        <v>10000071909</v>
      </c>
      <c r="E7924" s="1" t="s">
        <v>4566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</row>
    <row r="7925" spans="1:11" ht="30" x14ac:dyDescent="0.2">
      <c r="A7925" s="1" t="s">
        <v>2565</v>
      </c>
      <c r="B7925" s="1" t="s">
        <v>2673</v>
      </c>
      <c r="C7925" s="1" t="str">
        <f>"64511-34J10-KITH"</f>
        <v>64511-34J10-KITH</v>
      </c>
      <c r="D7925" s="1" t="str">
        <f>"64511-34J10-KITH"</f>
        <v>64511-34J10-KITH</v>
      </c>
      <c r="E7925" s="1" t="s">
        <v>4566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</row>
    <row r="7926" spans="1:11" ht="30" x14ac:dyDescent="0.2">
      <c r="A7926" s="1" t="s">
        <v>2565</v>
      </c>
      <c r="B7926" s="1" t="s">
        <v>2673</v>
      </c>
      <c r="C7926" s="1" t="str">
        <f>"10000091387"</f>
        <v>10000091387</v>
      </c>
      <c r="D7926" s="1" t="str">
        <f>"10000091387"</f>
        <v>10000091387</v>
      </c>
      <c r="E7926" s="1" t="s">
        <v>4566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</row>
    <row r="7927" spans="1:11" x14ac:dyDescent="0.2">
      <c r="A7927" s="1" t="s">
        <v>2565</v>
      </c>
      <c r="B7927" s="1" t="s">
        <v>2674</v>
      </c>
      <c r="C7927" s="1" t="str">
        <f>"64511-0534-115-KITH"</f>
        <v>64511-0534-115-KITH</v>
      </c>
      <c r="D7927" s="1" t="str">
        <f>"64511-0534-115-KITH"</f>
        <v>64511-0534-115-KITH</v>
      </c>
      <c r="E7927" s="1" t="s">
        <v>4566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</row>
    <row r="7928" spans="1:11" ht="30" x14ac:dyDescent="0.2">
      <c r="A7928" s="1" t="s">
        <v>2565</v>
      </c>
      <c r="B7928" s="1" t="s">
        <v>2675</v>
      </c>
      <c r="C7928" s="1" t="str">
        <f>"64511-05338-KITH"</f>
        <v>64511-05338-KITH</v>
      </c>
      <c r="D7928" s="1" t="str">
        <f>"64511-05338-KITH"</f>
        <v>64511-05338-KITH</v>
      </c>
      <c r="E7928" s="1" t="s">
        <v>4566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</row>
    <row r="7929" spans="1:11" x14ac:dyDescent="0.2">
      <c r="A7929" s="1" t="s">
        <v>2565</v>
      </c>
      <c r="B7929" s="1" t="s">
        <v>2676</v>
      </c>
      <c r="C7929" s="1" t="str">
        <f>"64511-05310-15-K"</f>
        <v>64511-05310-15-K</v>
      </c>
      <c r="D7929" s="1" t="str">
        <f>"64511-05310-15-K"</f>
        <v>64511-05310-15-K</v>
      </c>
      <c r="E7929" s="1" t="s">
        <v>4566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</row>
    <row r="7930" spans="1:11" x14ac:dyDescent="0.2">
      <c r="A7930" s="1" t="s">
        <v>2565</v>
      </c>
      <c r="B7930" s="1" t="s">
        <v>2677</v>
      </c>
      <c r="C7930" s="1" t="str">
        <f>"64511-0533-815-KITH"</f>
        <v>64511-0533-815-KITH</v>
      </c>
      <c r="D7930" s="1" t="str">
        <f>"64511-0533-815-KITH"</f>
        <v>64511-0533-815-KITH</v>
      </c>
      <c r="E7930" s="1" t="s">
        <v>4566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</row>
    <row r="7931" spans="1:11" x14ac:dyDescent="0.2">
      <c r="A7931" s="1" t="s">
        <v>2565</v>
      </c>
      <c r="B7931" s="1" t="s">
        <v>2678</v>
      </c>
      <c r="C7931" s="1" t="str">
        <f>"64511-05341-KITH"</f>
        <v>64511-05341-KITH</v>
      </c>
      <c r="D7931" s="1" t="str">
        <f>"64511-05341-KITH"</f>
        <v>64511-05341-KITH</v>
      </c>
      <c r="E7931" s="1" t="s">
        <v>4566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</row>
    <row r="7932" spans="1:11" x14ac:dyDescent="0.2">
      <c r="A7932" s="1" t="s">
        <v>2565</v>
      </c>
      <c r="B7932" s="1" t="s">
        <v>2679</v>
      </c>
      <c r="C7932" s="1" t="str">
        <f>"66298899168962"</f>
        <v>66298899168962</v>
      </c>
      <c r="D7932" s="1" t="str">
        <f>"64511-05310-KIT"</f>
        <v>64511-05310-KIT</v>
      </c>
      <c r="E7932" s="1" t="s">
        <v>4566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</row>
    <row r="7933" spans="1:11" x14ac:dyDescent="0.2">
      <c r="A7933" s="1" t="s">
        <v>2565</v>
      </c>
      <c r="B7933" s="1" t="s">
        <v>2680</v>
      </c>
      <c r="C7933" s="1" t="str">
        <f>"64511-30H00-KITH"</f>
        <v>64511-30H00-KITH</v>
      </c>
      <c r="D7933" s="1" t="str">
        <f>"64511-30H00-KITH"</f>
        <v>64511-30H00-KITH</v>
      </c>
      <c r="E7933" s="1" t="s">
        <v>4566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</row>
    <row r="7934" spans="1:11" ht="30" x14ac:dyDescent="0.2">
      <c r="A7934" s="1" t="s">
        <v>2565</v>
      </c>
      <c r="B7934" s="1" t="s">
        <v>2681</v>
      </c>
      <c r="C7934" s="1" t="str">
        <f>"64511-01D04-KITH"</f>
        <v>64511-01D04-KITH</v>
      </c>
      <c r="D7934" s="1" t="str">
        <f>"64511-01D04-KITH"</f>
        <v>64511-01D04-KITH</v>
      </c>
      <c r="E7934" s="1" t="s">
        <v>4566</v>
      </c>
      <c r="F7934" s="1">
        <v>3</v>
      </c>
      <c r="G7934" s="1">
        <v>16259</v>
      </c>
      <c r="H7934" s="1">
        <v>48777</v>
      </c>
      <c r="I7934" s="1">
        <v>0</v>
      </c>
      <c r="J7934" s="1">
        <v>3</v>
      </c>
      <c r="K7934" s="1">
        <v>0</v>
      </c>
    </row>
    <row r="7935" spans="1:11" ht="30" x14ac:dyDescent="0.2">
      <c r="A7935" s="1" t="s">
        <v>2565</v>
      </c>
      <c r="B7935" s="1" t="s">
        <v>2682</v>
      </c>
      <c r="C7935" s="1" t="str">
        <f>"64511-48H10-K/OR"</f>
        <v>64511-48H10-K/OR</v>
      </c>
      <c r="D7935" s="1" t="str">
        <f>"64511-48H10-K/OR"</f>
        <v>64511-48H10-K/OR</v>
      </c>
      <c r="E7935" s="1" t="s">
        <v>4566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</row>
    <row r="7936" spans="1:11" x14ac:dyDescent="0.2">
      <c r="A7936" s="1" t="s">
        <v>2565</v>
      </c>
      <c r="B7936" s="1" t="s">
        <v>2683</v>
      </c>
      <c r="C7936" s="1" t="str">
        <f>"64511-48040-KITJ"</f>
        <v>64511-48040-KITJ</v>
      </c>
      <c r="D7936" s="1" t="str">
        <f>"64511-48040-KITJ"</f>
        <v>64511-48040-KITJ</v>
      </c>
      <c r="E7936" s="1" t="s">
        <v>4566</v>
      </c>
      <c r="F7936" s="1">
        <v>4</v>
      </c>
      <c r="G7936" s="1">
        <v>9403</v>
      </c>
      <c r="H7936" s="1">
        <v>37612</v>
      </c>
      <c r="I7936" s="1">
        <v>0</v>
      </c>
      <c r="J7936" s="1">
        <v>4</v>
      </c>
      <c r="K7936" s="1">
        <v>0</v>
      </c>
    </row>
    <row r="7937" spans="1:11" x14ac:dyDescent="0.2">
      <c r="A7937" s="1" t="s">
        <v>2565</v>
      </c>
      <c r="B7937" s="1" t="s">
        <v>2684</v>
      </c>
      <c r="C7937" s="1" t="str">
        <f>"64511-48048-KITH"</f>
        <v>64511-48048-KITH</v>
      </c>
      <c r="D7937" s="1" t="str">
        <f>"64511-48048-KITH"</f>
        <v>64511-48048-KITH</v>
      </c>
      <c r="E7937" s="1" t="s">
        <v>4566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</row>
    <row r="7938" spans="1:11" x14ac:dyDescent="0.2">
      <c r="A7938" s="1" t="s">
        <v>2565</v>
      </c>
      <c r="B7938" s="1" t="s">
        <v>2685</v>
      </c>
      <c r="C7938" s="1" t="str">
        <f>"10000091505"</f>
        <v>10000091505</v>
      </c>
      <c r="D7938" s="1" t="str">
        <f>"10000091505"</f>
        <v>10000091505</v>
      </c>
      <c r="E7938" s="1" t="s">
        <v>4566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</row>
    <row r="7939" spans="1:11" ht="30" x14ac:dyDescent="0.2">
      <c r="A7939" s="1" t="s">
        <v>2565</v>
      </c>
      <c r="B7939" s="1" t="s">
        <v>2686</v>
      </c>
      <c r="C7939" s="1" t="str">
        <f>"66298899471489"</f>
        <v>66298899471489</v>
      </c>
      <c r="D7939" s="1" t="str">
        <f>"EVO-20400-000KH"</f>
        <v>EVO-20400-000KH</v>
      </c>
      <c r="E7939" s="1" t="s">
        <v>4566</v>
      </c>
      <c r="F7939" s="1">
        <v>6</v>
      </c>
      <c r="G7939" s="1">
        <v>13438</v>
      </c>
      <c r="H7939" s="1">
        <v>80628</v>
      </c>
      <c r="I7939" s="1">
        <v>0</v>
      </c>
      <c r="J7939" s="1">
        <v>6</v>
      </c>
      <c r="K7939" s="1">
        <v>0</v>
      </c>
    </row>
    <row r="7940" spans="1:11" x14ac:dyDescent="0.2">
      <c r="A7940" s="1" t="s">
        <v>2565</v>
      </c>
      <c r="B7940" s="1" t="s">
        <v>2687</v>
      </c>
      <c r="C7940" s="1" t="str">
        <f>"66298899512622"</f>
        <v>66298899512622</v>
      </c>
      <c r="D7940" s="1" t="str">
        <f>"SL-20400-000-KIT"</f>
        <v>SL-20400-000-KIT</v>
      </c>
      <c r="E7940" s="1" t="s">
        <v>4566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</row>
    <row r="7941" spans="1:11" x14ac:dyDescent="0.2">
      <c r="A7941" s="1" t="s">
        <v>2565</v>
      </c>
      <c r="B7941" s="1" t="s">
        <v>2688</v>
      </c>
      <c r="C7941" s="1" t="str">
        <f>"66298899559232"</f>
        <v>66298899559232</v>
      </c>
      <c r="D7941" s="1" t="str">
        <f>"41201-383-1543KI"</f>
        <v>41201-383-1543KI</v>
      </c>
      <c r="E7941" s="1" t="s">
        <v>4566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</row>
    <row r="7942" spans="1:11" x14ac:dyDescent="0.2">
      <c r="A7942" s="1" t="s">
        <v>2565</v>
      </c>
      <c r="B7942" s="1" t="s">
        <v>2689</v>
      </c>
      <c r="C7942" s="1" t="str">
        <f>"27600H3EY20H000"</f>
        <v>27600H3EY20H000</v>
      </c>
      <c r="D7942" s="1" t="str">
        <f>"27600H3EY20H000"</f>
        <v>27600H3EY20H000</v>
      </c>
      <c r="E7942" s="1" t="s">
        <v>4566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</row>
    <row r="7943" spans="1:11" x14ac:dyDescent="0.2">
      <c r="A7943" s="1" t="s">
        <v>2565</v>
      </c>
      <c r="B7943" s="1" t="s">
        <v>2690</v>
      </c>
      <c r="C7943" s="1" t="str">
        <f>"64511-05310-15-KITH"</f>
        <v>64511-05310-15-KITH</v>
      </c>
      <c r="D7943" s="1" t="str">
        <f>"64511-05310-15-KITH"</f>
        <v>64511-05310-15-KITH</v>
      </c>
      <c r="E7943" s="1" t="s">
        <v>4566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</row>
    <row r="7944" spans="1:11" ht="30" x14ac:dyDescent="0.2">
      <c r="A7944" s="1" t="s">
        <v>2565</v>
      </c>
      <c r="B7944" s="1" t="s">
        <v>2691</v>
      </c>
      <c r="C7944" s="1" t="str">
        <f>"SM-20400-000-KIT"</f>
        <v>SM-20400-000-KIT</v>
      </c>
      <c r="D7944" s="1" t="str">
        <f>"SM-20400-000-KIT"</f>
        <v>SM-20400-000-KIT</v>
      </c>
      <c r="E7944" s="1" t="s">
        <v>4566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</row>
    <row r="7945" spans="1:11" ht="30" x14ac:dyDescent="0.2">
      <c r="A7945" s="1" t="s">
        <v>2565</v>
      </c>
      <c r="B7945" s="1" t="s">
        <v>2692</v>
      </c>
      <c r="C7945" s="1" t="str">
        <f>"66298899602557"</f>
        <v>66298899602557</v>
      </c>
      <c r="D7945" s="1" t="str">
        <f>"XN-20400-999-KIT"</f>
        <v>XN-20400-999-KIT</v>
      </c>
      <c r="E7945" s="1" t="s">
        <v>4566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</row>
    <row r="7946" spans="1:11" x14ac:dyDescent="0.2">
      <c r="A7946" s="1" t="s">
        <v>2565</v>
      </c>
      <c r="B7946" s="1" t="s">
        <v>2693</v>
      </c>
      <c r="C7946" s="1" t="str">
        <f>"XN-20400-0015-KITH"</f>
        <v>XN-20400-0015-KITH</v>
      </c>
      <c r="D7946" s="1" t="str">
        <f>"XN-20400-0015-KITH"</f>
        <v>XN-20400-0015-KITH</v>
      </c>
      <c r="E7946" s="1" t="s">
        <v>4566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</row>
    <row r="7947" spans="1:11" ht="30" x14ac:dyDescent="0.2">
      <c r="A7947" s="1" t="s">
        <v>2565</v>
      </c>
      <c r="B7947" s="1" t="s">
        <v>2694</v>
      </c>
      <c r="C7947" s="1" t="str">
        <f>"12295"</f>
        <v>12295</v>
      </c>
      <c r="D7947" s="1" t="str">
        <f>"12295"</f>
        <v>12295</v>
      </c>
      <c r="E7947" s="1" t="s">
        <v>4566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</row>
    <row r="7948" spans="1:11" x14ac:dyDescent="0.2">
      <c r="A7948" s="1" t="s">
        <v>2565</v>
      </c>
      <c r="B7948" s="1" t="s">
        <v>2695</v>
      </c>
      <c r="C7948" s="1" t="str">
        <f>"66298899684026"</f>
        <v>66298899684026</v>
      </c>
      <c r="D7948" s="1" t="str">
        <f>"50002058-KITH"</f>
        <v>50002058-KITH</v>
      </c>
      <c r="E7948" s="1" t="s">
        <v>4566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</row>
    <row r="7949" spans="1:11" x14ac:dyDescent="0.2">
      <c r="A7949" s="1" t="s">
        <v>2565</v>
      </c>
      <c r="B7949" s="1" t="s">
        <v>2695</v>
      </c>
      <c r="C7949" s="1" t="str">
        <f>"10000091471"</f>
        <v>10000091471</v>
      </c>
      <c r="D7949" s="1" t="str">
        <f>"10000091471"</f>
        <v>10000091471</v>
      </c>
      <c r="E7949" s="1" t="s">
        <v>4566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</row>
    <row r="7950" spans="1:11" x14ac:dyDescent="0.2">
      <c r="A7950" s="1" t="s">
        <v>2565</v>
      </c>
      <c r="B7950" s="1" t="s">
        <v>2696</v>
      </c>
      <c r="C7950" s="1" t="str">
        <f>"41201-383-0040-K"</f>
        <v>41201-383-0040-K</v>
      </c>
      <c r="D7950" s="1" t="str">
        <f>"41201-383-0040-K"</f>
        <v>41201-383-0040-K</v>
      </c>
      <c r="E7950" s="1" t="s">
        <v>4566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</row>
    <row r="7951" spans="1:11" ht="30" x14ac:dyDescent="0.2">
      <c r="A7951" s="1" t="s">
        <v>2565</v>
      </c>
      <c r="B7951" s="1" t="s">
        <v>2697</v>
      </c>
      <c r="C7951" s="1" t="str">
        <f>"41201-KVE-915KIT"</f>
        <v>41201-KVE-915KIT</v>
      </c>
      <c r="D7951" s="1" t="str">
        <f>"41201-KVE-915KIT"</f>
        <v>41201-KVE-915KIT</v>
      </c>
      <c r="E7951" s="1" t="s">
        <v>4566</v>
      </c>
      <c r="F7951" s="1">
        <v>1</v>
      </c>
      <c r="G7951" s="1">
        <v>7972</v>
      </c>
      <c r="H7951" s="1">
        <v>7972</v>
      </c>
      <c r="I7951" s="1">
        <v>0</v>
      </c>
      <c r="J7951" s="1">
        <v>1</v>
      </c>
      <c r="K7951" s="1">
        <v>0</v>
      </c>
    </row>
    <row r="7952" spans="1:11" x14ac:dyDescent="0.2">
      <c r="A7952" s="1" t="s">
        <v>2565</v>
      </c>
      <c r="B7952" s="1" t="s">
        <v>2698</v>
      </c>
      <c r="C7952" s="1" t="str">
        <f>"27600H40Y00H000"</f>
        <v>27600H40Y00H000</v>
      </c>
      <c r="D7952" s="1" t="str">
        <f>"27600H40Y00H000"</f>
        <v>27600H40Y00H000</v>
      </c>
      <c r="E7952" s="1" t="s">
        <v>4566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</row>
    <row r="7953" spans="1:11" ht="30" x14ac:dyDescent="0.2">
      <c r="A7953" s="1" t="s">
        <v>2565</v>
      </c>
      <c r="B7953" s="1" t="s">
        <v>2699</v>
      </c>
      <c r="C7953" s="1" t="str">
        <f>"10000071848"</f>
        <v>10000071848</v>
      </c>
      <c r="D7953" s="1" t="str">
        <f>"10000071848"</f>
        <v>10000071848</v>
      </c>
      <c r="E7953" s="1" t="s">
        <v>4566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</row>
    <row r="7954" spans="1:11" ht="30" x14ac:dyDescent="0.2">
      <c r="A7954" s="1" t="s">
        <v>2565</v>
      </c>
      <c r="B7954" s="1" t="s">
        <v>2700</v>
      </c>
      <c r="C7954" s="1" t="str">
        <f>"41201-KSM-900-KITH"</f>
        <v>41201-KSM-900-KITH</v>
      </c>
      <c r="D7954" s="1" t="str">
        <f>"41201-KSM-900-KITH"</f>
        <v>41201-KSM-900-KITH</v>
      </c>
      <c r="E7954" s="1" t="s">
        <v>4566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</row>
    <row r="7955" spans="1:11" ht="30" x14ac:dyDescent="0.2">
      <c r="A7955" s="1" t="s">
        <v>2565</v>
      </c>
      <c r="B7955" s="1" t="s">
        <v>2701</v>
      </c>
      <c r="C7955" s="1" t="str">
        <f>"64511-05310-16-KITH"</f>
        <v>64511-05310-16-KITH</v>
      </c>
      <c r="D7955" s="1" t="str">
        <f>"64511-05310-16-KITH"</f>
        <v>64511-05310-16-KITH</v>
      </c>
      <c r="E7955" s="1" t="s">
        <v>4566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</row>
    <row r="7956" spans="1:11" ht="30" x14ac:dyDescent="0.2">
      <c r="A7956" s="1" t="s">
        <v>2565</v>
      </c>
      <c r="B7956" s="1" t="s">
        <v>2702</v>
      </c>
      <c r="C7956" s="1" t="str">
        <f>"66298899806225"</f>
        <v>66298899806225</v>
      </c>
      <c r="D7956" s="1" t="str">
        <f>"36-JE00-07-KITH"</f>
        <v>36-JE00-07-KITH</v>
      </c>
      <c r="E7956" s="1" t="s">
        <v>4566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</row>
    <row r="7957" spans="1:11" x14ac:dyDescent="0.2">
      <c r="A7957" s="1" t="s">
        <v>2565</v>
      </c>
      <c r="B7957" s="1" t="s">
        <v>2703</v>
      </c>
      <c r="C7957" s="1" t="str">
        <f>"10000091501"</f>
        <v>10000091501</v>
      </c>
      <c r="D7957" s="1" t="str">
        <f>"10000091501"</f>
        <v>10000091501</v>
      </c>
      <c r="E7957" s="1" t="s">
        <v>4566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</row>
    <row r="7958" spans="1:11" x14ac:dyDescent="0.2">
      <c r="A7958" s="1" t="s">
        <v>2565</v>
      </c>
      <c r="B7958" s="1" t="s">
        <v>2704</v>
      </c>
      <c r="C7958" s="1" t="str">
        <f>"10000091396"</f>
        <v>10000091396</v>
      </c>
      <c r="D7958" s="1" t="str">
        <f>"10000091396"</f>
        <v>10000091396</v>
      </c>
      <c r="E7958" s="1" t="s">
        <v>4566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</row>
    <row r="7959" spans="1:11" ht="30" x14ac:dyDescent="0.2">
      <c r="A7959" s="1" t="s">
        <v>2565</v>
      </c>
      <c r="B7959" s="1" t="s">
        <v>2705</v>
      </c>
      <c r="C7959" s="1" t="str">
        <f>"36-JF00-06-KITH"</f>
        <v>36-JF00-06-KITH</v>
      </c>
      <c r="D7959" s="1" t="str">
        <f>"36-JF00-06-KITH"</f>
        <v>36-JF00-06-KITH</v>
      </c>
      <c r="E7959" s="1" t="s">
        <v>4566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</row>
    <row r="7960" spans="1:11" x14ac:dyDescent="0.2">
      <c r="A7960" s="1" t="s">
        <v>2565</v>
      </c>
      <c r="B7960" s="1" t="s">
        <v>2706</v>
      </c>
      <c r="C7960" s="1" t="str">
        <f>"66298899849666"</f>
        <v>66298899849666</v>
      </c>
      <c r="D7960" s="1" t="str">
        <f>"36-DK00-36-KITH"</f>
        <v>36-DK00-36-KITH</v>
      </c>
      <c r="E7960" s="1" t="s">
        <v>4566</v>
      </c>
      <c r="F7960" s="1">
        <v>6</v>
      </c>
      <c r="G7960" s="1">
        <v>15737</v>
      </c>
      <c r="H7960" s="1">
        <v>94422</v>
      </c>
      <c r="I7960" s="1">
        <v>0</v>
      </c>
      <c r="J7960" s="1">
        <v>6</v>
      </c>
      <c r="K7960" s="1">
        <v>0</v>
      </c>
    </row>
    <row r="7961" spans="1:11" x14ac:dyDescent="0.2">
      <c r="A7961" s="1" t="s">
        <v>2565</v>
      </c>
      <c r="B7961" s="1" t="s">
        <v>2706</v>
      </c>
      <c r="C7961" s="1" t="str">
        <f>"66298899855346"</f>
        <v>66298899855346</v>
      </c>
      <c r="D7961" s="1" t="str">
        <f>"DX-1510-23-KITH"</f>
        <v>DX-1510-23-KITH</v>
      </c>
      <c r="E7961" s="1" t="s">
        <v>4566</v>
      </c>
      <c r="F7961" s="1">
        <v>1</v>
      </c>
      <c r="G7961" s="1">
        <v>9812</v>
      </c>
      <c r="H7961" s="1">
        <v>9812</v>
      </c>
      <c r="I7961" s="1">
        <v>0</v>
      </c>
      <c r="J7961" s="1">
        <v>1</v>
      </c>
      <c r="K7961" s="1">
        <v>0</v>
      </c>
    </row>
    <row r="7962" spans="1:11" ht="30" x14ac:dyDescent="0.2">
      <c r="A7962" s="1" t="s">
        <v>2565</v>
      </c>
      <c r="B7962" s="1" t="s">
        <v>2707</v>
      </c>
      <c r="C7962" s="1" t="str">
        <f>"66298899909046"</f>
        <v>66298899909046</v>
      </c>
      <c r="D7962" s="1" t="str">
        <f>"DJ-1510-18-KITH"</f>
        <v>DJ-1510-18-KITH</v>
      </c>
      <c r="E7962" s="1" t="s">
        <v>4566</v>
      </c>
      <c r="F7962" s="1">
        <v>6</v>
      </c>
      <c r="G7962" s="1">
        <v>12652</v>
      </c>
      <c r="H7962" s="1">
        <v>75912</v>
      </c>
      <c r="I7962" s="1">
        <v>0</v>
      </c>
      <c r="J7962" s="1">
        <v>6</v>
      </c>
      <c r="K7962" s="1">
        <v>0</v>
      </c>
    </row>
    <row r="7963" spans="1:11" x14ac:dyDescent="0.2">
      <c r="A7963" s="1" t="s">
        <v>2565</v>
      </c>
      <c r="B7963" s="1" t="s">
        <v>2708</v>
      </c>
      <c r="C7963" s="1" t="str">
        <f>"10000091391"</f>
        <v>10000091391</v>
      </c>
      <c r="D7963" s="1" t="str">
        <f>"10000091391"</f>
        <v>10000091391</v>
      </c>
      <c r="E7963" s="1" t="s">
        <v>4566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</row>
    <row r="7964" spans="1:11" x14ac:dyDescent="0.2">
      <c r="A7964" s="1" t="s">
        <v>2565</v>
      </c>
      <c r="B7964" s="1" t="s">
        <v>2709</v>
      </c>
      <c r="C7964" s="1" t="str">
        <f>"66298899948017"</f>
        <v>66298899948017</v>
      </c>
      <c r="D7964" s="1" t="str">
        <f>"36-DK00-40-KITH"</f>
        <v>36-DK00-40-KITH</v>
      </c>
      <c r="E7964" s="1" t="s">
        <v>4566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</row>
    <row r="7965" spans="1:11" x14ac:dyDescent="0.2">
      <c r="A7965" s="1" t="s">
        <v>2565</v>
      </c>
      <c r="B7965" s="1" t="s">
        <v>2710</v>
      </c>
      <c r="C7965" s="1" t="str">
        <f>"10000091381"</f>
        <v>10000091381</v>
      </c>
      <c r="D7965" s="1" t="str">
        <f>"10000091381"</f>
        <v>10000091381</v>
      </c>
      <c r="E7965" s="1" t="s">
        <v>4566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</row>
    <row r="7966" spans="1:11" ht="30" x14ac:dyDescent="0.2">
      <c r="A7966" s="1" t="s">
        <v>2565</v>
      </c>
      <c r="B7966" s="1" t="s">
        <v>2711</v>
      </c>
      <c r="C7966" s="1" t="str">
        <f>"64511-05310-0016-KITH"</f>
        <v>64511-05310-0016-KITH</v>
      </c>
      <c r="D7966" s="1" t="str">
        <f>"64511-05310-0016-KITH"</f>
        <v>64511-05310-0016-KITH</v>
      </c>
      <c r="E7966" s="1" t="s">
        <v>4566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</row>
    <row r="7967" spans="1:11" x14ac:dyDescent="0.2">
      <c r="A7967" s="1" t="s">
        <v>2565</v>
      </c>
      <c r="B7967" s="1" t="s">
        <v>2712</v>
      </c>
      <c r="C7967" s="1" t="str">
        <f>"66298899990620"</f>
        <v>66298899990620</v>
      </c>
      <c r="D7967" s="1" t="str">
        <f>"41201-KVC-915KIT"</f>
        <v>41201-KVC-915KIT</v>
      </c>
      <c r="E7967" s="1" t="s">
        <v>4566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</row>
    <row r="7968" spans="1:11" x14ac:dyDescent="0.2">
      <c r="A7968" s="1" t="s">
        <v>2565</v>
      </c>
      <c r="B7968" s="1" t="s">
        <v>2712</v>
      </c>
      <c r="C7968" s="1" t="str">
        <f>"66298899996424"</f>
        <v>66298899996424</v>
      </c>
      <c r="D7968" s="1" t="str">
        <f>"41201-KVC-900KIT"</f>
        <v>41201-KVC-900KIT</v>
      </c>
      <c r="E7968" s="1" t="s">
        <v>4566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</row>
    <row r="7969" spans="1:11" x14ac:dyDescent="0.2">
      <c r="A7969" s="1" t="s">
        <v>2565</v>
      </c>
      <c r="B7969" s="1" t="s">
        <v>2713</v>
      </c>
      <c r="C7969" s="1" t="str">
        <f>"66298900050635"</f>
        <v>66298900050635</v>
      </c>
      <c r="D7969" s="1" t="str">
        <f>"5GE-F5437-00-KIT"</f>
        <v>5GE-F5437-00-KIT</v>
      </c>
      <c r="E7969" s="1" t="s">
        <v>4566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</row>
    <row r="7970" spans="1:11" ht="30" x14ac:dyDescent="0.2">
      <c r="A7970" s="1" t="s">
        <v>2565</v>
      </c>
      <c r="B7970" s="1" t="s">
        <v>2714</v>
      </c>
      <c r="C7970" s="1" t="str">
        <f>"N9111560-KITH"</f>
        <v>N9111560-KITH</v>
      </c>
      <c r="D7970" s="1" t="str">
        <f>"N9111560-KITH"</f>
        <v>N9111560-KITH</v>
      </c>
      <c r="E7970" s="1" t="s">
        <v>4566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</row>
    <row r="7971" spans="1:11" ht="30" x14ac:dyDescent="0.2">
      <c r="A7971" s="1" t="s">
        <v>2565</v>
      </c>
      <c r="B7971" s="1" t="s">
        <v>2715</v>
      </c>
      <c r="C7971" s="1" t="str">
        <f>"N8323690-KIT"</f>
        <v>N8323690-KIT</v>
      </c>
      <c r="D7971" s="1" t="str">
        <f>"N8323690-KIT"</f>
        <v>N8323690-KIT</v>
      </c>
      <c r="E7971" s="1" t="s">
        <v>4566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</row>
    <row r="7972" spans="1:11" x14ac:dyDescent="0.2">
      <c r="A7972" s="1" t="s">
        <v>2565</v>
      </c>
      <c r="B7972" s="1" t="s">
        <v>2716</v>
      </c>
      <c r="C7972" s="1" t="str">
        <f>"66298900091241"</f>
        <v>66298900091241</v>
      </c>
      <c r="D7972" s="1" t="str">
        <f>"TX-20400-000-KIT"</f>
        <v>TX-20400-000-KIT</v>
      </c>
      <c r="E7972" s="1" t="s">
        <v>4566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</row>
    <row r="7973" spans="1:11" x14ac:dyDescent="0.2">
      <c r="A7973" s="1" t="s">
        <v>2565</v>
      </c>
      <c r="B7973" s="1" t="s">
        <v>2717</v>
      </c>
      <c r="C7973" s="1" t="str">
        <f>"66298900132692"</f>
        <v>66298900132692</v>
      </c>
      <c r="D7973" s="1" t="str">
        <f>"TX-20400-017-KIT"</f>
        <v>TX-20400-017-KIT</v>
      </c>
      <c r="E7973" s="1" t="s">
        <v>4566</v>
      </c>
      <c r="F7973" s="1">
        <v>9</v>
      </c>
      <c r="G7973" s="1">
        <v>16790</v>
      </c>
      <c r="H7973" s="1">
        <v>151110</v>
      </c>
      <c r="I7973" s="1">
        <v>0</v>
      </c>
      <c r="J7973" s="1">
        <v>9</v>
      </c>
      <c r="K7973" s="1">
        <v>0</v>
      </c>
    </row>
    <row r="7974" spans="1:11" ht="30" x14ac:dyDescent="0.2">
      <c r="A7974" s="1" t="s">
        <v>2565</v>
      </c>
      <c r="B7974" s="1" t="s">
        <v>2718</v>
      </c>
      <c r="C7974" s="1" t="str">
        <f>"41200-K43-900-KITH"</f>
        <v>41200-K43-900-KITH</v>
      </c>
      <c r="D7974" s="1" t="str">
        <f>"41200-K43-900-KITH"</f>
        <v>41200-K43-900-KITH</v>
      </c>
      <c r="E7974" s="1" t="s">
        <v>4566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</row>
    <row r="7975" spans="1:11" x14ac:dyDescent="0.2">
      <c r="A7975" s="1" t="s">
        <v>2565</v>
      </c>
      <c r="B7975" s="1" t="s">
        <v>2719</v>
      </c>
      <c r="C7975" s="1" t="str">
        <f>"66298900176462"</f>
        <v>66298900176462</v>
      </c>
      <c r="D7975" s="1" t="str">
        <f>"41200-437-670KIT"</f>
        <v>41200-437-670KIT</v>
      </c>
      <c r="E7975" s="1" t="s">
        <v>4566</v>
      </c>
      <c r="F7975" s="1">
        <v>4</v>
      </c>
      <c r="G7975" s="1">
        <v>13400</v>
      </c>
      <c r="H7975" s="1">
        <v>53600</v>
      </c>
      <c r="I7975" s="1">
        <v>0</v>
      </c>
      <c r="J7975" s="1">
        <v>4</v>
      </c>
      <c r="K7975" s="1">
        <v>0</v>
      </c>
    </row>
    <row r="7976" spans="1:11" x14ac:dyDescent="0.2">
      <c r="A7976" s="1" t="s">
        <v>2565</v>
      </c>
      <c r="B7976" s="1" t="s">
        <v>2720</v>
      </c>
      <c r="C7976" s="1" t="str">
        <f>"66298900221936"</f>
        <v>66298900221936</v>
      </c>
      <c r="D7976" s="1" t="str">
        <f>"41200-427-670-KI"</f>
        <v>41200-427-670-KI</v>
      </c>
      <c r="E7976" s="1" t="s">
        <v>4566</v>
      </c>
      <c r="F7976" s="1">
        <v>3</v>
      </c>
      <c r="G7976" s="1">
        <v>12236</v>
      </c>
      <c r="H7976" s="1">
        <v>36708</v>
      </c>
      <c r="I7976" s="1">
        <v>0</v>
      </c>
      <c r="J7976" s="1">
        <v>3</v>
      </c>
      <c r="K7976" s="1">
        <v>0</v>
      </c>
    </row>
    <row r="7977" spans="1:11" x14ac:dyDescent="0.2">
      <c r="A7977" s="1" t="s">
        <v>2565</v>
      </c>
      <c r="B7977" s="1" t="s">
        <v>2721</v>
      </c>
      <c r="C7977" s="1" t="str">
        <f>"66298900261145"</f>
        <v>66298900261145</v>
      </c>
      <c r="D7977" s="1" t="str">
        <f>"41200-KFC-900KIT"</f>
        <v>41200-KFC-900KIT</v>
      </c>
      <c r="E7977" s="1" t="s">
        <v>4566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</row>
    <row r="7978" spans="1:11" x14ac:dyDescent="0.2">
      <c r="A7978" s="1" t="s">
        <v>2565</v>
      </c>
      <c r="B7978" s="1" t="s">
        <v>2722</v>
      </c>
      <c r="C7978" s="1" t="str">
        <f>"10000091175"</f>
        <v>10000091175</v>
      </c>
      <c r="D7978" s="1" t="str">
        <f>"10000091175"</f>
        <v>10000091175</v>
      </c>
      <c r="E7978" s="1" t="s">
        <v>4566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</row>
    <row r="7979" spans="1:11" x14ac:dyDescent="0.2">
      <c r="A7979" s="1" t="s">
        <v>2565</v>
      </c>
      <c r="B7979" s="1" t="s">
        <v>2723</v>
      </c>
      <c r="C7979" s="1" t="str">
        <f>"66298900307202"</f>
        <v>66298900307202</v>
      </c>
      <c r="D7979" s="1" t="str">
        <f>"41200-KBB-900KIT"</f>
        <v>41200-KBB-900KIT</v>
      </c>
      <c r="E7979" s="1" t="s">
        <v>4566</v>
      </c>
      <c r="F7979" s="1">
        <v>4</v>
      </c>
      <c r="G7979" s="1">
        <v>14383</v>
      </c>
      <c r="H7979" s="1">
        <v>57532</v>
      </c>
      <c r="I7979" s="1">
        <v>0</v>
      </c>
      <c r="J7979" s="1">
        <v>4</v>
      </c>
      <c r="K7979" s="1">
        <v>0</v>
      </c>
    </row>
    <row r="7980" spans="1:11" x14ac:dyDescent="0.2">
      <c r="A7980" s="1" t="s">
        <v>2565</v>
      </c>
      <c r="B7980" s="1" t="s">
        <v>2724</v>
      </c>
      <c r="C7980" s="1" t="str">
        <f>"66298900691637"</f>
        <v>66298900691637</v>
      </c>
      <c r="D7980" s="1" t="str">
        <f>"41201-KPE-900KIT"</f>
        <v>41201-KPE-900KIT</v>
      </c>
      <c r="E7980" s="1" t="s">
        <v>4566</v>
      </c>
      <c r="F7980" s="1">
        <v>5</v>
      </c>
      <c r="G7980" s="1">
        <v>14663</v>
      </c>
      <c r="H7980" s="1">
        <v>73315</v>
      </c>
      <c r="I7980" s="1">
        <v>0</v>
      </c>
      <c r="J7980" s="1">
        <v>5</v>
      </c>
      <c r="K7980" s="1">
        <v>0</v>
      </c>
    </row>
    <row r="7981" spans="1:11" x14ac:dyDescent="0.2">
      <c r="A7981" s="1" t="s">
        <v>2565</v>
      </c>
      <c r="B7981" s="1" t="s">
        <v>2725</v>
      </c>
      <c r="C7981" s="1" t="str">
        <f>"10000091051"</f>
        <v>10000091051</v>
      </c>
      <c r="D7981" s="1" t="str">
        <f>"10000091051"</f>
        <v>10000091051</v>
      </c>
      <c r="E7981" s="1" t="s">
        <v>4566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</row>
    <row r="7982" spans="1:11" x14ac:dyDescent="0.2">
      <c r="A7982" s="1" t="s">
        <v>2565</v>
      </c>
      <c r="B7982" s="1" t="s">
        <v>2726</v>
      </c>
      <c r="C7982" s="1" t="str">
        <f>"66298900729332"</f>
        <v>66298900729332</v>
      </c>
      <c r="D7982" s="1" t="str">
        <f>"4VW-F5445-11-KIT"</f>
        <v>4VW-F5445-11-KIT</v>
      </c>
      <c r="E7982" s="1" t="s">
        <v>4566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</row>
    <row r="7983" spans="1:11" x14ac:dyDescent="0.2">
      <c r="A7983" s="1" t="s">
        <v>2565</v>
      </c>
      <c r="B7983" s="1" t="s">
        <v>2727</v>
      </c>
      <c r="C7983" s="1" t="str">
        <f>"3B2-F5450-20-KITH"</f>
        <v>3B2-F5450-20-KITH</v>
      </c>
      <c r="D7983" s="1" t="str">
        <f>"3B2-F5450-20-KITH"</f>
        <v>3B2-F5450-20-KITH</v>
      </c>
      <c r="E7983" s="1" t="s">
        <v>4566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</row>
    <row r="7984" spans="1:11" x14ac:dyDescent="0.2">
      <c r="A7984" s="1" t="s">
        <v>2565</v>
      </c>
      <c r="B7984" s="1" t="s">
        <v>2727</v>
      </c>
      <c r="C7984" s="1" t="str">
        <f>"12307"</f>
        <v>12307</v>
      </c>
      <c r="D7984" s="1" t="str">
        <f>"12307"</f>
        <v>12307</v>
      </c>
      <c r="E7984" s="1" t="s">
        <v>4566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</row>
    <row r="7985" spans="1:11" x14ac:dyDescent="0.2">
      <c r="A7985" s="1" t="s">
        <v>2565</v>
      </c>
      <c r="B7985" s="1" t="s">
        <v>2728</v>
      </c>
      <c r="C7985" s="1" t="str">
        <f>"12297"</f>
        <v>12297</v>
      </c>
      <c r="D7985" s="1" t="str">
        <f>"12297"</f>
        <v>12297</v>
      </c>
      <c r="E7985" s="1" t="s">
        <v>4566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</row>
    <row r="7986" spans="1:11" x14ac:dyDescent="0.2">
      <c r="A7986" s="1" t="s">
        <v>2565</v>
      </c>
      <c r="B7986" s="1" t="s">
        <v>2729</v>
      </c>
      <c r="C7986" s="1" t="str">
        <f>"10000091161"</f>
        <v>10000091161</v>
      </c>
      <c r="D7986" s="1" t="str">
        <f>"10000091161"</f>
        <v>10000091161</v>
      </c>
      <c r="E7986" s="1" t="s">
        <v>4566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</row>
    <row r="7987" spans="1:11" x14ac:dyDescent="0.2">
      <c r="A7987" s="1" t="s">
        <v>2565</v>
      </c>
      <c r="B7987" s="1" t="s">
        <v>2730</v>
      </c>
      <c r="C7987" s="1" t="str">
        <f>"66298900774980"</f>
        <v>66298900774980</v>
      </c>
      <c r="D7987" s="1" t="str">
        <f>"1ED-F5440-00-KIT"</f>
        <v>1ED-F5440-00-KIT</v>
      </c>
      <c r="E7987" s="1" t="s">
        <v>4566</v>
      </c>
      <c r="F7987" s="1">
        <v>2</v>
      </c>
      <c r="G7987" s="1">
        <v>19210</v>
      </c>
      <c r="H7987" s="1">
        <v>38420</v>
      </c>
      <c r="I7987" s="1">
        <v>0</v>
      </c>
      <c r="J7987" s="1">
        <v>2</v>
      </c>
      <c r="K7987" s="1">
        <v>0</v>
      </c>
    </row>
    <row r="7988" spans="1:11" x14ac:dyDescent="0.2">
      <c r="A7988" s="1" t="s">
        <v>2565</v>
      </c>
      <c r="B7988" s="1" t="s">
        <v>2730</v>
      </c>
      <c r="C7988" s="1" t="str">
        <f>"66298900781872"</f>
        <v>66298900781872</v>
      </c>
      <c r="D7988" s="1" t="str">
        <f>"4B4-F5446-20-KIT"</f>
        <v>4B4-F5446-20-KIT</v>
      </c>
      <c r="E7988" s="1" t="s">
        <v>4566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</row>
    <row r="7989" spans="1:11" x14ac:dyDescent="0.2">
      <c r="A7989" s="1" t="s">
        <v>2565</v>
      </c>
      <c r="B7989" s="1" t="s">
        <v>2731</v>
      </c>
      <c r="C7989" s="1" t="str">
        <f>"66298900877522"</f>
        <v>66298900877522</v>
      </c>
      <c r="D7989" s="1" t="str">
        <f>"22P-F5445-00-KIT"</f>
        <v>22P-F5445-00-KIT</v>
      </c>
      <c r="E7989" s="1" t="s">
        <v>4566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</row>
    <row r="7990" spans="1:11" x14ac:dyDescent="0.2">
      <c r="A7990" s="1" t="s">
        <v>2565</v>
      </c>
      <c r="B7990" s="1" t="s">
        <v>2732</v>
      </c>
      <c r="C7990" s="1" t="str">
        <f>"66298900834470"</f>
        <v>66298900834470</v>
      </c>
      <c r="D7990" s="1" t="str">
        <f>"5VL-F5445-00KIT"</f>
        <v>5VL-F5445-00KIT</v>
      </c>
      <c r="E7990" s="1" t="s">
        <v>4566</v>
      </c>
      <c r="F7990" s="1">
        <v>12</v>
      </c>
      <c r="G7990" s="1">
        <v>11492</v>
      </c>
      <c r="H7990" s="1">
        <v>137904</v>
      </c>
      <c r="I7990" s="1">
        <v>0</v>
      </c>
      <c r="J7990" s="1">
        <v>12</v>
      </c>
      <c r="K7990" s="1">
        <v>0</v>
      </c>
    </row>
    <row r="7991" spans="1:11" x14ac:dyDescent="0.2">
      <c r="A7991" s="1" t="s">
        <v>2565</v>
      </c>
      <c r="B7991" s="1" t="s">
        <v>2733</v>
      </c>
      <c r="C7991" s="1" t="str">
        <f>"10000071907"</f>
        <v>10000071907</v>
      </c>
      <c r="D7991" s="1" t="str">
        <f>"10000071907"</f>
        <v>10000071907</v>
      </c>
      <c r="E7991" s="1" t="s">
        <v>4566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</row>
    <row r="7992" spans="1:11" x14ac:dyDescent="0.2">
      <c r="A7992" s="1" t="s">
        <v>2565</v>
      </c>
      <c r="B7992" s="1" t="s">
        <v>2734</v>
      </c>
      <c r="C7992" s="1" t="str">
        <f>"5PC-F5443-00-KITH"</f>
        <v>5PC-F5443-00-KITH</v>
      </c>
      <c r="D7992" s="1" t="str">
        <f>"5PC-F5443-00-KITH"</f>
        <v>5PC-F5443-00-KITH</v>
      </c>
      <c r="E7992" s="1" t="s">
        <v>4566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</row>
    <row r="7993" spans="1:11" ht="30" x14ac:dyDescent="0.2">
      <c r="A7993" s="1" t="s">
        <v>2565</v>
      </c>
      <c r="B7993" s="1" t="s">
        <v>2735</v>
      </c>
      <c r="C7993" s="1" t="str">
        <f>"5C9-F5444-00-KITH"</f>
        <v>5C9-F5444-00-KITH</v>
      </c>
      <c r="D7993" s="1" t="str">
        <f>"5C9-F5444-00-KITH"</f>
        <v>5C9-F5444-00-KITH</v>
      </c>
      <c r="E7993" s="1" t="s">
        <v>4566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</row>
    <row r="7994" spans="1:11" ht="30" x14ac:dyDescent="0.2">
      <c r="A7994" s="1" t="s">
        <v>2565</v>
      </c>
      <c r="B7994" s="1" t="s">
        <v>2736</v>
      </c>
      <c r="C7994" s="1" t="str">
        <f>"66298900922408"</f>
        <v>66298900922408</v>
      </c>
      <c r="D7994" s="1" t="str">
        <f>"12B-F5445-20KITH"</f>
        <v>12B-F5445-20KITH</v>
      </c>
      <c r="E7994" s="1" t="s">
        <v>4566</v>
      </c>
      <c r="F7994" s="1">
        <v>4</v>
      </c>
      <c r="G7994" s="1">
        <v>18083</v>
      </c>
      <c r="H7994" s="1">
        <v>72332</v>
      </c>
      <c r="I7994" s="1">
        <v>0</v>
      </c>
      <c r="J7994" s="1">
        <v>4</v>
      </c>
      <c r="K7994" s="1">
        <v>0</v>
      </c>
    </row>
    <row r="7995" spans="1:11" x14ac:dyDescent="0.2">
      <c r="A7995" s="1" t="s">
        <v>2565</v>
      </c>
      <c r="B7995" s="1" t="s">
        <v>2737</v>
      </c>
      <c r="C7995" s="1" t="str">
        <f>"10000091310"</f>
        <v>10000091310</v>
      </c>
      <c r="D7995" s="1" t="str">
        <f>"10000091310"</f>
        <v>10000091310</v>
      </c>
      <c r="E7995" s="1" t="s">
        <v>4566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</row>
    <row r="7996" spans="1:11" x14ac:dyDescent="0.2">
      <c r="A7996" s="1" t="s">
        <v>2565</v>
      </c>
      <c r="B7996" s="1" t="s">
        <v>2738</v>
      </c>
      <c r="C7996" s="1" t="str">
        <f>"10000091188"</f>
        <v>10000091188</v>
      </c>
      <c r="D7996" s="1" t="str">
        <f>"10000091188"</f>
        <v>10000091188</v>
      </c>
      <c r="E7996" s="1" t="s">
        <v>4566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</row>
    <row r="7997" spans="1:11" x14ac:dyDescent="0.2">
      <c r="A7997" s="1" t="s">
        <v>2565</v>
      </c>
      <c r="B7997" s="1" t="s">
        <v>2739</v>
      </c>
      <c r="C7997" s="1" t="str">
        <f>"66298900963743"</f>
        <v>66298900963743</v>
      </c>
      <c r="D7997" s="1" t="str">
        <f>"1WD-F5443-00KITH"</f>
        <v>1WD-F5443-00KITH</v>
      </c>
      <c r="E7997" s="1" t="s">
        <v>4566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</row>
    <row r="7998" spans="1:11" x14ac:dyDescent="0.2">
      <c r="A7998" s="1" t="s">
        <v>18</v>
      </c>
      <c r="B7998" s="1" t="s">
        <v>2740</v>
      </c>
      <c r="C7998" s="1" t="str">
        <f>"100814"</f>
        <v>100814</v>
      </c>
      <c r="D7998" s="1" t="str">
        <f>"100814"</f>
        <v>100814</v>
      </c>
      <c r="E7998" s="1" t="s">
        <v>4566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</row>
    <row r="7999" spans="1:11" x14ac:dyDescent="0.2">
      <c r="A7999" s="1" t="s">
        <v>98</v>
      </c>
      <c r="B7999" s="1" t="s">
        <v>2741</v>
      </c>
      <c r="C7999" s="1" t="str">
        <f>"66298901004784"</f>
        <v>66298901004784</v>
      </c>
      <c r="D7999" s="1" t="str">
        <f>"83726"</f>
        <v>83726</v>
      </c>
      <c r="E7999" s="1" t="s">
        <v>4566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</row>
    <row r="8000" spans="1:11" x14ac:dyDescent="0.2">
      <c r="A8000" s="1" t="s">
        <v>98</v>
      </c>
      <c r="B8000" s="1" t="s">
        <v>2742</v>
      </c>
      <c r="C8000" s="1" t="str">
        <f>"66298901043372"</f>
        <v>66298901043372</v>
      </c>
      <c r="D8000" s="1" t="str">
        <f>"84894"</f>
        <v>84894</v>
      </c>
      <c r="E8000" s="1" t="s">
        <v>4566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</row>
    <row r="8001" spans="1:11" x14ac:dyDescent="0.2">
      <c r="A8001" s="1" t="s">
        <v>15</v>
      </c>
      <c r="B8001" s="1" t="s">
        <v>2743</v>
      </c>
      <c r="C8001" s="1" t="str">
        <f>"99670"</f>
        <v>99670</v>
      </c>
      <c r="D8001" s="1" t="str">
        <f>"99670"</f>
        <v>99670</v>
      </c>
      <c r="E8001" s="1" t="s">
        <v>4566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</row>
    <row r="8002" spans="1:11" x14ac:dyDescent="0.2">
      <c r="A8002" s="1" t="s">
        <v>15</v>
      </c>
      <c r="B8002" s="1" t="s">
        <v>2744</v>
      </c>
      <c r="C8002" s="1" t="str">
        <f>"66298901086136"</f>
        <v>66298901086136</v>
      </c>
      <c r="D8002" s="1" t="str">
        <f>"702001"</f>
        <v>702001</v>
      </c>
      <c r="E8002" s="1" t="s">
        <v>4566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</row>
    <row r="8003" spans="1:11" x14ac:dyDescent="0.2">
      <c r="A8003" s="1" t="s">
        <v>15</v>
      </c>
      <c r="B8003" s="1" t="s">
        <v>2745</v>
      </c>
      <c r="C8003" s="1" t="str">
        <f>"LIMP-MEGA"</f>
        <v>LIMP-MEGA</v>
      </c>
      <c r="D8003" s="1" t="str">
        <f>"LIMP-MEGA"</f>
        <v>LIMP-MEGA</v>
      </c>
      <c r="E8003" s="1" t="s">
        <v>4566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</row>
    <row r="8004" spans="1:11" x14ac:dyDescent="0.2">
      <c r="A8004" s="1" t="s">
        <v>15</v>
      </c>
      <c r="B8004" s="1" t="s">
        <v>2746</v>
      </c>
      <c r="C8004" s="1" t="str">
        <f>"11601"</f>
        <v>11601</v>
      </c>
      <c r="D8004" s="1" t="str">
        <f>"11601"</f>
        <v>11601</v>
      </c>
      <c r="E8004" s="1" t="s">
        <v>4566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</row>
    <row r="8005" spans="1:11" x14ac:dyDescent="0.2">
      <c r="A8005" s="1" t="s">
        <v>15</v>
      </c>
      <c r="B8005" s="1" t="s">
        <v>2747</v>
      </c>
      <c r="C8005" s="1" t="str">
        <f>"CONT-MEGA"</f>
        <v>CONT-MEGA</v>
      </c>
      <c r="D8005" s="1" t="str">
        <f>"CONT-MEGA"</f>
        <v>CONT-MEGA</v>
      </c>
      <c r="E8005" s="1" t="s">
        <v>4566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</row>
    <row r="8006" spans="1:11" x14ac:dyDescent="0.2">
      <c r="A8006" s="1" t="s">
        <v>15</v>
      </c>
      <c r="B8006" s="1" t="s">
        <v>2748</v>
      </c>
      <c r="C8006" s="1" t="str">
        <f>"REX-3906"</f>
        <v>REX-3906</v>
      </c>
      <c r="D8006" s="1" t="str">
        <f>"REX-3906"</f>
        <v>REX-3906</v>
      </c>
      <c r="E8006" s="1" t="s">
        <v>4566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</row>
    <row r="8007" spans="1:11" x14ac:dyDescent="0.2">
      <c r="A8007" s="1" t="s">
        <v>15</v>
      </c>
      <c r="B8007" s="1" t="s">
        <v>2749</v>
      </c>
      <c r="C8007" s="1" t="str">
        <f>"11602"</f>
        <v>11602</v>
      </c>
      <c r="D8007" s="1" t="str">
        <f>"11602"</f>
        <v>11602</v>
      </c>
      <c r="E8007" s="1" t="s">
        <v>4566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1</v>
      </c>
    </row>
    <row r="8008" spans="1:11" x14ac:dyDescent="0.2">
      <c r="A8008" s="1" t="s">
        <v>15</v>
      </c>
      <c r="B8008" s="1" t="s">
        <v>2750</v>
      </c>
      <c r="C8008" s="1" t="str">
        <f>"66298901124242"</f>
        <v>66298901124242</v>
      </c>
      <c r="D8008" s="1" t="str">
        <f>"800658"</f>
        <v>800658</v>
      </c>
      <c r="E8008" s="1" t="s">
        <v>4566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</row>
    <row r="8009" spans="1:11" x14ac:dyDescent="0.2">
      <c r="A8009" s="1" t="s">
        <v>15</v>
      </c>
      <c r="B8009" s="1" t="s">
        <v>2751</v>
      </c>
      <c r="C8009" s="1" t="str">
        <f>"66298901169434"</f>
        <v>66298901169434</v>
      </c>
      <c r="D8009" s="1" t="str">
        <f>"702046"</f>
        <v>702046</v>
      </c>
      <c r="E8009" s="1" t="s">
        <v>4566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</row>
    <row r="8010" spans="1:11" x14ac:dyDescent="0.2">
      <c r="A8010" s="1" t="s">
        <v>15</v>
      </c>
      <c r="B8010" s="1" t="s">
        <v>2752</v>
      </c>
      <c r="C8010" s="1" t="str">
        <f>"11604"</f>
        <v>11604</v>
      </c>
      <c r="D8010" s="1" t="str">
        <f>"11604"</f>
        <v>11604</v>
      </c>
      <c r="E8010" s="1" t="s">
        <v>4566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1</v>
      </c>
    </row>
    <row r="8011" spans="1:11" x14ac:dyDescent="0.2">
      <c r="A8011" s="1" t="s">
        <v>15</v>
      </c>
      <c r="B8011" s="1" t="s">
        <v>2753</v>
      </c>
      <c r="C8011" s="1" t="str">
        <f>"66298901211340"</f>
        <v>66298901211340</v>
      </c>
      <c r="D8011" s="1" t="str">
        <f>"99683"</f>
        <v>99683</v>
      </c>
      <c r="E8011" s="1" t="s">
        <v>4566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</row>
    <row r="8012" spans="1:11" x14ac:dyDescent="0.2">
      <c r="A8012" s="1" t="s">
        <v>15</v>
      </c>
      <c r="B8012" s="1" t="s">
        <v>2754</v>
      </c>
      <c r="C8012" s="1" t="str">
        <f>"11632"</f>
        <v>11632</v>
      </c>
      <c r="D8012" s="1" t="str">
        <f>"11632"</f>
        <v>11632</v>
      </c>
      <c r="E8012" s="1" t="s">
        <v>4566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1</v>
      </c>
    </row>
    <row r="8013" spans="1:11" x14ac:dyDescent="0.2">
      <c r="A8013" s="1" t="s">
        <v>15</v>
      </c>
      <c r="B8013" s="1" t="s">
        <v>2755</v>
      </c>
      <c r="C8013" s="1" t="str">
        <f>"11964"</f>
        <v>11964</v>
      </c>
      <c r="D8013" s="1" t="str">
        <f>"11964"</f>
        <v>11964</v>
      </c>
      <c r="E8013" s="1" t="s">
        <v>4566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1</v>
      </c>
    </row>
    <row r="8014" spans="1:11" ht="30" x14ac:dyDescent="0.2">
      <c r="A8014" s="1" t="s">
        <v>15</v>
      </c>
      <c r="B8014" s="1" t="s">
        <v>2756</v>
      </c>
      <c r="C8014" s="1" t="str">
        <f>"11963"</f>
        <v>11963</v>
      </c>
      <c r="D8014" s="1" t="str">
        <f>"11963"</f>
        <v>11963</v>
      </c>
      <c r="E8014" s="1" t="s">
        <v>4566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</row>
    <row r="8015" spans="1:11" ht="30" x14ac:dyDescent="0.2">
      <c r="A8015" s="1" t="s">
        <v>15</v>
      </c>
      <c r="B8015" s="1" t="s">
        <v>2757</v>
      </c>
      <c r="C8015" s="1" t="str">
        <f>"66298901251588"</f>
        <v>66298901251588</v>
      </c>
      <c r="D8015" s="1" t="str">
        <f>"1571"</f>
        <v>1571</v>
      </c>
      <c r="E8015" s="1" t="s">
        <v>4566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</row>
    <row r="8016" spans="1:11" x14ac:dyDescent="0.2">
      <c r="A8016" s="1" t="s">
        <v>15</v>
      </c>
      <c r="B8016" s="1" t="s">
        <v>2758</v>
      </c>
      <c r="C8016" s="1" t="str">
        <f>"66298901288717"</f>
        <v>66298901288717</v>
      </c>
      <c r="D8016" s="1" t="str">
        <f>"6010162"</f>
        <v>6010162</v>
      </c>
      <c r="E8016" s="1" t="s">
        <v>4566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</row>
    <row r="8017" spans="1:11" ht="30" x14ac:dyDescent="0.2">
      <c r="A8017" s="1" t="s">
        <v>15</v>
      </c>
      <c r="B8017" s="1" t="s">
        <v>2759</v>
      </c>
      <c r="C8017" s="1" t="str">
        <f>"66298901330636"</f>
        <v>66298901330636</v>
      </c>
      <c r="D8017" s="1" t="str">
        <f>"6010163"</f>
        <v>6010163</v>
      </c>
      <c r="E8017" s="1" t="s">
        <v>4566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</row>
    <row r="8018" spans="1:11" x14ac:dyDescent="0.2">
      <c r="A8018" s="1" t="s">
        <v>15</v>
      </c>
      <c r="B8018" s="1" t="s">
        <v>2760</v>
      </c>
      <c r="C8018" s="1" t="str">
        <f>"3093"</f>
        <v>3093</v>
      </c>
      <c r="D8018" s="1" t="str">
        <f>"3093"</f>
        <v>3093</v>
      </c>
      <c r="E8018" s="1" t="s">
        <v>4566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</row>
    <row r="8019" spans="1:11" x14ac:dyDescent="0.2">
      <c r="A8019" s="1" t="s">
        <v>15</v>
      </c>
      <c r="B8019" s="1" t="s">
        <v>2761</v>
      </c>
      <c r="C8019" s="1" t="str">
        <f>"3092"</f>
        <v>3092</v>
      </c>
      <c r="D8019" s="1" t="str">
        <f>"3092"</f>
        <v>3092</v>
      </c>
      <c r="E8019" s="1" t="s">
        <v>4566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</row>
    <row r="8020" spans="1:11" x14ac:dyDescent="0.2">
      <c r="A8020" s="1" t="s">
        <v>15</v>
      </c>
      <c r="B8020" s="1" t="s">
        <v>2762</v>
      </c>
      <c r="C8020" s="1" t="str">
        <f>"66298901369193"</f>
        <v>66298901369193</v>
      </c>
      <c r="D8020" s="1" t="str">
        <f>"6010119"</f>
        <v>6010119</v>
      </c>
      <c r="E8020" s="1" t="s">
        <v>4566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</row>
    <row r="8021" spans="1:11" x14ac:dyDescent="0.2">
      <c r="A8021" s="1" t="s">
        <v>15</v>
      </c>
      <c r="B8021" s="1" t="s">
        <v>2763</v>
      </c>
      <c r="C8021" s="1" t="str">
        <f>"6010120"</f>
        <v>6010120</v>
      </c>
      <c r="D8021" s="1" t="str">
        <f>"6010120"</f>
        <v>6010120</v>
      </c>
      <c r="E8021" s="1" t="s">
        <v>4566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</row>
    <row r="8022" spans="1:11" x14ac:dyDescent="0.2">
      <c r="A8022" s="1" t="s">
        <v>15</v>
      </c>
      <c r="B8022" s="1" t="s">
        <v>2764</v>
      </c>
      <c r="C8022" s="1" t="str">
        <f>"66298901454643"</f>
        <v>66298901454643</v>
      </c>
      <c r="D8022" s="1" t="str">
        <f>"701A96"</f>
        <v>701A96</v>
      </c>
      <c r="E8022" s="1" t="s">
        <v>4566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</row>
    <row r="8023" spans="1:11" x14ac:dyDescent="0.2">
      <c r="A8023" s="1" t="s">
        <v>15</v>
      </c>
      <c r="B8023" s="1" t="s">
        <v>2765</v>
      </c>
      <c r="C8023" s="1" t="str">
        <f>"11683"</f>
        <v>11683</v>
      </c>
      <c r="D8023" s="1" t="str">
        <f>"11683"</f>
        <v>11683</v>
      </c>
      <c r="E8023" s="1" t="s">
        <v>4566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1</v>
      </c>
    </row>
    <row r="8024" spans="1:11" x14ac:dyDescent="0.2">
      <c r="A8024" s="1" t="s">
        <v>15</v>
      </c>
      <c r="B8024" s="1" t="s">
        <v>2766</v>
      </c>
      <c r="C8024" s="1" t="str">
        <f>"11685"</f>
        <v>11685</v>
      </c>
      <c r="D8024" s="1" t="str">
        <f>"11685"</f>
        <v>11685</v>
      </c>
      <c r="E8024" s="1" t="s">
        <v>4566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1</v>
      </c>
    </row>
    <row r="8025" spans="1:11" x14ac:dyDescent="0.2">
      <c r="A8025" s="1" t="s">
        <v>15</v>
      </c>
      <c r="B8025" s="1" t="s">
        <v>2767</v>
      </c>
      <c r="C8025" s="1" t="str">
        <f>"66298901497357"</f>
        <v>66298901497357</v>
      </c>
      <c r="D8025" s="1" t="str">
        <f>"800312"</f>
        <v>800312</v>
      </c>
      <c r="E8025" s="1" t="s">
        <v>4566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</row>
    <row r="8026" spans="1:11" x14ac:dyDescent="0.2">
      <c r="A8026" s="1" t="s">
        <v>15</v>
      </c>
      <c r="B8026" s="1" t="s">
        <v>2768</v>
      </c>
      <c r="C8026" s="1" t="str">
        <f>"66298901543799"</f>
        <v>66298901543799</v>
      </c>
      <c r="D8026" s="1" t="str">
        <f>"3091"</f>
        <v>3091</v>
      </c>
      <c r="E8026" s="1" t="s">
        <v>4566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</row>
    <row r="8027" spans="1:11" x14ac:dyDescent="0.2">
      <c r="A8027" s="1" t="s">
        <v>2769</v>
      </c>
      <c r="B8027" s="1" t="s">
        <v>2770</v>
      </c>
      <c r="C8027" s="1" t="str">
        <f>"66298901585441"</f>
        <v>66298901585441</v>
      </c>
      <c r="D8027" s="1" t="str">
        <f>"82125"</f>
        <v>82125</v>
      </c>
      <c r="E8027" s="1" t="s">
        <v>4566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</row>
    <row r="8028" spans="1:11" x14ac:dyDescent="0.2">
      <c r="A8028" s="1" t="s">
        <v>2769</v>
      </c>
      <c r="B8028" s="1" t="s">
        <v>2771</v>
      </c>
      <c r="C8028" s="1" t="str">
        <f>"66298901627128"</f>
        <v>66298901627128</v>
      </c>
      <c r="D8028" s="1" t="str">
        <f>"54111H2C001HA99"</f>
        <v>54111H2C001HA99</v>
      </c>
      <c r="E8028" s="1" t="s">
        <v>4566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</row>
    <row r="8029" spans="1:11" x14ac:dyDescent="0.2">
      <c r="A8029" s="1" t="s">
        <v>2769</v>
      </c>
      <c r="B8029" s="1" t="s">
        <v>2772</v>
      </c>
      <c r="C8029" s="1" t="str">
        <f>"66298901665785"</f>
        <v>66298901665785</v>
      </c>
      <c r="D8029" s="1" t="str">
        <f>"82126"</f>
        <v>82126</v>
      </c>
      <c r="E8029" s="1" t="s">
        <v>4566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</row>
    <row r="8030" spans="1:11" x14ac:dyDescent="0.2">
      <c r="A8030" s="1" t="s">
        <v>2769</v>
      </c>
      <c r="B8030" s="1" t="s">
        <v>2773</v>
      </c>
      <c r="C8030" s="1" t="str">
        <f>"66298901713336"</f>
        <v>66298901713336</v>
      </c>
      <c r="D8030" s="1" t="str">
        <f>"B15030148"</f>
        <v>B15030148</v>
      </c>
      <c r="E8030" s="1" t="s">
        <v>4566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</row>
    <row r="8031" spans="1:11" x14ac:dyDescent="0.2">
      <c r="A8031" s="1" t="s">
        <v>2774</v>
      </c>
      <c r="B8031" s="1" t="s">
        <v>2775</v>
      </c>
      <c r="C8031" s="1" t="str">
        <f>"66298901760541"</f>
        <v>66298901760541</v>
      </c>
      <c r="D8031" s="1" t="str">
        <f>"H188"</f>
        <v>H188</v>
      </c>
      <c r="E8031" s="1" t="s">
        <v>4566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</row>
    <row r="8032" spans="1:11" x14ac:dyDescent="0.2">
      <c r="A8032" s="1" t="s">
        <v>2774</v>
      </c>
      <c r="B8032" s="1" t="s">
        <v>2776</v>
      </c>
      <c r="C8032" s="1" t="str">
        <f>"49CC28"</f>
        <v>49CC28</v>
      </c>
      <c r="D8032" s="1" t="str">
        <f>"49CC28"</f>
        <v>49CC28</v>
      </c>
      <c r="E8032" s="1" t="s">
        <v>4566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</row>
    <row r="8033" spans="1:11" x14ac:dyDescent="0.2">
      <c r="A8033" s="1" t="s">
        <v>2774</v>
      </c>
      <c r="B8033" s="1" t="s">
        <v>2777</v>
      </c>
      <c r="C8033" s="1" t="str">
        <f>"66298901805081"</f>
        <v>66298901805081</v>
      </c>
      <c r="D8033" s="1" t="str">
        <f>"B091"</f>
        <v>B091</v>
      </c>
      <c r="E8033" s="1" t="s">
        <v>4566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</row>
    <row r="8034" spans="1:11" x14ac:dyDescent="0.2">
      <c r="A8034" s="1" t="s">
        <v>2774</v>
      </c>
      <c r="B8034" s="1" t="s">
        <v>2778</v>
      </c>
      <c r="C8034" s="1" t="str">
        <f>"66298901845498"</f>
        <v>66298901845498</v>
      </c>
      <c r="D8034" s="1" t="str">
        <f>"XB006"</f>
        <v>XB006</v>
      </c>
      <c r="E8034" s="1" t="s">
        <v>4566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</row>
    <row r="8035" spans="1:11" x14ac:dyDescent="0.2">
      <c r="A8035" s="1" t="s">
        <v>2774</v>
      </c>
      <c r="B8035" s="1" t="s">
        <v>2779</v>
      </c>
      <c r="C8035" s="1" t="str">
        <f>"66298901930718"</f>
        <v>66298901930718</v>
      </c>
      <c r="D8035" s="1" t="str">
        <f>"400546"</f>
        <v>400546</v>
      </c>
      <c r="E8035" s="1" t="s">
        <v>4566</v>
      </c>
      <c r="F8035" s="1">
        <v>11</v>
      </c>
      <c r="G8035" s="1">
        <v>1695</v>
      </c>
      <c r="H8035" s="1">
        <v>18645</v>
      </c>
      <c r="I8035" s="1">
        <v>0</v>
      </c>
      <c r="J8035" s="1">
        <v>11</v>
      </c>
      <c r="K8035" s="1">
        <v>0</v>
      </c>
    </row>
    <row r="8036" spans="1:11" x14ac:dyDescent="0.2">
      <c r="A8036" s="1" t="s">
        <v>2774</v>
      </c>
      <c r="B8036" s="1" t="s">
        <v>2780</v>
      </c>
      <c r="C8036" s="1" t="str">
        <f>"66298901888788"</f>
        <v>66298901888788</v>
      </c>
      <c r="D8036" s="1" t="str">
        <f>"XB005"</f>
        <v>XB005</v>
      </c>
      <c r="E8036" s="1" t="s">
        <v>4566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</row>
    <row r="8037" spans="1:11" x14ac:dyDescent="0.2">
      <c r="A8037" s="1" t="s">
        <v>2774</v>
      </c>
      <c r="B8037" s="1" t="s">
        <v>2781</v>
      </c>
      <c r="C8037" s="1" t="str">
        <f>"XB001"</f>
        <v>XB001</v>
      </c>
      <c r="D8037" s="1" t="str">
        <f>"XB001"</f>
        <v>XB001</v>
      </c>
      <c r="E8037" s="1" t="s">
        <v>4566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</row>
    <row r="8038" spans="1:11" x14ac:dyDescent="0.2">
      <c r="A8038" s="1" t="s">
        <v>2774</v>
      </c>
      <c r="B8038" s="1" t="s">
        <v>2782</v>
      </c>
      <c r="C8038" s="1" t="str">
        <f>"XB009"</f>
        <v>XB009</v>
      </c>
      <c r="D8038" s="1" t="str">
        <f>"XB009"</f>
        <v>XB009</v>
      </c>
      <c r="E8038" s="1" t="s">
        <v>4566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</row>
    <row r="8039" spans="1:11" x14ac:dyDescent="0.2">
      <c r="A8039" s="1" t="s">
        <v>2774</v>
      </c>
      <c r="B8039" s="1" t="s">
        <v>2783</v>
      </c>
      <c r="C8039" s="1" t="str">
        <f>"66298901969173"</f>
        <v>66298901969173</v>
      </c>
      <c r="D8039" s="1" t="str">
        <f>"XB003"</f>
        <v>XB003</v>
      </c>
      <c r="E8039" s="1" t="s">
        <v>4566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</row>
    <row r="8040" spans="1:11" x14ac:dyDescent="0.2">
      <c r="A8040" s="1" t="s">
        <v>2774</v>
      </c>
      <c r="B8040" s="1" t="s">
        <v>2784</v>
      </c>
      <c r="C8040" s="1" t="str">
        <f>"66298902011913"</f>
        <v>66298902011913</v>
      </c>
      <c r="D8040" s="1" t="str">
        <f>"XB011"</f>
        <v>XB011</v>
      </c>
      <c r="E8040" s="1" t="s">
        <v>4566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</row>
    <row r="8041" spans="1:11" x14ac:dyDescent="0.2">
      <c r="A8041" s="1" t="s">
        <v>2774</v>
      </c>
      <c r="B8041" s="1" t="s">
        <v>2784</v>
      </c>
      <c r="C8041" s="1" t="str">
        <f>"66298902019288"</f>
        <v>66298902019288</v>
      </c>
      <c r="D8041" s="1" t="str">
        <f>"XB010"</f>
        <v>XB010</v>
      </c>
      <c r="E8041" s="1" t="s">
        <v>4566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</row>
    <row r="8042" spans="1:11" x14ac:dyDescent="0.2">
      <c r="A8042" s="1" t="s">
        <v>2774</v>
      </c>
      <c r="B8042" s="1" t="s">
        <v>2784</v>
      </c>
      <c r="C8042" s="1" t="str">
        <f>"XB007"</f>
        <v>XB007</v>
      </c>
      <c r="D8042" s="1" t="str">
        <f>"XB007"</f>
        <v>XB007</v>
      </c>
      <c r="E8042" s="1" t="s">
        <v>4566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</row>
    <row r="8043" spans="1:11" x14ac:dyDescent="0.2">
      <c r="A8043" s="1" t="s">
        <v>2774</v>
      </c>
      <c r="B8043" s="1" t="s">
        <v>2785</v>
      </c>
      <c r="C8043" s="1" t="str">
        <f>"66298902074401"</f>
        <v>66298902074401</v>
      </c>
      <c r="D8043" s="1" t="str">
        <f>"B091A"</f>
        <v>B091A</v>
      </c>
      <c r="E8043" s="1" t="s">
        <v>4566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</row>
    <row r="8044" spans="1:11" x14ac:dyDescent="0.2">
      <c r="A8044" s="1" t="s">
        <v>2774</v>
      </c>
      <c r="B8044" s="1" t="s">
        <v>2786</v>
      </c>
      <c r="C8044" s="1" t="str">
        <f>"66298902111577"</f>
        <v>66298902111577</v>
      </c>
      <c r="D8044" s="1" t="str">
        <f>"H021"</f>
        <v>H021</v>
      </c>
      <c r="E8044" s="1" t="s">
        <v>4566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</row>
    <row r="8045" spans="1:11" x14ac:dyDescent="0.2">
      <c r="A8045" s="1" t="s">
        <v>2774</v>
      </c>
      <c r="B8045" s="1" t="s">
        <v>2787</v>
      </c>
      <c r="C8045" s="1" t="str">
        <f>"66298902173789"</f>
        <v>66298902173789</v>
      </c>
      <c r="D8045" s="1" t="str">
        <f>"H029"</f>
        <v>H029</v>
      </c>
      <c r="E8045" s="1" t="s">
        <v>4566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</row>
    <row r="8046" spans="1:11" x14ac:dyDescent="0.2">
      <c r="A8046" s="1" t="s">
        <v>2774</v>
      </c>
      <c r="B8046" s="1" t="s">
        <v>2787</v>
      </c>
      <c r="C8046" s="1" t="str">
        <f>"66298902182002"</f>
        <v>66298902182002</v>
      </c>
      <c r="D8046" s="1" t="str">
        <f>"H027"</f>
        <v>H027</v>
      </c>
      <c r="E8046" s="1" t="s">
        <v>4566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</row>
    <row r="8047" spans="1:11" x14ac:dyDescent="0.2">
      <c r="A8047" s="1" t="s">
        <v>2774</v>
      </c>
      <c r="B8047" s="1" t="s">
        <v>2788</v>
      </c>
      <c r="C8047" s="1" t="str">
        <f>"66298902240011"</f>
        <v>66298902240011</v>
      </c>
      <c r="D8047" s="1" t="str">
        <f>"H100"</f>
        <v>H100</v>
      </c>
      <c r="E8047" s="1" t="s">
        <v>4566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</row>
    <row r="8048" spans="1:11" x14ac:dyDescent="0.2">
      <c r="A8048" s="1" t="s">
        <v>2774</v>
      </c>
      <c r="B8048" s="1" t="s">
        <v>2788</v>
      </c>
      <c r="C8048" s="1" t="str">
        <f>"66298902247503"</f>
        <v>66298902247503</v>
      </c>
      <c r="D8048" s="1" t="str">
        <f>"H099"</f>
        <v>H099</v>
      </c>
      <c r="E8048" s="1" t="s">
        <v>4566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</row>
    <row r="8049" spans="1:11" x14ac:dyDescent="0.2">
      <c r="A8049" s="1" t="s">
        <v>2774</v>
      </c>
      <c r="B8049" s="1" t="s">
        <v>2789</v>
      </c>
      <c r="C8049" s="1" t="str">
        <f>"66298902307888"</f>
        <v>66298902307888</v>
      </c>
      <c r="D8049" s="1" t="str">
        <f>"H056"</f>
        <v>H056</v>
      </c>
      <c r="E8049" s="1" t="s">
        <v>4566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</row>
    <row r="8050" spans="1:11" x14ac:dyDescent="0.2">
      <c r="A8050" s="1" t="s">
        <v>2774</v>
      </c>
      <c r="B8050" s="1" t="s">
        <v>2790</v>
      </c>
      <c r="C8050" s="1" t="str">
        <f>"66298902353997"</f>
        <v>66298902353997</v>
      </c>
      <c r="D8050" s="1" t="str">
        <f>"H161"</f>
        <v>H161</v>
      </c>
      <c r="E8050" s="1" t="s">
        <v>4566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</row>
    <row r="8051" spans="1:11" x14ac:dyDescent="0.2">
      <c r="A8051" s="1" t="s">
        <v>2774</v>
      </c>
      <c r="B8051" s="1" t="s">
        <v>2791</v>
      </c>
      <c r="C8051" s="1" t="str">
        <f>"66298902394138"</f>
        <v>66298902394138</v>
      </c>
      <c r="D8051" s="1" t="str">
        <f>"H083"</f>
        <v>H083</v>
      </c>
      <c r="E8051" s="1" t="s">
        <v>4566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</row>
    <row r="8052" spans="1:11" x14ac:dyDescent="0.2">
      <c r="A8052" s="1" t="s">
        <v>2774</v>
      </c>
      <c r="B8052" s="1" t="s">
        <v>2792</v>
      </c>
      <c r="C8052" s="1" t="str">
        <f>"66298902431574"</f>
        <v>66298902431574</v>
      </c>
      <c r="D8052" s="1" t="str">
        <f>"H084"</f>
        <v>H084</v>
      </c>
      <c r="E8052" s="1" t="s">
        <v>4566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</row>
    <row r="8053" spans="1:11" x14ac:dyDescent="0.2">
      <c r="A8053" s="1" t="s">
        <v>2774</v>
      </c>
      <c r="B8053" s="1" t="s">
        <v>2793</v>
      </c>
      <c r="C8053" s="1" t="str">
        <f>"66298902473846"</f>
        <v>66298902473846</v>
      </c>
      <c r="D8053" s="1" t="str">
        <f>"H086"</f>
        <v>H086</v>
      </c>
      <c r="E8053" s="1" t="s">
        <v>4566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</row>
    <row r="8054" spans="1:11" x14ac:dyDescent="0.2">
      <c r="A8054" s="1" t="s">
        <v>2774</v>
      </c>
      <c r="B8054" s="1" t="s">
        <v>2794</v>
      </c>
      <c r="C8054" s="1" t="str">
        <f>"66298902515957"</f>
        <v>66298902515957</v>
      </c>
      <c r="D8054" s="1" t="str">
        <f>"H087"</f>
        <v>H087</v>
      </c>
      <c r="E8054" s="1" t="s">
        <v>4566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</row>
    <row r="8055" spans="1:11" x14ac:dyDescent="0.2">
      <c r="A8055" s="1" t="s">
        <v>2774</v>
      </c>
      <c r="B8055" s="1" t="s">
        <v>2795</v>
      </c>
      <c r="C8055" s="1" t="str">
        <f>"66298902555881"</f>
        <v>66298902555881</v>
      </c>
      <c r="D8055" s="1" t="str">
        <f>"H082"</f>
        <v>H082</v>
      </c>
      <c r="E8055" s="1" t="s">
        <v>4566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</row>
    <row r="8056" spans="1:11" x14ac:dyDescent="0.2">
      <c r="A8056" s="1" t="s">
        <v>2774</v>
      </c>
      <c r="B8056" s="1" t="s">
        <v>2796</v>
      </c>
      <c r="C8056" s="1" t="str">
        <f>"66298902599911"</f>
        <v>66298902599911</v>
      </c>
      <c r="D8056" s="1" t="str">
        <f>"H076"</f>
        <v>H076</v>
      </c>
      <c r="E8056" s="1" t="s">
        <v>4566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</row>
    <row r="8057" spans="1:11" x14ac:dyDescent="0.2">
      <c r="A8057" s="1" t="s">
        <v>18</v>
      </c>
      <c r="B8057" s="1" t="s">
        <v>2797</v>
      </c>
      <c r="C8057" s="1" t="str">
        <f>"66298902647192"</f>
        <v>66298902647192</v>
      </c>
      <c r="D8057" s="1" t="str">
        <f>"R058"</f>
        <v>R058</v>
      </c>
      <c r="E8057" s="1" t="s">
        <v>4566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</row>
    <row r="8058" spans="1:11" x14ac:dyDescent="0.2">
      <c r="A8058" s="1" t="s">
        <v>15</v>
      </c>
      <c r="B8058" s="1" t="s">
        <v>2798</v>
      </c>
      <c r="C8058" s="1" t="str">
        <f>"15AFE5"</f>
        <v>15AFE5</v>
      </c>
      <c r="D8058" s="1" t="str">
        <f>"15AFE5"</f>
        <v>15AFE5</v>
      </c>
      <c r="E8058" s="1" t="s">
        <v>4566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</row>
    <row r="8059" spans="1:11" x14ac:dyDescent="0.2">
      <c r="A8059" s="1" t="s">
        <v>15</v>
      </c>
      <c r="B8059" s="1" t="s">
        <v>2799</v>
      </c>
      <c r="C8059" s="1" t="str">
        <f>"800644"</f>
        <v>800644</v>
      </c>
      <c r="D8059" s="1" t="str">
        <f>"800644"</f>
        <v>800644</v>
      </c>
      <c r="E8059" s="1" t="s">
        <v>4566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</row>
    <row r="8060" spans="1:11" x14ac:dyDescent="0.2">
      <c r="A8060" s="1" t="s">
        <v>15</v>
      </c>
      <c r="B8060" s="1" t="s">
        <v>2800</v>
      </c>
      <c r="C8060" s="1" t="str">
        <f>"800645"</f>
        <v>800645</v>
      </c>
      <c r="D8060" s="1" t="str">
        <f>"800645"</f>
        <v>800645</v>
      </c>
      <c r="E8060" s="1" t="s">
        <v>4566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</row>
    <row r="8061" spans="1:11" x14ac:dyDescent="0.2">
      <c r="A8061" s="1" t="s">
        <v>15</v>
      </c>
      <c r="B8061" s="1" t="s">
        <v>2801</v>
      </c>
      <c r="C8061" s="1" t="str">
        <f>"800643"</f>
        <v>800643</v>
      </c>
      <c r="D8061" s="1" t="str">
        <f>"800643"</f>
        <v>800643</v>
      </c>
      <c r="E8061" s="1" t="s">
        <v>4566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</row>
    <row r="8062" spans="1:11" x14ac:dyDescent="0.2">
      <c r="A8062" s="1" t="s">
        <v>15</v>
      </c>
      <c r="B8062" s="1" t="s">
        <v>2802</v>
      </c>
      <c r="C8062" s="1" t="str">
        <f>"66298902734887"</f>
        <v>66298902734887</v>
      </c>
      <c r="D8062" s="1" t="str">
        <f>"1591"</f>
        <v>1591</v>
      </c>
      <c r="E8062" s="1" t="s">
        <v>4566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</row>
    <row r="8063" spans="1:11" x14ac:dyDescent="0.2">
      <c r="A8063" s="1" t="s">
        <v>15</v>
      </c>
      <c r="B8063" s="1" t="s">
        <v>2803</v>
      </c>
      <c r="C8063" s="1" t="str">
        <f>"66298902771948"</f>
        <v>66298902771948</v>
      </c>
      <c r="D8063" s="1" t="str">
        <f>"1592"</f>
        <v>1592</v>
      </c>
      <c r="E8063" s="1" t="s">
        <v>4566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</row>
    <row r="8064" spans="1:11" x14ac:dyDescent="0.2">
      <c r="A8064" s="1" t="s">
        <v>15</v>
      </c>
      <c r="B8064" s="1" t="s">
        <v>2804</v>
      </c>
      <c r="C8064" s="1" t="str">
        <f>"RPP9004BPB"</f>
        <v>RPP9004BPB</v>
      </c>
      <c r="D8064" s="1" t="str">
        <f>"RPP9004BPB"</f>
        <v>RPP9004BPB</v>
      </c>
      <c r="E8064" s="1" t="s">
        <v>4566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</row>
    <row r="8065" spans="1:11" x14ac:dyDescent="0.2">
      <c r="A8065" s="1" t="s">
        <v>15</v>
      </c>
      <c r="B8065" s="1" t="s">
        <v>2805</v>
      </c>
      <c r="C8065" s="1" t="str">
        <f>"66298902852569"</f>
        <v>66298902852569</v>
      </c>
      <c r="D8065" s="1" t="str">
        <f>"715W98"</f>
        <v>715W98</v>
      </c>
      <c r="E8065" s="1" t="s">
        <v>4566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</row>
    <row r="8066" spans="1:11" x14ac:dyDescent="0.2">
      <c r="A8066" s="1" t="s">
        <v>15</v>
      </c>
      <c r="B8066" s="1" t="s">
        <v>2806</v>
      </c>
      <c r="C8066" s="1" t="str">
        <f>"10949"</f>
        <v>10949</v>
      </c>
      <c r="D8066" s="1" t="str">
        <f>"10949"</f>
        <v>10949</v>
      </c>
      <c r="E8066" s="1" t="s">
        <v>4566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1</v>
      </c>
    </row>
    <row r="8067" spans="1:11" x14ac:dyDescent="0.2">
      <c r="A8067" s="1" t="s">
        <v>15</v>
      </c>
      <c r="B8067" s="1" t="s">
        <v>2807</v>
      </c>
      <c r="C8067" s="1" t="str">
        <f>"12139"</f>
        <v>12139</v>
      </c>
      <c r="D8067" s="1" t="str">
        <f>"12139"</f>
        <v>12139</v>
      </c>
      <c r="E8067" s="1" t="s">
        <v>4566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1</v>
      </c>
    </row>
    <row r="8068" spans="1:11" x14ac:dyDescent="0.2">
      <c r="A8068" s="1" t="s">
        <v>15</v>
      </c>
      <c r="B8068" s="1" t="s">
        <v>2808</v>
      </c>
      <c r="C8068" s="1" t="str">
        <f>"11631"</f>
        <v>11631</v>
      </c>
      <c r="D8068" s="1" t="str">
        <f>"11631"</f>
        <v>11631</v>
      </c>
      <c r="E8068" s="1" t="s">
        <v>4566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1</v>
      </c>
    </row>
    <row r="8069" spans="1:11" ht="30" x14ac:dyDescent="0.2">
      <c r="A8069" s="1" t="s">
        <v>15</v>
      </c>
      <c r="B8069" s="1" t="s">
        <v>2809</v>
      </c>
      <c r="C8069" s="1" t="str">
        <f>"6010229"</f>
        <v>6010229</v>
      </c>
      <c r="D8069" s="1" t="str">
        <f>"6010229"</f>
        <v>6010229</v>
      </c>
      <c r="E8069" s="1" t="s">
        <v>4566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</row>
    <row r="8070" spans="1:11" x14ac:dyDescent="0.2">
      <c r="A8070" s="1" t="s">
        <v>15</v>
      </c>
      <c r="B8070" s="1" t="s">
        <v>2810</v>
      </c>
      <c r="C8070" s="1" t="str">
        <f>"66298902946003"</f>
        <v>66298902946003</v>
      </c>
      <c r="D8070" s="1" t="str">
        <f>"102982"</f>
        <v>102982</v>
      </c>
      <c r="E8070" s="1" t="s">
        <v>4566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</row>
    <row r="8071" spans="1:11" x14ac:dyDescent="0.2">
      <c r="A8071" s="1" t="s">
        <v>15</v>
      </c>
      <c r="B8071" s="1" t="s">
        <v>2810</v>
      </c>
      <c r="C8071" s="1" t="str">
        <f>"66298902963002"</f>
        <v>66298902963002</v>
      </c>
      <c r="D8071" s="1" t="str">
        <f>"6010148"</f>
        <v>6010148</v>
      </c>
      <c r="E8071" s="1" t="s">
        <v>4566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</row>
    <row r="8072" spans="1:11" ht="30" x14ac:dyDescent="0.2">
      <c r="A8072" s="1" t="s">
        <v>15</v>
      </c>
      <c r="B8072" s="1" t="s">
        <v>2811</v>
      </c>
      <c r="C8072" s="1" t="str">
        <f>"6010149"</f>
        <v>6010149</v>
      </c>
      <c r="D8072" s="1" t="str">
        <f>"6010149"</f>
        <v>6010149</v>
      </c>
      <c r="E8072" s="1" t="s">
        <v>4566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</row>
    <row r="8073" spans="1:11" x14ac:dyDescent="0.2">
      <c r="A8073" s="1" t="s">
        <v>98</v>
      </c>
      <c r="B8073" s="1" t="s">
        <v>2812</v>
      </c>
      <c r="C8073" s="1" t="str">
        <f>"123617"</f>
        <v>123617</v>
      </c>
      <c r="D8073" s="1" t="str">
        <f>"123617"</f>
        <v>123617</v>
      </c>
      <c r="E8073" s="1" t="s">
        <v>4566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</row>
    <row r="8074" spans="1:11" x14ac:dyDescent="0.2">
      <c r="A8074" s="1" t="s">
        <v>1567</v>
      </c>
      <c r="B8074" s="1" t="s">
        <v>2813</v>
      </c>
      <c r="C8074" s="1" t="str">
        <f>"IM-352981"</f>
        <v>IM-352981</v>
      </c>
      <c r="D8074" s="1" t="str">
        <f>"IM-352981"</f>
        <v>IM-352981</v>
      </c>
      <c r="E8074" s="1" t="s">
        <v>4566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</row>
    <row r="8075" spans="1:11" x14ac:dyDescent="0.2">
      <c r="B8075" s="1" t="s">
        <v>2814</v>
      </c>
    </row>
    <row r="8076" spans="1:11" x14ac:dyDescent="0.2">
      <c r="B8076" s="1" t="s">
        <v>2815</v>
      </c>
    </row>
    <row r="8077" spans="1:11" x14ac:dyDescent="0.2">
      <c r="B8077" s="1" t="s">
        <v>1571</v>
      </c>
    </row>
    <row r="8078" spans="1:11" x14ac:dyDescent="0.2">
      <c r="B8078" s="1" t="s">
        <v>2816</v>
      </c>
    </row>
    <row r="8079" spans="1:11" x14ac:dyDescent="0.2">
      <c r="B8079" s="1" t="s">
        <v>2817</v>
      </c>
    </row>
    <row r="8080" spans="1:11" x14ac:dyDescent="0.2">
      <c r="B8080" s="1" t="s">
        <v>1574</v>
      </c>
    </row>
    <row r="8081" spans="1:11" x14ac:dyDescent="0.2">
      <c r="B8081" s="1" t="s">
        <v>1575</v>
      </c>
    </row>
    <row r="8082" spans="1:11" x14ac:dyDescent="0.2">
      <c r="B8082" s="1" t="s">
        <v>2818</v>
      </c>
    </row>
    <row r="8083" spans="1:11" x14ac:dyDescent="0.2">
      <c r="B8083" s="1" t="s">
        <v>2819</v>
      </c>
    </row>
    <row r="8084" spans="1:11" x14ac:dyDescent="0.2">
      <c r="A8084" s="1" t="s">
        <v>18</v>
      </c>
      <c r="B8084" s="1" t="s">
        <v>2820</v>
      </c>
      <c r="C8084" s="1" t="str">
        <f>"66298903060104"</f>
        <v>66298903060104</v>
      </c>
      <c r="D8084" s="1" t="str">
        <f>"Y298"</f>
        <v>Y298</v>
      </c>
      <c r="E8084" s="1" t="s">
        <v>4566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</row>
    <row r="8085" spans="1:11" x14ac:dyDescent="0.2">
      <c r="A8085" s="1" t="s">
        <v>18</v>
      </c>
      <c r="B8085" s="1" t="s">
        <v>2821</v>
      </c>
      <c r="C8085" s="1" t="str">
        <f>"MALE-UNIV"</f>
        <v>MALE-UNIV</v>
      </c>
      <c r="D8085" s="1" t="str">
        <f>"MALE-UNIV"</f>
        <v>MALE-UNIV</v>
      </c>
      <c r="E8085" s="1" t="s">
        <v>4566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</row>
    <row r="8086" spans="1:11" x14ac:dyDescent="0.2">
      <c r="A8086" s="1" t="s">
        <v>18</v>
      </c>
      <c r="B8086" s="1" t="s">
        <v>2822</v>
      </c>
      <c r="C8086" s="1" t="str">
        <f>"66298903101694"</f>
        <v>66298903101694</v>
      </c>
      <c r="D8086" s="1" t="str">
        <f>"1351XL"</f>
        <v>1351XL</v>
      </c>
      <c r="E8086" s="1" t="s">
        <v>4566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</row>
    <row r="8087" spans="1:11" x14ac:dyDescent="0.2">
      <c r="A8087" s="1" t="s">
        <v>18</v>
      </c>
      <c r="B8087" s="1" t="s">
        <v>2822</v>
      </c>
      <c r="C8087" s="1" t="str">
        <f>"66298903109622"</f>
        <v>66298903109622</v>
      </c>
      <c r="D8087" s="1" t="str">
        <f>"75XL"</f>
        <v>75XL</v>
      </c>
      <c r="E8087" s="1" t="s">
        <v>4566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</row>
    <row r="8088" spans="1:11" x14ac:dyDescent="0.2">
      <c r="A8088" s="1" t="s">
        <v>18</v>
      </c>
      <c r="B8088" s="1" t="s">
        <v>2822</v>
      </c>
      <c r="C8088" s="1" t="str">
        <f>"0184"</f>
        <v>0184</v>
      </c>
      <c r="D8088" s="1" t="str">
        <f>"0184"</f>
        <v>0184</v>
      </c>
      <c r="E8088" s="1" t="s">
        <v>4566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</row>
    <row r="8089" spans="1:11" x14ac:dyDescent="0.2">
      <c r="A8089" s="1" t="s">
        <v>18</v>
      </c>
      <c r="B8089" s="1" t="s">
        <v>2823</v>
      </c>
      <c r="C8089" s="1" t="str">
        <f>"66298903162996"</f>
        <v>66298903162996</v>
      </c>
      <c r="D8089" s="1" t="str">
        <f>"1351-2XL"</f>
        <v>1351-2XL</v>
      </c>
      <c r="E8089" s="1" t="s">
        <v>4566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</row>
    <row r="8090" spans="1:11" x14ac:dyDescent="0.2">
      <c r="A8090" s="1" t="s">
        <v>2824</v>
      </c>
      <c r="B8090" s="1" t="s">
        <v>2825</v>
      </c>
      <c r="C8090" s="1" t="str">
        <f>"MG-5.0-SL"</f>
        <v>MG-5.0-SL</v>
      </c>
      <c r="D8090" s="1" t="str">
        <f>"MG-5.0-SL"</f>
        <v>MG-5.0-SL</v>
      </c>
      <c r="E8090" s="1" t="s">
        <v>4566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</row>
    <row r="8091" spans="1:11" x14ac:dyDescent="0.2">
      <c r="A8091" s="1" t="s">
        <v>2824</v>
      </c>
      <c r="B8091" s="1" t="s">
        <v>2825</v>
      </c>
      <c r="C8091" s="1" t="str">
        <f>"BF005-1M"</f>
        <v>BF005-1M</v>
      </c>
      <c r="D8091" s="1" t="str">
        <f>"BF005-1M"</f>
        <v>BF005-1M</v>
      </c>
      <c r="E8091" s="1" t="s">
        <v>4566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</row>
    <row r="8092" spans="1:11" x14ac:dyDescent="0.2">
      <c r="A8092" s="1" t="s">
        <v>2826</v>
      </c>
      <c r="B8092" s="1" t="s">
        <v>2827</v>
      </c>
      <c r="C8092" s="1" t="str">
        <f>"BF005"</f>
        <v>BF005</v>
      </c>
      <c r="D8092" s="1" t="str">
        <f>"BF005"</f>
        <v>BF005</v>
      </c>
      <c r="E8092" s="1" t="s">
        <v>4566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</row>
    <row r="8093" spans="1:11" x14ac:dyDescent="0.2">
      <c r="A8093" s="1" t="s">
        <v>2824</v>
      </c>
      <c r="B8093" s="1" t="s">
        <v>2828</v>
      </c>
      <c r="C8093" s="1" t="str">
        <f>"BF005-50CM"</f>
        <v>BF005-50CM</v>
      </c>
      <c r="D8093" s="1" t="str">
        <f>"BF005-50CM"</f>
        <v>BF005-50CM</v>
      </c>
      <c r="E8093" s="1" t="s">
        <v>4566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</row>
    <row r="8094" spans="1:11" x14ac:dyDescent="0.2">
      <c r="A8094" s="1" t="s">
        <v>98</v>
      </c>
      <c r="B8094" s="1" t="s">
        <v>2829</v>
      </c>
      <c r="C8094" s="1" t="str">
        <f>"66298903207899"</f>
        <v>66298903207899</v>
      </c>
      <c r="D8094" s="1" t="str">
        <f>"83956"</f>
        <v>83956</v>
      </c>
      <c r="E8094" s="1" t="s">
        <v>4566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</row>
    <row r="8095" spans="1:11" x14ac:dyDescent="0.2">
      <c r="A8095" s="1" t="s">
        <v>98</v>
      </c>
      <c r="B8095" s="1" t="s">
        <v>2830</v>
      </c>
      <c r="C8095" s="1" t="str">
        <f>"66298903256130"</f>
        <v>66298903256130</v>
      </c>
      <c r="D8095" s="1" t="str">
        <f>"83824"</f>
        <v>83824</v>
      </c>
      <c r="E8095" s="1" t="s">
        <v>4566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</row>
    <row r="8096" spans="1:11" x14ac:dyDescent="0.2">
      <c r="A8096" s="1" t="s">
        <v>2831</v>
      </c>
      <c r="B8096" s="1" t="s">
        <v>2832</v>
      </c>
      <c r="C8096" s="1" t="str">
        <f>"66298903301687"</f>
        <v>66298903301687</v>
      </c>
      <c r="D8096" s="1" t="str">
        <f>"401033"</f>
        <v>401033</v>
      </c>
      <c r="E8096" s="1" t="s">
        <v>4566</v>
      </c>
      <c r="F8096" s="1">
        <v>75</v>
      </c>
      <c r="G8096" s="1">
        <v>573</v>
      </c>
      <c r="H8096" s="1">
        <v>42975</v>
      </c>
      <c r="I8096" s="1">
        <v>0</v>
      </c>
      <c r="J8096" s="1">
        <v>75</v>
      </c>
      <c r="K8096" s="1">
        <v>0</v>
      </c>
    </row>
    <row r="8097" spans="1:11" x14ac:dyDescent="0.2">
      <c r="A8097" s="1" t="s">
        <v>2831</v>
      </c>
      <c r="B8097" s="1" t="s">
        <v>2833</v>
      </c>
      <c r="C8097" s="1" t="str">
        <f>"66298903343009"</f>
        <v>66298903343009</v>
      </c>
      <c r="D8097" s="1" t="str">
        <f>"QC025"</f>
        <v>QC025</v>
      </c>
      <c r="E8097" s="1" t="s">
        <v>4566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</row>
    <row r="8098" spans="1:11" x14ac:dyDescent="0.2">
      <c r="A8098" s="1" t="s">
        <v>2831</v>
      </c>
      <c r="B8098" s="1" t="s">
        <v>2834</v>
      </c>
      <c r="C8098" s="1" t="str">
        <f>"QC041"</f>
        <v>QC041</v>
      </c>
      <c r="D8098" s="1" t="str">
        <f>"QC041"</f>
        <v>QC041</v>
      </c>
      <c r="E8098" s="1" t="s">
        <v>4566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</row>
    <row r="8099" spans="1:11" ht="30" x14ac:dyDescent="0.2">
      <c r="A8099" s="1" t="s">
        <v>2831</v>
      </c>
      <c r="B8099" s="1" t="s">
        <v>2835</v>
      </c>
      <c r="C8099" s="1" t="str">
        <f>"66298903394200"</f>
        <v>66298903394200</v>
      </c>
      <c r="D8099" s="1" t="str">
        <f>"708-EMB-DOMINAR"</f>
        <v>708-EMB-DOMINAR</v>
      </c>
      <c r="E8099" s="1" t="s">
        <v>4566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</row>
    <row r="8100" spans="1:11" x14ac:dyDescent="0.2">
      <c r="A8100" s="1" t="s">
        <v>2831</v>
      </c>
      <c r="B8100" s="1" t="s">
        <v>2836</v>
      </c>
      <c r="C8100" s="1" t="str">
        <f>"66298903438511"</f>
        <v>66298903438511</v>
      </c>
      <c r="D8100" s="1" t="str">
        <f>"LCS120SILVE"</f>
        <v>LCS120SILVE</v>
      </c>
      <c r="E8100" s="1" t="s">
        <v>4566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</row>
    <row r="8101" spans="1:11" ht="30" x14ac:dyDescent="0.2">
      <c r="A8101" s="1" t="s">
        <v>2831</v>
      </c>
      <c r="B8101" s="1" t="s">
        <v>2837</v>
      </c>
      <c r="C8101" s="1" t="str">
        <f>"66298903483697"</f>
        <v>66298903483697</v>
      </c>
      <c r="D8101" s="1" t="str">
        <f>"400458"</f>
        <v>400458</v>
      </c>
      <c r="E8101" s="1" t="s">
        <v>4566</v>
      </c>
      <c r="F8101" s="1">
        <v>600</v>
      </c>
      <c r="G8101" s="1">
        <v>525</v>
      </c>
      <c r="H8101" s="1">
        <v>315000</v>
      </c>
      <c r="I8101" s="1">
        <v>0</v>
      </c>
      <c r="J8101" s="1">
        <v>600</v>
      </c>
      <c r="K8101" s="1">
        <v>0</v>
      </c>
    </row>
    <row r="8102" spans="1:11" x14ac:dyDescent="0.2">
      <c r="A8102" s="1" t="s">
        <v>2831</v>
      </c>
      <c r="B8102" s="1" t="s">
        <v>2838</v>
      </c>
      <c r="C8102" s="1" t="str">
        <f>"12344-EMBRAGUE"</f>
        <v>12344-EMBRAGUE</v>
      </c>
      <c r="D8102" s="1" t="str">
        <f>"12344-EMBRAGUE"</f>
        <v>12344-EMBRAGUE</v>
      </c>
      <c r="E8102" s="1" t="s">
        <v>4566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</row>
    <row r="8103" spans="1:11" x14ac:dyDescent="0.2">
      <c r="A8103" s="1" t="s">
        <v>2831</v>
      </c>
      <c r="B8103" s="1" t="s">
        <v>2839</v>
      </c>
      <c r="C8103" s="1" t="str">
        <f>"66298903525941"</f>
        <v>66298903525941</v>
      </c>
      <c r="D8103" s="1" t="str">
        <f>"3HE839120000T"</f>
        <v>3HE839120000T</v>
      </c>
      <c r="E8103" s="1" t="s">
        <v>4566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</row>
    <row r="8104" spans="1:11" x14ac:dyDescent="0.2">
      <c r="A8104" s="1" t="s">
        <v>2831</v>
      </c>
      <c r="B8104" s="1" t="s">
        <v>2840</v>
      </c>
      <c r="C8104" s="1" t="str">
        <f>"QC047"</f>
        <v>QC047</v>
      </c>
      <c r="D8104" s="1" t="str">
        <f>"QC047"</f>
        <v>QC047</v>
      </c>
      <c r="E8104" s="1" t="s">
        <v>4566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</row>
    <row r="8105" spans="1:11" x14ac:dyDescent="0.2">
      <c r="A8105" s="1" t="s">
        <v>2831</v>
      </c>
      <c r="B8105" s="1" t="s">
        <v>2841</v>
      </c>
      <c r="C8105" s="1" t="str">
        <f>"66298903569126"</f>
        <v>66298903569126</v>
      </c>
      <c r="D8105" s="1" t="str">
        <f>"400459"</f>
        <v>400459</v>
      </c>
      <c r="E8105" s="1" t="s">
        <v>4566</v>
      </c>
      <c r="F8105" s="1">
        <v>790</v>
      </c>
      <c r="G8105" s="1">
        <v>444</v>
      </c>
      <c r="H8105" s="1">
        <v>350760</v>
      </c>
      <c r="I8105" s="1">
        <v>0</v>
      </c>
      <c r="J8105" s="1">
        <v>790</v>
      </c>
      <c r="K8105" s="1">
        <v>0</v>
      </c>
    </row>
    <row r="8106" spans="1:11" x14ac:dyDescent="0.2">
      <c r="A8106" s="1" t="s">
        <v>2831</v>
      </c>
      <c r="B8106" s="1" t="s">
        <v>2842</v>
      </c>
      <c r="C8106" s="1" t="str">
        <f>"66298903606889"</f>
        <v>66298903606889</v>
      </c>
      <c r="D8106" s="1" t="str">
        <f>"LCK007BLK"</f>
        <v>LCK007BLK</v>
      </c>
      <c r="E8106" s="1" t="s">
        <v>4566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</row>
    <row r="8107" spans="1:11" x14ac:dyDescent="0.2">
      <c r="A8107" s="1" t="s">
        <v>2831</v>
      </c>
      <c r="B8107" s="1" t="s">
        <v>2843</v>
      </c>
      <c r="C8107" s="1" t="str">
        <f>"66298903644718"</f>
        <v>66298903644718</v>
      </c>
      <c r="D8107" s="1" t="str">
        <f>"LCS011BLK"</f>
        <v>LCS011BLK</v>
      </c>
      <c r="E8107" s="1" t="s">
        <v>4566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</row>
    <row r="8108" spans="1:11" x14ac:dyDescent="0.2">
      <c r="A8108" s="1" t="s">
        <v>2831</v>
      </c>
      <c r="B8108" s="1" t="s">
        <v>2844</v>
      </c>
      <c r="C8108" s="1" t="str">
        <f>"66298903685437"</f>
        <v>66298903685437</v>
      </c>
      <c r="D8108" s="1" t="str">
        <f>"LCS043SILVE"</f>
        <v>LCS043SILVE</v>
      </c>
      <c r="E8108" s="1" t="s">
        <v>4566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</row>
    <row r="8109" spans="1:11" x14ac:dyDescent="0.2">
      <c r="A8109" s="1" t="s">
        <v>2831</v>
      </c>
      <c r="B8109" s="1" t="s">
        <v>2845</v>
      </c>
      <c r="C8109" s="1" t="str">
        <f>"57621H2A200H000"</f>
        <v>57621H2A200H000</v>
      </c>
      <c r="D8109" s="1" t="str">
        <f>"57621H2A200H000"</f>
        <v>57621H2A200H000</v>
      </c>
      <c r="E8109" s="1" t="s">
        <v>4566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</row>
    <row r="8110" spans="1:11" x14ac:dyDescent="0.2">
      <c r="A8110" s="1" t="s">
        <v>2831</v>
      </c>
      <c r="B8110" s="1" t="s">
        <v>2846</v>
      </c>
      <c r="C8110" s="1" t="str">
        <f>"66298903725700"</f>
        <v>66298903725700</v>
      </c>
      <c r="D8110" s="1" t="str">
        <f>"46092-0007"</f>
        <v>46092-0007</v>
      </c>
      <c r="E8110" s="1" t="s">
        <v>4566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</row>
    <row r="8111" spans="1:11" x14ac:dyDescent="0.2">
      <c r="A8111" s="1" t="s">
        <v>2831</v>
      </c>
      <c r="B8111" s="1" t="s">
        <v>2847</v>
      </c>
      <c r="C8111" s="1" t="str">
        <f>"57621H2J000H000"</f>
        <v>57621H2J000H000</v>
      </c>
      <c r="D8111" s="1" t="str">
        <f>"57621H2J000H000"</f>
        <v>57621H2J000H000</v>
      </c>
      <c r="E8111" s="1" t="s">
        <v>4566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</row>
    <row r="8112" spans="1:11" x14ac:dyDescent="0.2">
      <c r="A8112" s="1" t="s">
        <v>2831</v>
      </c>
      <c r="B8112" s="1" t="s">
        <v>2848</v>
      </c>
      <c r="C8112" s="1" t="str">
        <f>"DJ191083"</f>
        <v>DJ191083</v>
      </c>
      <c r="D8112" s="1" t="str">
        <f>"DJ191083"</f>
        <v>DJ191083</v>
      </c>
      <c r="E8112" s="1" t="s">
        <v>4566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</row>
    <row r="8113" spans="1:11" x14ac:dyDescent="0.2">
      <c r="A8113" s="1" t="s">
        <v>2831</v>
      </c>
      <c r="B8113" s="1" t="s">
        <v>2849</v>
      </c>
      <c r="C8113" s="1" t="str">
        <f>"66298903764968"</f>
        <v>66298903764968</v>
      </c>
      <c r="D8113" s="1" t="str">
        <f>"82612"</f>
        <v>82612</v>
      </c>
      <c r="E8113" s="1" t="s">
        <v>4566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</row>
    <row r="8114" spans="1:11" x14ac:dyDescent="0.2">
      <c r="A8114" s="1" t="s">
        <v>2831</v>
      </c>
      <c r="B8114" s="1" t="s">
        <v>2850</v>
      </c>
      <c r="C8114" s="1" t="str">
        <f>"66298903806013"</f>
        <v>66298903806013</v>
      </c>
      <c r="D8114" s="1" t="str">
        <f>"214-83912-00"</f>
        <v>214-83912-00</v>
      </c>
      <c r="E8114" s="1" t="s">
        <v>4566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</row>
    <row r="8115" spans="1:11" x14ac:dyDescent="0.2">
      <c r="A8115" s="1" t="s">
        <v>2831</v>
      </c>
      <c r="B8115" s="1" t="s">
        <v>2851</v>
      </c>
      <c r="C8115" s="1" t="str">
        <f>"66298903851359"</f>
        <v>66298903851359</v>
      </c>
      <c r="D8115" s="1" t="str">
        <f>"400460"</f>
        <v>400460</v>
      </c>
      <c r="E8115" s="1" t="s">
        <v>4566</v>
      </c>
      <c r="F8115" s="1">
        <v>845</v>
      </c>
      <c r="G8115" s="1">
        <v>565</v>
      </c>
      <c r="H8115" s="1">
        <v>477425</v>
      </c>
      <c r="I8115" s="1">
        <v>0</v>
      </c>
      <c r="J8115" s="1">
        <v>845</v>
      </c>
      <c r="K8115" s="1">
        <v>0</v>
      </c>
    </row>
    <row r="8116" spans="1:11" x14ac:dyDescent="0.2">
      <c r="A8116" s="1" t="s">
        <v>2831</v>
      </c>
      <c r="B8116" s="1" t="s">
        <v>2852</v>
      </c>
      <c r="C8116" s="1" t="str">
        <f>"66298903891696"</f>
        <v>66298903891696</v>
      </c>
      <c r="D8116" s="1" t="str">
        <f>"LCH040BLK"</f>
        <v>LCH040BLK</v>
      </c>
      <c r="E8116" s="1" t="s">
        <v>4566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</row>
    <row r="8117" spans="1:11" x14ac:dyDescent="0.2">
      <c r="A8117" s="1" t="s">
        <v>2831</v>
      </c>
      <c r="B8117" s="1" t="s">
        <v>2853</v>
      </c>
      <c r="C8117" s="1" t="str">
        <f>"66298903932040"</f>
        <v>66298903932040</v>
      </c>
      <c r="D8117" s="1" t="str">
        <f>"53178-KE8-006"</f>
        <v>53178-KE8-006</v>
      </c>
      <c r="E8117" s="1" t="s">
        <v>4566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</row>
    <row r="8118" spans="1:11" x14ac:dyDescent="0.2">
      <c r="A8118" s="1" t="s">
        <v>2831</v>
      </c>
      <c r="B8118" s="1" t="s">
        <v>2854</v>
      </c>
      <c r="C8118" s="1" t="str">
        <f>"66298903968112"</f>
        <v>66298903968112</v>
      </c>
      <c r="D8118" s="1" t="str">
        <f>"5TJ-83912-80"</f>
        <v>5TJ-83912-80</v>
      </c>
      <c r="E8118" s="1" t="s">
        <v>4566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</row>
    <row r="8119" spans="1:11" x14ac:dyDescent="0.2">
      <c r="A8119" s="1" t="s">
        <v>2831</v>
      </c>
      <c r="B8119" s="1" t="s">
        <v>2855</v>
      </c>
      <c r="C8119" s="1" t="str">
        <f>"66298904014132"</f>
        <v>66298904014132</v>
      </c>
      <c r="D8119" s="1" t="str">
        <f>"53178-KBR-000"</f>
        <v>53178-KBR-000</v>
      </c>
      <c r="E8119" s="1" t="s">
        <v>4566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</row>
    <row r="8120" spans="1:11" x14ac:dyDescent="0.2">
      <c r="A8120" s="1" t="s">
        <v>2831</v>
      </c>
      <c r="B8120" s="1" t="s">
        <v>2856</v>
      </c>
      <c r="C8120" s="1" t="str">
        <f>"66298904057732"</f>
        <v>66298904057732</v>
      </c>
      <c r="D8120" s="1" t="str">
        <f>"QC011"</f>
        <v>QC011</v>
      </c>
      <c r="E8120" s="1" t="s">
        <v>4566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</row>
    <row r="8121" spans="1:11" x14ac:dyDescent="0.2">
      <c r="A8121" s="1" t="s">
        <v>2831</v>
      </c>
      <c r="B8121" s="1" t="s">
        <v>2857</v>
      </c>
      <c r="C8121" s="1" t="str">
        <f>"BR3083"</f>
        <v>BR3083</v>
      </c>
      <c r="D8121" s="1" t="str">
        <f>"BR3083"</f>
        <v>BR3083</v>
      </c>
      <c r="E8121" s="1" t="s">
        <v>4566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</row>
    <row r="8122" spans="1:11" x14ac:dyDescent="0.2">
      <c r="A8122" s="1" t="s">
        <v>2831</v>
      </c>
      <c r="B8122" s="1" t="s">
        <v>2858</v>
      </c>
      <c r="C8122" s="1" t="str">
        <f>"66298904154567"</f>
        <v>66298904154567</v>
      </c>
      <c r="D8122" s="1" t="str">
        <f>"LCH117SILVE"</f>
        <v>LCH117SILVE</v>
      </c>
      <c r="E8122" s="1" t="s">
        <v>4566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</row>
    <row r="8123" spans="1:11" x14ac:dyDescent="0.2">
      <c r="A8123" s="1" t="s">
        <v>2831</v>
      </c>
      <c r="B8123" s="1" t="s">
        <v>2859</v>
      </c>
      <c r="C8123" s="1" t="str">
        <f>"66298904222832"</f>
        <v>66298904222832</v>
      </c>
      <c r="D8123" s="1" t="str">
        <f>"400462"</f>
        <v>400462</v>
      </c>
      <c r="E8123" s="1" t="s">
        <v>4566</v>
      </c>
      <c r="F8123" s="1">
        <v>688</v>
      </c>
      <c r="G8123" s="1">
        <v>570</v>
      </c>
      <c r="H8123" s="1">
        <v>392160</v>
      </c>
      <c r="I8123" s="1">
        <v>0</v>
      </c>
      <c r="J8123" s="1">
        <v>688</v>
      </c>
      <c r="K8123" s="1">
        <v>0</v>
      </c>
    </row>
    <row r="8124" spans="1:11" x14ac:dyDescent="0.2">
      <c r="A8124" s="1" t="s">
        <v>2831</v>
      </c>
      <c r="B8124" s="1" t="s">
        <v>2860</v>
      </c>
      <c r="C8124" s="1" t="str">
        <f>"66298904102005"</f>
        <v>66298904102005</v>
      </c>
      <c r="D8124" s="1" t="str">
        <f>"400461"</f>
        <v>400461</v>
      </c>
      <c r="E8124" s="1" t="s">
        <v>4566</v>
      </c>
      <c r="F8124" s="1">
        <v>780</v>
      </c>
      <c r="G8124" s="1">
        <v>565</v>
      </c>
      <c r="H8124" s="1">
        <v>440700</v>
      </c>
      <c r="I8124" s="1">
        <v>0</v>
      </c>
      <c r="J8124" s="1">
        <v>780</v>
      </c>
      <c r="K8124" s="1">
        <v>0</v>
      </c>
    </row>
    <row r="8125" spans="1:11" x14ac:dyDescent="0.2">
      <c r="A8125" s="1" t="s">
        <v>2831</v>
      </c>
      <c r="B8125" s="1" t="s">
        <v>2861</v>
      </c>
      <c r="C8125" s="1" t="str">
        <f>"66298904263137"</f>
        <v>66298904263137</v>
      </c>
      <c r="D8125" s="1" t="str">
        <f>"LCY136SILVE"</f>
        <v>LCY136SILVE</v>
      </c>
      <c r="E8125" s="1" t="s">
        <v>4566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</row>
    <row r="8126" spans="1:11" x14ac:dyDescent="0.2">
      <c r="A8126" s="1" t="s">
        <v>2831</v>
      </c>
      <c r="B8126" s="1" t="s">
        <v>2862</v>
      </c>
      <c r="C8126" s="1" t="str">
        <f>"49CC15"</f>
        <v>49CC15</v>
      </c>
      <c r="D8126" s="1" t="str">
        <f>"49CC15"</f>
        <v>49CC15</v>
      </c>
      <c r="E8126" s="1" t="s">
        <v>4566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</row>
    <row r="8127" spans="1:11" ht="30" x14ac:dyDescent="0.2">
      <c r="A8127" s="1" t="s">
        <v>2831</v>
      </c>
      <c r="B8127" s="1" t="s">
        <v>2863</v>
      </c>
      <c r="C8127" s="1" t="str">
        <f>"QC042"</f>
        <v>QC042</v>
      </c>
      <c r="D8127" s="1" t="str">
        <f>"QC042"</f>
        <v>QC042</v>
      </c>
      <c r="E8127" s="1" t="s">
        <v>4566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</row>
    <row r="8128" spans="1:11" x14ac:dyDescent="0.2">
      <c r="A8128" s="1" t="s">
        <v>2831</v>
      </c>
      <c r="B8128" s="1" t="s">
        <v>2864</v>
      </c>
      <c r="C8128" s="1" t="str">
        <f>"66298904304453"</f>
        <v>66298904304453</v>
      </c>
      <c r="D8128" s="1" t="str">
        <f>"53175-198-900GH"</f>
        <v>53175-198-900GH</v>
      </c>
      <c r="E8128" s="1" t="s">
        <v>4566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</row>
    <row r="8129" spans="1:11" x14ac:dyDescent="0.2">
      <c r="A8129" s="1" t="s">
        <v>2831</v>
      </c>
      <c r="B8129" s="1" t="s">
        <v>2865</v>
      </c>
      <c r="C8129" s="1" t="str">
        <f>"66298904351574"</f>
        <v>66298904351574</v>
      </c>
      <c r="D8129" s="1" t="str">
        <f>"0553"</f>
        <v>0553</v>
      </c>
      <c r="E8129" s="1" t="s">
        <v>4566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</row>
    <row r="8130" spans="1:11" x14ac:dyDescent="0.2">
      <c r="A8130" s="1" t="s">
        <v>2831</v>
      </c>
      <c r="B8130" s="1" t="s">
        <v>2866</v>
      </c>
      <c r="C8130" s="1" t="str">
        <f>"66298904393088"</f>
        <v>66298904393088</v>
      </c>
      <c r="D8130" s="1" t="str">
        <f>"53175-ML3-790"</f>
        <v>53175-ML3-790</v>
      </c>
      <c r="E8130" s="1" t="s">
        <v>4566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</row>
    <row r="8131" spans="1:11" x14ac:dyDescent="0.2">
      <c r="A8131" s="1" t="s">
        <v>2831</v>
      </c>
      <c r="B8131" s="1" t="s">
        <v>2867</v>
      </c>
      <c r="C8131" s="1" t="str">
        <f>"66298904434248"</f>
        <v>66298904434248</v>
      </c>
      <c r="D8131" s="1" t="str">
        <f>"LBH102SILVE"</f>
        <v>LBH102SILVE</v>
      </c>
      <c r="E8131" s="1" t="s">
        <v>4566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</row>
    <row r="8132" spans="1:11" x14ac:dyDescent="0.2">
      <c r="A8132" s="1" t="s">
        <v>2831</v>
      </c>
      <c r="B8132" s="1" t="s">
        <v>2868</v>
      </c>
      <c r="C8132" s="1" t="str">
        <f>"66298904474239"</f>
        <v>66298904474239</v>
      </c>
      <c r="D8132" s="1" t="str">
        <f>"LBH117SILVE"</f>
        <v>LBH117SILVE</v>
      </c>
      <c r="E8132" s="1" t="s">
        <v>4566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</row>
    <row r="8133" spans="1:11" x14ac:dyDescent="0.2">
      <c r="A8133" s="1" t="s">
        <v>2831</v>
      </c>
      <c r="B8133" s="1" t="s">
        <v>2869</v>
      </c>
      <c r="C8133" s="1" t="str">
        <f>"66298904514027"</f>
        <v>66298904514027</v>
      </c>
      <c r="D8133" s="1" t="str">
        <f>"MAN-ATV-DEL"</f>
        <v>MAN-ATV-DEL</v>
      </c>
      <c r="E8133" s="1" t="s">
        <v>4566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</row>
    <row r="8134" spans="1:11" x14ac:dyDescent="0.2">
      <c r="A8134" s="1" t="s">
        <v>2831</v>
      </c>
      <c r="B8134" s="1" t="s">
        <v>2870</v>
      </c>
      <c r="C8134" s="1" t="str">
        <f>"66298904553788"</f>
        <v>66298904553788</v>
      </c>
      <c r="D8134" s="1" t="str">
        <f>"57421-29C00-000"</f>
        <v>57421-29C00-000</v>
      </c>
      <c r="E8134" s="1" t="s">
        <v>4566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</row>
    <row r="8135" spans="1:11" x14ac:dyDescent="0.2">
      <c r="A8135" s="1" t="s">
        <v>2831</v>
      </c>
      <c r="B8135" s="1" t="s">
        <v>2871</v>
      </c>
      <c r="C8135" s="1" t="str">
        <f>"66298904596279"</f>
        <v>66298904596279</v>
      </c>
      <c r="D8135" s="1" t="str">
        <f>"708"</f>
        <v>708</v>
      </c>
      <c r="E8135" s="1" t="s">
        <v>4566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</row>
    <row r="8136" spans="1:11" x14ac:dyDescent="0.2">
      <c r="A8136" s="1" t="s">
        <v>2831</v>
      </c>
      <c r="B8136" s="1" t="s">
        <v>2872</v>
      </c>
      <c r="C8136" s="1" t="str">
        <f>"66298904635853"</f>
        <v>66298904635853</v>
      </c>
      <c r="D8136" s="1" t="str">
        <f>"400475"</f>
        <v>400475</v>
      </c>
      <c r="E8136" s="1" t="s">
        <v>4566</v>
      </c>
      <c r="F8136" s="1">
        <v>770</v>
      </c>
      <c r="G8136" s="1">
        <v>546</v>
      </c>
      <c r="H8136" s="1">
        <v>420420</v>
      </c>
      <c r="I8136" s="1">
        <v>0</v>
      </c>
      <c r="J8136" s="1">
        <v>770</v>
      </c>
      <c r="K8136" s="1">
        <v>0</v>
      </c>
    </row>
    <row r="8137" spans="1:11" x14ac:dyDescent="0.2">
      <c r="A8137" s="1" t="s">
        <v>2831</v>
      </c>
      <c r="B8137" s="1" t="s">
        <v>2873</v>
      </c>
      <c r="C8137" s="1" t="str">
        <f>"12344-FRENO"</f>
        <v>12344-FRENO</v>
      </c>
      <c r="D8137" s="1" t="str">
        <f>"12344-FRENO"</f>
        <v>12344-FRENO</v>
      </c>
      <c r="E8137" s="1" t="s">
        <v>4566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</row>
    <row r="8138" spans="1:11" x14ac:dyDescent="0.2">
      <c r="A8138" s="1" t="s">
        <v>2831</v>
      </c>
      <c r="B8138" s="1" t="s">
        <v>2874</v>
      </c>
      <c r="C8138" s="1" t="str">
        <f>"66298904673979"</f>
        <v>66298904673979</v>
      </c>
      <c r="D8138" s="1" t="str">
        <f>"LBY020BLK"</f>
        <v>LBY020BLK</v>
      </c>
      <c r="E8138" s="1" t="s">
        <v>4566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</row>
    <row r="8139" spans="1:11" ht="30" x14ac:dyDescent="0.2">
      <c r="A8139" s="1" t="s">
        <v>2831</v>
      </c>
      <c r="B8139" s="1" t="s">
        <v>2875</v>
      </c>
      <c r="C8139" s="1" t="str">
        <f>"66298904717004"</f>
        <v>66298904717004</v>
      </c>
      <c r="D8139" s="1" t="str">
        <f>"400476"</f>
        <v>400476</v>
      </c>
      <c r="E8139" s="1" t="s">
        <v>4566</v>
      </c>
      <c r="F8139" s="1">
        <v>760</v>
      </c>
      <c r="G8139" s="1">
        <v>574</v>
      </c>
      <c r="H8139" s="1">
        <v>436240</v>
      </c>
      <c r="I8139" s="1">
        <v>0</v>
      </c>
      <c r="J8139" s="1">
        <v>760</v>
      </c>
      <c r="K8139" s="1">
        <v>0</v>
      </c>
    </row>
    <row r="8140" spans="1:11" x14ac:dyDescent="0.2">
      <c r="A8140" s="1" t="s">
        <v>2831</v>
      </c>
      <c r="B8140" s="1" t="s">
        <v>2876</v>
      </c>
      <c r="C8140" s="1" t="str">
        <f>"66298904756600"</f>
        <v>66298904756600</v>
      </c>
      <c r="D8140" s="1" t="str">
        <f>"400014"</f>
        <v>400014</v>
      </c>
      <c r="E8140" s="1" t="s">
        <v>4566</v>
      </c>
      <c r="F8140" s="1">
        <v>170</v>
      </c>
      <c r="G8140" s="1">
        <v>404</v>
      </c>
      <c r="H8140" s="1">
        <v>68680</v>
      </c>
      <c r="I8140" s="1">
        <v>0</v>
      </c>
      <c r="J8140" s="1">
        <v>170</v>
      </c>
      <c r="K8140" s="1">
        <v>0</v>
      </c>
    </row>
    <row r="8141" spans="1:11" x14ac:dyDescent="0.2">
      <c r="A8141" s="1" t="s">
        <v>2831</v>
      </c>
      <c r="B8141" s="1" t="s">
        <v>2877</v>
      </c>
      <c r="C8141" s="1" t="str">
        <f>"66298904794243"</f>
        <v>66298904794243</v>
      </c>
      <c r="D8141" s="1" t="str">
        <f>"LBS008BLK"</f>
        <v>LBS008BLK</v>
      </c>
      <c r="E8141" s="1" t="s">
        <v>4566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</row>
    <row r="8142" spans="1:11" x14ac:dyDescent="0.2">
      <c r="A8142" s="1" t="s">
        <v>2831</v>
      </c>
      <c r="B8142" s="1" t="s">
        <v>2878</v>
      </c>
      <c r="C8142" s="1" t="str">
        <f>"57621-42G11-000"</f>
        <v>57621-42G11-000</v>
      </c>
      <c r="D8142" s="1" t="str">
        <f>"57621-42G11-000"</f>
        <v>57621-42G11-000</v>
      </c>
      <c r="E8142" s="1" t="s">
        <v>4566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</row>
    <row r="8143" spans="1:11" x14ac:dyDescent="0.2">
      <c r="A8143" s="1" t="s">
        <v>2831</v>
      </c>
      <c r="B8143" s="1" t="s">
        <v>2879</v>
      </c>
      <c r="C8143" s="1" t="str">
        <f>"57421H45F10H000"</f>
        <v>57421H45F10H000</v>
      </c>
      <c r="D8143" s="1" t="str">
        <f>"57421H45F10H000"</f>
        <v>57421H45F10H000</v>
      </c>
      <c r="E8143" s="1" t="s">
        <v>4566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</row>
    <row r="8144" spans="1:11" x14ac:dyDescent="0.2">
      <c r="A8144" s="1" t="s">
        <v>2831</v>
      </c>
      <c r="B8144" s="1" t="s">
        <v>2880</v>
      </c>
      <c r="C8144" s="1" t="str">
        <f>"EMJM20275"</f>
        <v>EMJM20275</v>
      </c>
      <c r="D8144" s="1" t="str">
        <f>"EMJM20275"</f>
        <v>EMJM20275</v>
      </c>
      <c r="E8144" s="1" t="s">
        <v>4566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</row>
    <row r="8145" spans="1:11" x14ac:dyDescent="0.2">
      <c r="A8145" s="1" t="s">
        <v>2831</v>
      </c>
      <c r="B8145" s="1" t="s">
        <v>2881</v>
      </c>
      <c r="C8145" s="1" t="str">
        <f>"66298904837925"</f>
        <v>66298904837925</v>
      </c>
      <c r="D8145" s="1" t="str">
        <f>"46092-1155"</f>
        <v>46092-1155</v>
      </c>
      <c r="E8145" s="1" t="s">
        <v>4566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</row>
    <row r="8146" spans="1:11" x14ac:dyDescent="0.2">
      <c r="A8146" s="1" t="s">
        <v>2831</v>
      </c>
      <c r="B8146" s="1" t="s">
        <v>2882</v>
      </c>
      <c r="C8146" s="1" t="str">
        <f>"66298904874799"</f>
        <v>66298904874799</v>
      </c>
      <c r="D8146" s="1" t="str">
        <f>"LBK006BLK"</f>
        <v>LBK006BLK</v>
      </c>
      <c r="E8146" s="1" t="s">
        <v>4566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</row>
    <row r="8147" spans="1:11" x14ac:dyDescent="0.2">
      <c r="A8147" s="1" t="s">
        <v>2831</v>
      </c>
      <c r="B8147" s="1" t="s">
        <v>2883</v>
      </c>
      <c r="C8147" s="1" t="str">
        <f>"66298904916008"</f>
        <v>66298904916008</v>
      </c>
      <c r="D8147" s="1" t="str">
        <f>"LCE088SILVE"</f>
        <v>LCE088SILVE</v>
      </c>
      <c r="E8147" s="1" t="s">
        <v>4566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</row>
    <row r="8148" spans="1:11" x14ac:dyDescent="0.2">
      <c r="A8148" s="1" t="s">
        <v>2831</v>
      </c>
      <c r="B8148" s="1" t="s">
        <v>2884</v>
      </c>
      <c r="C8148" s="1" t="str">
        <f>"66298904954877"</f>
        <v>66298904954877</v>
      </c>
      <c r="D8148" s="1" t="str">
        <f>"SHORTLBK054SILV"</f>
        <v>SHORTLBK054SILV</v>
      </c>
      <c r="E8148" s="1" t="s">
        <v>4566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</row>
    <row r="8149" spans="1:11" x14ac:dyDescent="0.2">
      <c r="A8149" s="1" t="s">
        <v>2831</v>
      </c>
      <c r="B8149" s="1" t="s">
        <v>2885</v>
      </c>
      <c r="C8149" s="1" t="str">
        <f>"57421H40100H000"</f>
        <v>57421H40100H000</v>
      </c>
      <c r="D8149" s="1" t="str">
        <f>"57421H40100H000"</f>
        <v>57421H40100H000</v>
      </c>
      <c r="E8149" s="1" t="s">
        <v>4566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</row>
    <row r="8150" spans="1:11" ht="30" x14ac:dyDescent="0.2">
      <c r="A8150" s="1" t="s">
        <v>2831</v>
      </c>
      <c r="B8150" s="1" t="s">
        <v>2886</v>
      </c>
      <c r="C8150" s="1" t="str">
        <f>"66298904998757"</f>
        <v>66298904998757</v>
      </c>
      <c r="D8150" s="1" t="str">
        <f>"83173"</f>
        <v>83173</v>
      </c>
      <c r="E8150" s="1" t="s">
        <v>4566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</row>
    <row r="8151" spans="1:11" x14ac:dyDescent="0.2">
      <c r="A8151" s="1" t="s">
        <v>2831</v>
      </c>
      <c r="B8151" s="1" t="s">
        <v>2887</v>
      </c>
      <c r="C8151" s="1" t="str">
        <f>"EMKD00225"</f>
        <v>EMKD00225</v>
      </c>
      <c r="D8151" s="1" t="str">
        <f>"EMKD00225"</f>
        <v>EMKD00225</v>
      </c>
      <c r="E8151" s="1" t="s">
        <v>4566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</row>
    <row r="8152" spans="1:11" x14ac:dyDescent="0.2">
      <c r="A8152" s="1" t="s">
        <v>2831</v>
      </c>
      <c r="B8152" s="1" t="s">
        <v>2888</v>
      </c>
      <c r="C8152" s="1" t="str">
        <f>"57310-37F00"</f>
        <v>57310-37F00</v>
      </c>
      <c r="D8152" s="1" t="str">
        <f>"57310-37F00"</f>
        <v>57310-37F00</v>
      </c>
      <c r="E8152" s="1" t="s">
        <v>4566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</row>
    <row r="8153" spans="1:11" x14ac:dyDescent="0.2">
      <c r="A8153" s="1" t="s">
        <v>2831</v>
      </c>
      <c r="B8153" s="1" t="s">
        <v>2889</v>
      </c>
      <c r="C8153" s="1" t="str">
        <f>"66298905035685"</f>
        <v>66298905035685</v>
      </c>
      <c r="D8153" s="1" t="str">
        <f>"80972"</f>
        <v>80972</v>
      </c>
      <c r="E8153" s="1" t="s">
        <v>4566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</row>
    <row r="8154" spans="1:11" x14ac:dyDescent="0.2">
      <c r="A8154" s="1" t="s">
        <v>2831</v>
      </c>
      <c r="B8154" s="1" t="s">
        <v>2890</v>
      </c>
      <c r="C8154" s="1" t="str">
        <f>"66298905077240"</f>
        <v>66298905077240</v>
      </c>
      <c r="D8154" s="1" t="str">
        <f>"QC005"</f>
        <v>QC005</v>
      </c>
      <c r="E8154" s="1" t="s">
        <v>4566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</row>
    <row r="8155" spans="1:11" x14ac:dyDescent="0.2">
      <c r="A8155" s="1" t="s">
        <v>2831</v>
      </c>
      <c r="B8155" s="1" t="s">
        <v>2891</v>
      </c>
      <c r="C8155" s="1" t="str">
        <f>"66298905119733"</f>
        <v>66298905119733</v>
      </c>
      <c r="D8155" s="1" t="str">
        <f>"MAN-ATV-TRA"</f>
        <v>MAN-ATV-TRA</v>
      </c>
      <c r="E8155" s="1" t="s">
        <v>4566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</row>
    <row r="8156" spans="1:11" x14ac:dyDescent="0.2">
      <c r="A8156" s="1" t="s">
        <v>2831</v>
      </c>
      <c r="B8156" s="1" t="s">
        <v>2892</v>
      </c>
      <c r="C8156" s="1" t="str">
        <f>"66298905162711"</f>
        <v>66298905162711</v>
      </c>
      <c r="D8156" s="1" t="str">
        <f>"MAN-CG-TRA"</f>
        <v>MAN-CG-TRA</v>
      </c>
      <c r="E8156" s="1" t="s">
        <v>4566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</row>
    <row r="8157" spans="1:11" x14ac:dyDescent="0.2">
      <c r="A8157" s="1" t="s">
        <v>2831</v>
      </c>
      <c r="B8157" s="1" t="s">
        <v>2893</v>
      </c>
      <c r="C8157" s="1" t="str">
        <f>"66298905200482"</f>
        <v>66298905200482</v>
      </c>
      <c r="D8157" s="1" t="str">
        <f>"53175-KB7-000"</f>
        <v>53175-KB7-000</v>
      </c>
      <c r="E8157" s="1" t="s">
        <v>4566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</row>
    <row r="8158" spans="1:11" x14ac:dyDescent="0.2">
      <c r="A8158" s="1" t="s">
        <v>2831</v>
      </c>
      <c r="B8158" s="1" t="s">
        <v>2894</v>
      </c>
      <c r="C8158" s="1" t="str">
        <f>"66298905243160"</f>
        <v>66298905243160</v>
      </c>
      <c r="D8158" s="1" t="str">
        <f>"LBH029BLK"</f>
        <v>LBH029BLK</v>
      </c>
      <c r="E8158" s="1" t="s">
        <v>4566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</row>
    <row r="8159" spans="1:11" x14ac:dyDescent="0.2">
      <c r="A8159" s="1" t="s">
        <v>2831</v>
      </c>
      <c r="B8159" s="1" t="s">
        <v>2895</v>
      </c>
      <c r="C8159" s="1" t="str">
        <f>"53175-KJ1-730"</f>
        <v>53175-KJ1-730</v>
      </c>
      <c r="D8159" s="1" t="str">
        <f>"53175-KJ1-730"</f>
        <v>53175-KJ1-730</v>
      </c>
      <c r="E8159" s="1" t="s">
        <v>4566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</row>
    <row r="8160" spans="1:11" x14ac:dyDescent="0.2">
      <c r="A8160" s="1" t="s">
        <v>2831</v>
      </c>
      <c r="B8160" s="1" t="s">
        <v>2896</v>
      </c>
      <c r="C8160" s="1" t="str">
        <f>"66298905325258"</f>
        <v>66298905325258</v>
      </c>
      <c r="D8160" s="1" t="str">
        <f>"401035"</f>
        <v>401035</v>
      </c>
      <c r="E8160" s="1" t="s">
        <v>4566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</row>
    <row r="8161" spans="1:11" x14ac:dyDescent="0.2">
      <c r="A8161" s="1" t="s">
        <v>2831</v>
      </c>
      <c r="B8161" s="1" t="s">
        <v>2897</v>
      </c>
      <c r="C8161" s="1" t="str">
        <f>"66298905286991"</f>
        <v>66298905286991</v>
      </c>
      <c r="D8161" s="1" t="str">
        <f>"400477"</f>
        <v>400477</v>
      </c>
      <c r="E8161" s="1" t="s">
        <v>4566</v>
      </c>
      <c r="F8161" s="1">
        <v>110</v>
      </c>
      <c r="G8161" s="1">
        <v>605</v>
      </c>
      <c r="H8161" s="1">
        <v>66550</v>
      </c>
      <c r="I8161" s="1">
        <v>0</v>
      </c>
      <c r="J8161" s="1">
        <v>110</v>
      </c>
      <c r="K8161" s="1">
        <v>0</v>
      </c>
    </row>
    <row r="8162" spans="1:11" x14ac:dyDescent="0.2">
      <c r="A8162" s="1" t="s">
        <v>2831</v>
      </c>
      <c r="B8162" s="1" t="s">
        <v>2898</v>
      </c>
      <c r="C8162" s="1" t="str">
        <f>"66298905366381"</f>
        <v>66298905366381</v>
      </c>
      <c r="D8162" s="1" t="str">
        <f>"2W1-83922-00"</f>
        <v>2W1-83922-00</v>
      </c>
      <c r="E8162" s="1" t="s">
        <v>4566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</row>
    <row r="8163" spans="1:11" x14ac:dyDescent="0.2">
      <c r="A8163" s="1" t="s">
        <v>2831</v>
      </c>
      <c r="B8163" s="1" t="s">
        <v>2899</v>
      </c>
      <c r="C8163" s="1" t="str">
        <f>"66298905408796"</f>
        <v>66298905408796</v>
      </c>
      <c r="D8163" s="1" t="str">
        <f>"400478"</f>
        <v>400478</v>
      </c>
      <c r="E8163" s="1" t="s">
        <v>4566</v>
      </c>
      <c r="F8163" s="1">
        <v>823</v>
      </c>
      <c r="G8163" s="1">
        <v>546</v>
      </c>
      <c r="H8163" s="1">
        <v>449358</v>
      </c>
      <c r="I8163" s="1">
        <v>0</v>
      </c>
      <c r="J8163" s="1">
        <v>823</v>
      </c>
      <c r="K8163" s="1">
        <v>0</v>
      </c>
    </row>
    <row r="8164" spans="1:11" x14ac:dyDescent="0.2">
      <c r="A8164" s="1" t="s">
        <v>2831</v>
      </c>
      <c r="B8164" s="1" t="s">
        <v>2900</v>
      </c>
      <c r="C8164" s="1" t="str">
        <f>"66298905450519"</f>
        <v>66298905450519</v>
      </c>
      <c r="D8164" s="1" t="str">
        <f>"84880"</f>
        <v>84880</v>
      </c>
      <c r="E8164" s="1" t="s">
        <v>4566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</row>
    <row r="8165" spans="1:11" x14ac:dyDescent="0.2">
      <c r="A8165" s="1" t="s">
        <v>2831</v>
      </c>
      <c r="B8165" s="1" t="s">
        <v>2901</v>
      </c>
      <c r="C8165" s="1" t="str">
        <f>"66298905501603"</f>
        <v>66298905501603</v>
      </c>
      <c r="D8165" s="1" t="str">
        <f>"11967"</f>
        <v>11967</v>
      </c>
      <c r="E8165" s="1" t="s">
        <v>4566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</row>
    <row r="8166" spans="1:11" x14ac:dyDescent="0.2">
      <c r="A8166" s="1" t="s">
        <v>2831</v>
      </c>
      <c r="B8166" s="1" t="s">
        <v>2902</v>
      </c>
      <c r="C8166" s="1" t="str">
        <f>"66298905542038"</f>
        <v>66298905542038</v>
      </c>
      <c r="D8166" s="1" t="str">
        <f>"MAN-FRE-YZF"</f>
        <v>MAN-FRE-YZF</v>
      </c>
      <c r="E8166" s="1" t="s">
        <v>4566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</row>
    <row r="8167" spans="1:11" x14ac:dyDescent="0.2">
      <c r="A8167" s="1" t="s">
        <v>2903</v>
      </c>
      <c r="B8167" s="1" t="s">
        <v>2904</v>
      </c>
      <c r="C8167" s="1" t="str">
        <f>"Q020"</f>
        <v>Q020</v>
      </c>
      <c r="D8167" s="1" t="str">
        <f>"Q020"</f>
        <v>Q020</v>
      </c>
      <c r="E8167" s="1" t="s">
        <v>4566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</row>
    <row r="8168" spans="1:11" x14ac:dyDescent="0.2">
      <c r="A8168" s="1" t="s">
        <v>2903</v>
      </c>
      <c r="B8168" s="1" t="s">
        <v>2905</v>
      </c>
      <c r="C8168" s="1" t="str">
        <f>"66298905581331"</f>
        <v>66298905581331</v>
      </c>
      <c r="D8168" s="1" t="str">
        <f>"400011"</f>
        <v>400011</v>
      </c>
      <c r="E8168" s="1" t="s">
        <v>4566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</row>
    <row r="8169" spans="1:11" x14ac:dyDescent="0.2">
      <c r="A8169" s="1" t="s">
        <v>2903</v>
      </c>
      <c r="B8169" s="1" t="s">
        <v>2906</v>
      </c>
      <c r="C8169" s="1" t="str">
        <f>"Q063"</f>
        <v>Q063</v>
      </c>
      <c r="D8169" s="1" t="str">
        <f>"Q063"</f>
        <v>Q063</v>
      </c>
      <c r="E8169" s="1" t="s">
        <v>4566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</row>
    <row r="8170" spans="1:11" x14ac:dyDescent="0.2">
      <c r="A8170" s="1" t="s">
        <v>2903</v>
      </c>
      <c r="B8170" s="1" t="s">
        <v>2907</v>
      </c>
      <c r="C8170" s="1" t="str">
        <f>"12768"</f>
        <v>12768</v>
      </c>
      <c r="D8170" s="1" t="str">
        <f>"12768"</f>
        <v>12768</v>
      </c>
      <c r="E8170" s="1" t="s">
        <v>4566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</row>
    <row r="8171" spans="1:11" x14ac:dyDescent="0.2">
      <c r="A8171" s="1" t="s">
        <v>2903</v>
      </c>
      <c r="B8171" s="1" t="s">
        <v>2908</v>
      </c>
      <c r="C8171" s="1" t="str">
        <f>"Q041"</f>
        <v>Q041</v>
      </c>
      <c r="D8171" s="1" t="str">
        <f>"Q041"</f>
        <v>Q041</v>
      </c>
      <c r="E8171" s="1" t="s">
        <v>4566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</row>
    <row r="8172" spans="1:11" x14ac:dyDescent="0.2">
      <c r="A8172" s="1" t="s">
        <v>2903</v>
      </c>
      <c r="B8172" s="1" t="s">
        <v>2909</v>
      </c>
      <c r="C8172" s="1" t="str">
        <f>"57500H2A200H000"</f>
        <v>57500H2A200H000</v>
      </c>
      <c r="D8172" s="1" t="str">
        <f>"57500H2A200H000"</f>
        <v>57500H2A200H000</v>
      </c>
      <c r="E8172" s="1" t="s">
        <v>4566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</row>
    <row r="8173" spans="1:11" x14ac:dyDescent="0.2">
      <c r="A8173" s="1" t="s">
        <v>2903</v>
      </c>
      <c r="B8173" s="1" t="s">
        <v>2910</v>
      </c>
      <c r="C8173" s="1" t="str">
        <f>"EMKD00051"</f>
        <v>EMKD00051</v>
      </c>
      <c r="D8173" s="1" t="str">
        <f>"EMKD00051"</f>
        <v>EMKD00051</v>
      </c>
      <c r="E8173" s="1" t="s">
        <v>4566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</row>
    <row r="8174" spans="1:11" x14ac:dyDescent="0.2">
      <c r="A8174" s="1" t="s">
        <v>2903</v>
      </c>
      <c r="B8174" s="1" t="s">
        <v>2911</v>
      </c>
      <c r="C8174" s="1" t="str">
        <f>"EMJM00284"</f>
        <v>EMJM00284</v>
      </c>
      <c r="D8174" s="1" t="str">
        <f>"EMJM00284"</f>
        <v>EMJM00284</v>
      </c>
      <c r="E8174" s="1" t="s">
        <v>4566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</row>
    <row r="8175" spans="1:11" x14ac:dyDescent="0.2">
      <c r="A8175" s="1" t="s">
        <v>2903</v>
      </c>
      <c r="B8175" s="1" t="s">
        <v>2912</v>
      </c>
      <c r="C8175" s="1" t="str">
        <f>"MANILLAR-EMB-UNIV"</f>
        <v>MANILLAR-EMB-UNIV</v>
      </c>
      <c r="D8175" s="1" t="str">
        <f>"MANILLAR-EMB-UNIV"</f>
        <v>MANILLAR-EMB-UNIV</v>
      </c>
      <c r="E8175" s="1" t="s">
        <v>4566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</row>
    <row r="8176" spans="1:11" x14ac:dyDescent="0.2">
      <c r="A8176" s="1" t="s">
        <v>2903</v>
      </c>
      <c r="B8176" s="1" t="s">
        <v>2912</v>
      </c>
      <c r="C8176" s="1" t="str">
        <f>"Q011"</f>
        <v>Q011</v>
      </c>
      <c r="D8176" s="1" t="str">
        <f>"Q011"</f>
        <v>Q011</v>
      </c>
      <c r="E8176" s="1" t="s">
        <v>4566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</row>
    <row r="8177" spans="1:11" x14ac:dyDescent="0.2">
      <c r="A8177" s="1" t="s">
        <v>2903</v>
      </c>
      <c r="B8177" s="1" t="s">
        <v>2913</v>
      </c>
      <c r="C8177" s="1" t="str">
        <f>"Q021"</f>
        <v>Q021</v>
      </c>
      <c r="D8177" s="1" t="str">
        <f>"Q021"</f>
        <v>Q021</v>
      </c>
      <c r="E8177" s="1" t="s">
        <v>4566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</row>
    <row r="8178" spans="1:11" x14ac:dyDescent="0.2">
      <c r="A8178" s="1" t="s">
        <v>2903</v>
      </c>
      <c r="B8178" s="1" t="s">
        <v>2914</v>
      </c>
      <c r="C8178" s="1" t="str">
        <f>"Q010"</f>
        <v>Q010</v>
      </c>
      <c r="D8178" s="1" t="str">
        <f>"Q010"</f>
        <v>Q010</v>
      </c>
      <c r="E8178" s="1" t="s">
        <v>4566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</row>
    <row r="8179" spans="1:11" x14ac:dyDescent="0.2">
      <c r="A8179" s="1" t="s">
        <v>2903</v>
      </c>
      <c r="B8179" s="1" t="s">
        <v>2915</v>
      </c>
      <c r="C8179" s="1" t="str">
        <f>"Q061"</f>
        <v>Q061</v>
      </c>
      <c r="D8179" s="1" t="str">
        <f>"Q061"</f>
        <v>Q061</v>
      </c>
      <c r="E8179" s="1" t="s">
        <v>4566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</row>
    <row r="8180" spans="1:11" x14ac:dyDescent="0.2">
      <c r="A8180" s="1" t="s">
        <v>2831</v>
      </c>
      <c r="B8180" s="1" t="s">
        <v>2916</v>
      </c>
      <c r="C8180" s="1" t="str">
        <f>"4465"</f>
        <v>4465</v>
      </c>
      <c r="D8180" s="1" t="str">
        <f>"4465"</f>
        <v>4465</v>
      </c>
      <c r="E8180" s="1" t="s">
        <v>4566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</row>
    <row r="8181" spans="1:11" x14ac:dyDescent="0.2">
      <c r="A8181" s="1" t="s">
        <v>2831</v>
      </c>
      <c r="B8181" s="1" t="s">
        <v>2916</v>
      </c>
      <c r="C8181" s="1" t="str">
        <f>"Q065"</f>
        <v>Q065</v>
      </c>
      <c r="D8181" s="1" t="str">
        <f>"Q065"</f>
        <v>Q065</v>
      </c>
      <c r="E8181" s="1" t="s">
        <v>4566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</row>
    <row r="8182" spans="1:11" x14ac:dyDescent="0.2">
      <c r="A8182" s="1" t="s">
        <v>2831</v>
      </c>
      <c r="B8182" s="1" t="s">
        <v>2916</v>
      </c>
      <c r="C8182" s="1" t="str">
        <f>"4464M"</f>
        <v>4464M</v>
      </c>
      <c r="D8182" s="1" t="str">
        <f>"4464M"</f>
        <v>4464M</v>
      </c>
      <c r="E8182" s="1" t="s">
        <v>4566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</row>
    <row r="8183" spans="1:11" x14ac:dyDescent="0.2">
      <c r="A8183" s="1" t="s">
        <v>2831</v>
      </c>
      <c r="B8183" s="1" t="s">
        <v>2917</v>
      </c>
      <c r="C8183" s="1" t="str">
        <f>"10491"</f>
        <v>10491</v>
      </c>
      <c r="D8183" s="1" t="str">
        <f>"10491"</f>
        <v>10491</v>
      </c>
      <c r="E8183" s="1" t="s">
        <v>4566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</row>
    <row r="8184" spans="1:11" x14ac:dyDescent="0.2">
      <c r="A8184" s="1" t="s">
        <v>18</v>
      </c>
      <c r="B8184" s="1" t="s">
        <v>2918</v>
      </c>
      <c r="C8184" s="1" t="str">
        <f>"66298905621042"</f>
        <v>66298905621042</v>
      </c>
      <c r="D8184" s="1" t="str">
        <f>"QC032-VERDE"</f>
        <v>QC032-VERDE</v>
      </c>
      <c r="E8184" s="1" t="s">
        <v>4566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</row>
    <row r="8185" spans="1:11" x14ac:dyDescent="0.2">
      <c r="A8185" s="1" t="s">
        <v>18</v>
      </c>
      <c r="B8185" s="1" t="s">
        <v>2919</v>
      </c>
      <c r="C8185" s="1" t="str">
        <f>"12530-NEGRO"</f>
        <v>12530-NEGRO</v>
      </c>
      <c r="D8185" s="1" t="str">
        <f>"12530-NEGRO"</f>
        <v>12530-NEGRO</v>
      </c>
      <c r="E8185" s="1" t="s">
        <v>4566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</row>
    <row r="8186" spans="1:11" x14ac:dyDescent="0.2">
      <c r="A8186" s="1" t="s">
        <v>18</v>
      </c>
      <c r="B8186" s="1" t="s">
        <v>2920</v>
      </c>
      <c r="C8186" s="1" t="str">
        <f>"16487-NEGRO"</f>
        <v>16487-NEGRO</v>
      </c>
      <c r="D8186" s="1" t="str">
        <f>"16487-NEGRO"</f>
        <v>16487-NEGRO</v>
      </c>
      <c r="E8186" s="1" t="s">
        <v>4566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</row>
    <row r="8187" spans="1:11" x14ac:dyDescent="0.2">
      <c r="A8187" s="1" t="s">
        <v>18</v>
      </c>
      <c r="B8187" s="1" t="s">
        <v>2921</v>
      </c>
      <c r="C8187" s="1" t="str">
        <f>"66298905658455"</f>
        <v>66298905658455</v>
      </c>
      <c r="D8187" s="1" t="str">
        <f>"QC028-VERDE"</f>
        <v>QC028-VERDE</v>
      </c>
      <c r="E8187" s="1" t="s">
        <v>4566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</row>
    <row r="8188" spans="1:11" x14ac:dyDescent="0.2">
      <c r="A8188" s="1" t="s">
        <v>18</v>
      </c>
      <c r="B8188" s="1" t="s">
        <v>2922</v>
      </c>
      <c r="C8188" s="1" t="str">
        <f>"2602-NEGRO"</f>
        <v>2602-NEGRO</v>
      </c>
      <c r="D8188" s="1" t="str">
        <f>"2602-NEGRO"</f>
        <v>2602-NEGRO</v>
      </c>
      <c r="E8188" s="1" t="s">
        <v>4566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</row>
    <row r="8189" spans="1:11" x14ac:dyDescent="0.2">
      <c r="A8189" s="1" t="s">
        <v>18</v>
      </c>
      <c r="B8189" s="1" t="s">
        <v>2923</v>
      </c>
      <c r="C8189" s="1" t="str">
        <f>"66298905699777"</f>
        <v>66298905699777</v>
      </c>
      <c r="D8189" s="1" t="str">
        <f>"4050-NEGRO"</f>
        <v>4050-NEGRO</v>
      </c>
      <c r="E8189" s="1" t="s">
        <v>4566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</row>
    <row r="8190" spans="1:11" x14ac:dyDescent="0.2">
      <c r="A8190" s="1" t="s">
        <v>18</v>
      </c>
      <c r="B8190" s="1" t="s">
        <v>2924</v>
      </c>
      <c r="C8190" s="1" t="str">
        <f>"2159-NEGRO"</f>
        <v>2159-NEGRO</v>
      </c>
      <c r="D8190" s="1" t="str">
        <f>"2159-NEGRO"</f>
        <v>2159-NEGRO</v>
      </c>
      <c r="E8190" s="1" t="s">
        <v>4566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</row>
    <row r="8191" spans="1:11" x14ac:dyDescent="0.2">
      <c r="A8191" s="1" t="s">
        <v>18</v>
      </c>
      <c r="B8191" s="1" t="s">
        <v>2925</v>
      </c>
      <c r="C8191" s="1" t="str">
        <f>"66298905741087"</f>
        <v>66298905741087</v>
      </c>
      <c r="D8191" s="1" t="str">
        <f>"QC037"</f>
        <v>QC037</v>
      </c>
      <c r="E8191" s="1" t="s">
        <v>4566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</row>
    <row r="8192" spans="1:11" x14ac:dyDescent="0.2">
      <c r="A8192" s="1" t="s">
        <v>18</v>
      </c>
      <c r="B8192" s="1" t="s">
        <v>2926</v>
      </c>
      <c r="C8192" s="1" t="str">
        <f>"66298905783291"</f>
        <v>66298905783291</v>
      </c>
      <c r="D8192" s="1" t="str">
        <f>"QC038"</f>
        <v>QC038</v>
      </c>
      <c r="E8192" s="1" t="s">
        <v>4566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</row>
    <row r="8193" spans="1:11" x14ac:dyDescent="0.2">
      <c r="A8193" s="1" t="s">
        <v>18</v>
      </c>
      <c r="B8193" s="1" t="s">
        <v>2927</v>
      </c>
      <c r="C8193" s="1" t="str">
        <f>"66298905824003"</f>
        <v>66298905824003</v>
      </c>
      <c r="D8193" s="1" t="str">
        <f>"QC035-ROJO"</f>
        <v>QC035-ROJO</v>
      </c>
      <c r="E8193" s="1" t="s">
        <v>4566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</row>
    <row r="8194" spans="1:11" x14ac:dyDescent="0.2">
      <c r="A8194" s="1" t="s">
        <v>18</v>
      </c>
      <c r="B8194" s="1" t="s">
        <v>2928</v>
      </c>
      <c r="C8194" s="1" t="str">
        <f>"66298905863805"</f>
        <v>66298905863805</v>
      </c>
      <c r="D8194" s="1" t="str">
        <f>"QC218-GT250-AZ"</f>
        <v>QC218-GT250-AZ</v>
      </c>
      <c r="E8194" s="1" t="s">
        <v>4566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</row>
    <row r="8195" spans="1:11" x14ac:dyDescent="0.2">
      <c r="A8195" s="1" t="s">
        <v>18</v>
      </c>
      <c r="B8195" s="1" t="s">
        <v>2929</v>
      </c>
      <c r="C8195" s="1" t="str">
        <f>"66298905903234"</f>
        <v>66298905903234</v>
      </c>
      <c r="D8195" s="1" t="str">
        <f>"QC218-GT250-RO"</f>
        <v>QC218-GT250-RO</v>
      </c>
      <c r="E8195" s="1" t="s">
        <v>4566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</row>
    <row r="8196" spans="1:11" x14ac:dyDescent="0.2">
      <c r="A8196" s="1" t="s">
        <v>18</v>
      </c>
      <c r="B8196" s="1" t="s">
        <v>2930</v>
      </c>
      <c r="C8196" s="1" t="str">
        <f>"66298905943288"</f>
        <v>66298905943288</v>
      </c>
      <c r="D8196" s="1" t="str">
        <f>"QC218-GT650-AZ"</f>
        <v>QC218-GT650-AZ</v>
      </c>
      <c r="E8196" s="1" t="s">
        <v>4566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</row>
    <row r="8197" spans="1:11" x14ac:dyDescent="0.2">
      <c r="A8197" s="1" t="s">
        <v>18</v>
      </c>
      <c r="B8197" s="1" t="s">
        <v>2931</v>
      </c>
      <c r="C8197" s="1" t="str">
        <f>"66298905982349"</f>
        <v>66298905982349</v>
      </c>
      <c r="D8197" s="1" t="str">
        <f>"QC218-GT650-RO"</f>
        <v>QC218-GT650-RO</v>
      </c>
      <c r="E8197" s="1" t="s">
        <v>4566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</row>
    <row r="8198" spans="1:11" x14ac:dyDescent="0.2">
      <c r="A8198" s="1" t="s">
        <v>18</v>
      </c>
      <c r="B8198" s="1" t="s">
        <v>2932</v>
      </c>
      <c r="C8198" s="1" t="str">
        <f>"66298906021251"</f>
        <v>66298906021251</v>
      </c>
      <c r="D8198" s="1" t="str">
        <f>"QC218-KTM-AZUL"</f>
        <v>QC218-KTM-AZUL</v>
      </c>
      <c r="E8198" s="1" t="s">
        <v>4566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</row>
    <row r="8199" spans="1:11" x14ac:dyDescent="0.2">
      <c r="A8199" s="1" t="s">
        <v>18</v>
      </c>
      <c r="B8199" s="1" t="s">
        <v>2933</v>
      </c>
      <c r="C8199" s="1" t="str">
        <f>"66298906065590"</f>
        <v>66298906065590</v>
      </c>
      <c r="D8199" s="1" t="str">
        <f>"2117-MANILLAS"</f>
        <v>2117-MANILLAS</v>
      </c>
      <c r="E8199" s="1" t="s">
        <v>4566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</row>
    <row r="8200" spans="1:11" x14ac:dyDescent="0.2">
      <c r="A8200" s="1" t="s">
        <v>18</v>
      </c>
      <c r="B8200" s="1" t="s">
        <v>2934</v>
      </c>
      <c r="C8200" s="1" t="str">
        <f>"66298906114876"</f>
        <v>66298906114876</v>
      </c>
      <c r="D8200" s="1" t="str">
        <f>"QC218-PUL/AS-AZ"</f>
        <v>QC218-PUL/AS-AZ</v>
      </c>
      <c r="E8200" s="1" t="s">
        <v>4566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</row>
    <row r="8201" spans="1:11" x14ac:dyDescent="0.2">
      <c r="A8201" s="1" t="s">
        <v>18</v>
      </c>
      <c r="B8201" s="1" t="s">
        <v>2935</v>
      </c>
      <c r="C8201" s="1" t="str">
        <f>"66298906155980"</f>
        <v>66298906155980</v>
      </c>
      <c r="D8201" s="1" t="str">
        <f>"QC218-PUL/AS-RO"</f>
        <v>QC218-PUL/AS-RO</v>
      </c>
      <c r="E8201" s="1" t="s">
        <v>4566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</row>
    <row r="8202" spans="1:11" x14ac:dyDescent="0.2">
      <c r="A8202" s="1" t="s">
        <v>18</v>
      </c>
      <c r="B8202" s="1" t="s">
        <v>2936</v>
      </c>
      <c r="C8202" s="1" t="str">
        <f>"66298906199714"</f>
        <v>66298906199714</v>
      </c>
      <c r="D8202" s="1" t="str">
        <f>"QC218-PUL/RS-RO"</f>
        <v>QC218-PUL/RS-RO</v>
      </c>
      <c r="E8202" s="1" t="s">
        <v>4566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</row>
    <row r="8203" spans="1:11" x14ac:dyDescent="0.2">
      <c r="A8203" s="1" t="s">
        <v>18</v>
      </c>
      <c r="B8203" s="1" t="s">
        <v>2937</v>
      </c>
      <c r="C8203" s="1" t="str">
        <f>"66298906248377"</f>
        <v>66298906248377</v>
      </c>
      <c r="D8203" s="1" t="str">
        <f>"QC031-DORADA"</f>
        <v>QC031-DORADA</v>
      </c>
      <c r="E8203" s="1" t="s">
        <v>4566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</row>
    <row r="8204" spans="1:11" x14ac:dyDescent="0.2">
      <c r="A8204" s="1" t="s">
        <v>18</v>
      </c>
      <c r="B8204" s="1" t="s">
        <v>2938</v>
      </c>
      <c r="C8204" s="1" t="str">
        <f>"66298906290058"</f>
        <v>66298906290058</v>
      </c>
      <c r="D8204" s="1" t="str">
        <f>"QC031-NEGRO"</f>
        <v>QC031-NEGRO</v>
      </c>
      <c r="E8204" s="1" t="s">
        <v>4566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</row>
    <row r="8205" spans="1:11" x14ac:dyDescent="0.2">
      <c r="A8205" s="1" t="s">
        <v>18</v>
      </c>
      <c r="B8205" s="1" t="s">
        <v>2939</v>
      </c>
      <c r="C8205" s="1" t="str">
        <f>"66298906327683"</f>
        <v>66298906327683</v>
      </c>
      <c r="D8205" s="1" t="str">
        <f>"QC031-VERDE"</f>
        <v>QC031-VERDE</v>
      </c>
      <c r="E8205" s="1" t="s">
        <v>4566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</row>
    <row r="8206" spans="1:11" x14ac:dyDescent="0.2">
      <c r="A8206" s="1" t="s">
        <v>2940</v>
      </c>
      <c r="B8206" s="1" t="s">
        <v>2941</v>
      </c>
      <c r="C8206" s="1" t="str">
        <f>"GF006"</f>
        <v>GF006</v>
      </c>
      <c r="D8206" s="1" t="str">
        <f>"GF006"</f>
        <v>GF006</v>
      </c>
      <c r="E8206" s="1" t="s">
        <v>4566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</row>
    <row r="8207" spans="1:11" x14ac:dyDescent="0.2">
      <c r="A8207" s="1" t="s">
        <v>2940</v>
      </c>
      <c r="B8207" s="1" t="s">
        <v>2942</v>
      </c>
      <c r="C8207" s="1" t="str">
        <f>"2971-DORADO"</f>
        <v>2971-DORADO</v>
      </c>
      <c r="D8207" s="1" t="str">
        <f>"2971-DORADO"</f>
        <v>2971-DORADO</v>
      </c>
      <c r="E8207" s="1" t="s">
        <v>4566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</row>
    <row r="8208" spans="1:11" x14ac:dyDescent="0.2">
      <c r="A8208" s="1" t="s">
        <v>2940</v>
      </c>
      <c r="B8208" s="1" t="s">
        <v>2943</v>
      </c>
      <c r="C8208" s="1" t="str">
        <f>"2971-NARANJA"</f>
        <v>2971-NARANJA</v>
      </c>
      <c r="D8208" s="1" t="str">
        <f>"2971-NARANJA"</f>
        <v>2971-NARANJA</v>
      </c>
      <c r="E8208" s="1" t="s">
        <v>4566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</row>
    <row r="8209" spans="1:11" x14ac:dyDescent="0.2">
      <c r="A8209" s="1" t="s">
        <v>2940</v>
      </c>
      <c r="B8209" s="1" t="s">
        <v>2944</v>
      </c>
      <c r="C8209" s="1" t="str">
        <f>"2971-PLATEADO"</f>
        <v>2971-PLATEADO</v>
      </c>
      <c r="D8209" s="1" t="str">
        <f>"2971-PLATEADO"</f>
        <v>2971-PLATEADO</v>
      </c>
      <c r="E8209" s="1" t="s">
        <v>4566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</row>
    <row r="8210" spans="1:11" x14ac:dyDescent="0.2">
      <c r="A8210" s="1" t="s">
        <v>2940</v>
      </c>
      <c r="B8210" s="1" t="s">
        <v>2945</v>
      </c>
      <c r="C8210" s="1" t="str">
        <f>"2971-ROJO"</f>
        <v>2971-ROJO</v>
      </c>
      <c r="D8210" s="1" t="str">
        <f>"2971-ROJO"</f>
        <v>2971-ROJO</v>
      </c>
      <c r="E8210" s="1" t="s">
        <v>4566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</row>
    <row r="8211" spans="1:11" x14ac:dyDescent="0.2">
      <c r="A8211" s="1" t="s">
        <v>2940</v>
      </c>
      <c r="B8211" s="1" t="s">
        <v>2946</v>
      </c>
      <c r="C8211" s="1" t="str">
        <f>"66298906369029"</f>
        <v>66298906369029</v>
      </c>
      <c r="D8211" s="1" t="str">
        <f>"3203"</f>
        <v>3203</v>
      </c>
      <c r="E8211" s="1" t="s">
        <v>4566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</row>
    <row r="8212" spans="1:11" x14ac:dyDescent="0.2">
      <c r="A8212" s="1" t="s">
        <v>2940</v>
      </c>
      <c r="B8212" s="1" t="s">
        <v>2947</v>
      </c>
      <c r="C8212" s="1" t="str">
        <f>"66298906412804"</f>
        <v>66298906412804</v>
      </c>
      <c r="D8212" s="1" t="str">
        <f>"49CC36"</f>
        <v>49CC36</v>
      </c>
      <c r="E8212" s="1" t="s">
        <v>4566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</row>
    <row r="8213" spans="1:11" x14ac:dyDescent="0.2">
      <c r="A8213" s="1" t="s">
        <v>2940</v>
      </c>
      <c r="B8213" s="1" t="s">
        <v>2948</v>
      </c>
      <c r="C8213" s="1" t="str">
        <f>"66298906450363"</f>
        <v>66298906450363</v>
      </c>
      <c r="D8213" s="1" t="str">
        <f>"GF031-NEGRO"</f>
        <v>GF031-NEGRO</v>
      </c>
      <c r="E8213" s="1" t="s">
        <v>4566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</row>
    <row r="8214" spans="1:11" x14ac:dyDescent="0.2">
      <c r="A8214" s="1" t="s">
        <v>2940</v>
      </c>
      <c r="B8214" s="1" t="s">
        <v>2948</v>
      </c>
      <c r="C8214" s="1" t="str">
        <f>"66298906490109"</f>
        <v>66298906490109</v>
      </c>
      <c r="D8214" s="1" t="str">
        <f>"GF031-CROMADO"</f>
        <v>GF031-CROMADO</v>
      </c>
      <c r="E8214" s="1" t="s">
        <v>4566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</row>
    <row r="8215" spans="1:11" x14ac:dyDescent="0.2">
      <c r="A8215" s="1" t="s">
        <v>2940</v>
      </c>
      <c r="B8215" s="1" t="s">
        <v>2949</v>
      </c>
      <c r="C8215" s="1" t="str">
        <f>"66298906532919"</f>
        <v>66298906532919</v>
      </c>
      <c r="D8215" s="1" t="str">
        <f>"GF020-GRIS"</f>
        <v>GF020-GRIS</v>
      </c>
      <c r="E8215" s="1" t="s">
        <v>4566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</row>
    <row r="8216" spans="1:11" ht="30" x14ac:dyDescent="0.2">
      <c r="A8216" s="1" t="s">
        <v>2940</v>
      </c>
      <c r="B8216" s="1" t="s">
        <v>2950</v>
      </c>
      <c r="C8216" s="1" t="str">
        <f>"66298906659147"</f>
        <v>66298906659147</v>
      </c>
      <c r="D8216" s="1" t="str">
        <f>"GF005"</f>
        <v>GF005</v>
      </c>
      <c r="E8216" s="1" t="s">
        <v>4566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</row>
    <row r="8217" spans="1:11" x14ac:dyDescent="0.2">
      <c r="A8217" s="1" t="s">
        <v>2940</v>
      </c>
      <c r="B8217" s="1" t="s">
        <v>2951</v>
      </c>
      <c r="C8217" s="1" t="str">
        <f>"66298906572803"</f>
        <v>66298906572803</v>
      </c>
      <c r="D8217" s="1" t="str">
        <f>"JPC2001-042"</f>
        <v>JPC2001-042</v>
      </c>
      <c r="E8217" s="1" t="s">
        <v>4566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</row>
    <row r="8218" spans="1:11" x14ac:dyDescent="0.2">
      <c r="A8218" s="1" t="s">
        <v>2940</v>
      </c>
      <c r="B8218" s="1" t="s">
        <v>2952</v>
      </c>
      <c r="C8218" s="1" t="str">
        <f>"66298906613577"</f>
        <v>66298906613577</v>
      </c>
      <c r="D8218" s="1" t="str">
        <f>"GF007"</f>
        <v>GF007</v>
      </c>
      <c r="E8218" s="1" t="s">
        <v>4566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</row>
    <row r="8219" spans="1:11" x14ac:dyDescent="0.2">
      <c r="A8219" s="1" t="s">
        <v>2940</v>
      </c>
      <c r="B8219" s="1" t="s">
        <v>2953</v>
      </c>
      <c r="C8219" s="1" t="str">
        <f>"66298906702064"</f>
        <v>66298906702064</v>
      </c>
      <c r="D8219" s="1" t="str">
        <f>"GF029-CROMADO"</f>
        <v>GF029-CROMADO</v>
      </c>
      <c r="E8219" s="1" t="s">
        <v>4566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</row>
    <row r="8220" spans="1:11" x14ac:dyDescent="0.2">
      <c r="A8220" s="1" t="s">
        <v>2940</v>
      </c>
      <c r="B8220" s="1" t="s">
        <v>2954</v>
      </c>
      <c r="C8220" s="1" t="str">
        <f>"66298906738448"</f>
        <v>66298906738448</v>
      </c>
      <c r="D8220" s="1" t="str">
        <f>"GF001"</f>
        <v>GF001</v>
      </c>
      <c r="E8220" s="1" t="s">
        <v>4566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</row>
    <row r="8221" spans="1:11" x14ac:dyDescent="0.2">
      <c r="A8221" s="1" t="s">
        <v>2940</v>
      </c>
      <c r="B8221" s="1" t="s">
        <v>2955</v>
      </c>
      <c r="C8221" s="1" t="str">
        <f>"66298906775750"</f>
        <v>66298906775750</v>
      </c>
      <c r="D8221" s="1" t="str">
        <f>"20P-F6122-00"</f>
        <v>20P-F6122-00</v>
      </c>
      <c r="E8221" s="1" t="s">
        <v>4566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</row>
    <row r="8222" spans="1:11" x14ac:dyDescent="0.2">
      <c r="A8222" s="1" t="s">
        <v>2940</v>
      </c>
      <c r="B8222" s="1" t="s">
        <v>2956</v>
      </c>
      <c r="C8222" s="1" t="str">
        <f>"66298906817345"</f>
        <v>66298906817345</v>
      </c>
      <c r="D8222" s="1" t="str">
        <f>"C065"</f>
        <v>C065</v>
      </c>
      <c r="E8222" s="1" t="s">
        <v>4566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</row>
    <row r="8223" spans="1:11" x14ac:dyDescent="0.2">
      <c r="A8223" s="1" t="s">
        <v>2940</v>
      </c>
      <c r="B8223" s="1" t="s">
        <v>2957</v>
      </c>
      <c r="C8223" s="1" t="str">
        <f>"66298906865648"</f>
        <v>66298906865648</v>
      </c>
      <c r="D8223" s="1" t="str">
        <f>"GF006-AZUL"</f>
        <v>GF006-AZUL</v>
      </c>
      <c r="E8223" s="1" t="s">
        <v>4566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</row>
    <row r="8224" spans="1:11" x14ac:dyDescent="0.2">
      <c r="A8224" s="1" t="s">
        <v>2940</v>
      </c>
      <c r="B8224" s="1" t="s">
        <v>2958</v>
      </c>
      <c r="C8224" s="1" t="str">
        <f>"66298906859740"</f>
        <v>66298906859740</v>
      </c>
      <c r="D8224" s="1" t="str">
        <f>"GF006-NEGRO"</f>
        <v>GF006-NEGRO</v>
      </c>
      <c r="E8224" s="1" t="s">
        <v>4566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</row>
    <row r="8225" spans="1:11" x14ac:dyDescent="0.2">
      <c r="A8225" s="1" t="s">
        <v>2940</v>
      </c>
      <c r="B8225" s="1" t="s">
        <v>2959</v>
      </c>
      <c r="C8225" s="1" t="str">
        <f>"GF006-ROJO"</f>
        <v>GF006-ROJO</v>
      </c>
      <c r="D8225" s="1" t="str">
        <f>"GF006-ROJO"</f>
        <v>GF006-ROJO</v>
      </c>
      <c r="E8225" s="1" t="s">
        <v>4566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</row>
    <row r="8226" spans="1:11" x14ac:dyDescent="0.2">
      <c r="A8226" s="1" t="s">
        <v>2940</v>
      </c>
      <c r="B8226" s="1" t="s">
        <v>2960</v>
      </c>
      <c r="C8226" s="1" t="str">
        <f>"EXP11"</f>
        <v>EXP11</v>
      </c>
      <c r="D8226" s="1" t="str">
        <f>"EXP11"</f>
        <v>EXP11</v>
      </c>
      <c r="E8226" s="1" t="s">
        <v>4566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</row>
    <row r="8227" spans="1:11" x14ac:dyDescent="0.2">
      <c r="A8227" s="1" t="s">
        <v>2940</v>
      </c>
      <c r="B8227" s="1" t="s">
        <v>2961</v>
      </c>
      <c r="C8227" s="1" t="str">
        <f>"GF002"</f>
        <v>GF002</v>
      </c>
      <c r="D8227" s="1" t="str">
        <f>"GF002"</f>
        <v>GF002</v>
      </c>
      <c r="E8227" s="1" t="s">
        <v>4566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</row>
    <row r="8228" spans="1:11" x14ac:dyDescent="0.2">
      <c r="A8228" s="1" t="s">
        <v>2940</v>
      </c>
      <c r="B8228" s="1" t="s">
        <v>2962</v>
      </c>
      <c r="C8228" s="1" t="str">
        <f>"B97-F6110-00"</f>
        <v>B97-F6110-00</v>
      </c>
      <c r="D8228" s="1" t="str">
        <f>"B97-F6110-00"</f>
        <v>B97-F6110-00</v>
      </c>
      <c r="E8228" s="1" t="s">
        <v>4566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</row>
    <row r="8229" spans="1:11" x14ac:dyDescent="0.2">
      <c r="A8229" s="1" t="s">
        <v>2940</v>
      </c>
      <c r="B8229" s="1" t="s">
        <v>2963</v>
      </c>
      <c r="C8229" s="1" t="str">
        <f>"12321"</f>
        <v>12321</v>
      </c>
      <c r="D8229" s="1" t="str">
        <f>"12321"</f>
        <v>12321</v>
      </c>
      <c r="E8229" s="1" t="s">
        <v>4566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</row>
    <row r="8230" spans="1:11" x14ac:dyDescent="0.2">
      <c r="A8230" s="1" t="s">
        <v>2940</v>
      </c>
      <c r="B8230" s="1" t="s">
        <v>2964</v>
      </c>
      <c r="C8230" s="1" t="str">
        <f>"GF004"</f>
        <v>GF004</v>
      </c>
      <c r="D8230" s="1" t="str">
        <f>"GF004"</f>
        <v>GF004</v>
      </c>
      <c r="E8230" s="1" t="s">
        <v>4566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</row>
    <row r="8231" spans="1:11" x14ac:dyDescent="0.2">
      <c r="A8231" s="1" t="s">
        <v>2940</v>
      </c>
      <c r="B8231" s="1" t="s">
        <v>2965</v>
      </c>
      <c r="C8231" s="1" t="str">
        <f>"48"</f>
        <v>48</v>
      </c>
      <c r="D8231" s="1" t="str">
        <f>"1348"</f>
        <v>1348</v>
      </c>
      <c r="E8231" s="1" t="s">
        <v>4566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</row>
    <row r="8232" spans="1:11" x14ac:dyDescent="0.2">
      <c r="A8232" s="1" t="s">
        <v>2940</v>
      </c>
      <c r="B8232" s="1" t="s">
        <v>2966</v>
      </c>
      <c r="C8232" s="1" t="str">
        <f>"66298906958490"</f>
        <v>66298906958490</v>
      </c>
      <c r="D8232" s="1" t="str">
        <f>"GF003"</f>
        <v>GF003</v>
      </c>
      <c r="E8232" s="1" t="s">
        <v>4566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</row>
    <row r="8233" spans="1:11" x14ac:dyDescent="0.2">
      <c r="A8233" s="1" t="s">
        <v>2940</v>
      </c>
      <c r="B8233" s="1" t="s">
        <v>2967</v>
      </c>
      <c r="C8233" s="1" t="str">
        <f>"56111H2C000H000"</f>
        <v>56111H2C000H000</v>
      </c>
      <c r="D8233" s="1" t="str">
        <f>"56111H2C000H000"</f>
        <v>56111H2C000H000</v>
      </c>
      <c r="E8233" s="1" t="s">
        <v>4566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</row>
    <row r="8234" spans="1:11" x14ac:dyDescent="0.2">
      <c r="A8234" s="1" t="s">
        <v>2940</v>
      </c>
      <c r="B8234" s="1" t="s">
        <v>2968</v>
      </c>
      <c r="C8234" s="1" t="str">
        <f>"66298906998637"</f>
        <v>66298906998637</v>
      </c>
      <c r="D8234" s="1" t="str">
        <f>"83185"</f>
        <v>83185</v>
      </c>
      <c r="E8234" s="1" t="s">
        <v>4566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</row>
    <row r="8235" spans="1:11" x14ac:dyDescent="0.2">
      <c r="A8235" s="1" t="s">
        <v>2940</v>
      </c>
      <c r="B8235" s="1" t="s">
        <v>2969</v>
      </c>
      <c r="C8235" s="1" t="str">
        <f>"56110H40102H000"</f>
        <v>56110H40102H000</v>
      </c>
      <c r="D8235" s="1" t="str">
        <f>"56110H40102H000"</f>
        <v>56110H40102H000</v>
      </c>
      <c r="E8235" s="1" t="s">
        <v>4566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</row>
    <row r="8236" spans="1:11" x14ac:dyDescent="0.2">
      <c r="A8236" s="1" t="s">
        <v>2940</v>
      </c>
      <c r="B8236" s="1" t="s">
        <v>2970</v>
      </c>
      <c r="C8236" s="1" t="str">
        <f>"84360"</f>
        <v>84360</v>
      </c>
      <c r="D8236" s="1" t="str">
        <f>"84360"</f>
        <v>84360</v>
      </c>
      <c r="E8236" s="1" t="s">
        <v>4566</v>
      </c>
      <c r="F8236" s="1">
        <v>9</v>
      </c>
      <c r="G8236" s="1">
        <v>6929</v>
      </c>
      <c r="H8236" s="1">
        <v>62361</v>
      </c>
      <c r="I8236" s="1">
        <v>0</v>
      </c>
      <c r="J8236" s="1">
        <v>9</v>
      </c>
      <c r="K8236" s="1">
        <v>0</v>
      </c>
    </row>
    <row r="8237" spans="1:11" x14ac:dyDescent="0.2">
      <c r="A8237" s="1" t="s">
        <v>2940</v>
      </c>
      <c r="B8237" s="1" t="s">
        <v>2971</v>
      </c>
      <c r="C8237" s="1" t="str">
        <f>"66298907091087"</f>
        <v>66298907091087</v>
      </c>
      <c r="D8237" s="1" t="str">
        <f>"83458"</f>
        <v>83458</v>
      </c>
      <c r="E8237" s="1" t="s">
        <v>4566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</row>
    <row r="8238" spans="1:11" x14ac:dyDescent="0.2">
      <c r="A8238" s="1" t="s">
        <v>2940</v>
      </c>
      <c r="B8238" s="1" t="s">
        <v>2972</v>
      </c>
      <c r="C8238" s="1" t="str">
        <f>"66298907133506"</f>
        <v>66298907133506</v>
      </c>
      <c r="D8238" s="1" t="str">
        <f>"GF022-NEGRO"</f>
        <v>GF022-NEGRO</v>
      </c>
      <c r="E8238" s="1" t="s">
        <v>4566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</row>
    <row r="8239" spans="1:11" x14ac:dyDescent="0.2">
      <c r="A8239" s="1" t="s">
        <v>2940</v>
      </c>
      <c r="B8239" s="1" t="s">
        <v>2972</v>
      </c>
      <c r="C8239" s="1" t="str">
        <f>"66298907139349"</f>
        <v>66298907139349</v>
      </c>
      <c r="D8239" s="1" t="str">
        <f>"GF022-CROMADO"</f>
        <v>GF022-CROMADO</v>
      </c>
      <c r="E8239" s="1" t="s">
        <v>4566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</row>
    <row r="8240" spans="1:11" x14ac:dyDescent="0.2">
      <c r="A8240" s="1" t="s">
        <v>2940</v>
      </c>
      <c r="B8240" s="1" t="s">
        <v>2973</v>
      </c>
      <c r="C8240" s="1" t="str">
        <f>"66298907191908"</f>
        <v>66298907191908</v>
      </c>
      <c r="D8240" s="1" t="str">
        <f>"GF010-SILVER"</f>
        <v>GF010-SILVER</v>
      </c>
      <c r="E8240" s="1" t="s">
        <v>4566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</row>
    <row r="8241" spans="1:11" x14ac:dyDescent="0.2">
      <c r="A8241" s="1" t="s">
        <v>2940</v>
      </c>
      <c r="B8241" s="1" t="s">
        <v>2973</v>
      </c>
      <c r="C8241" s="1" t="str">
        <f>"66298907236511"</f>
        <v>66298907236511</v>
      </c>
      <c r="D8241" s="1" t="str">
        <f>"GF010-ROJO"</f>
        <v>GF010-ROJO</v>
      </c>
      <c r="E8241" s="1" t="s">
        <v>4566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</row>
    <row r="8242" spans="1:11" x14ac:dyDescent="0.2">
      <c r="A8242" s="1" t="s">
        <v>2940</v>
      </c>
      <c r="B8242" s="1" t="s">
        <v>2973</v>
      </c>
      <c r="C8242" s="1" t="str">
        <f>"66298907243433"</f>
        <v>66298907243433</v>
      </c>
      <c r="D8242" s="1" t="str">
        <f>"GF010-AZUL"</f>
        <v>GF010-AZUL</v>
      </c>
      <c r="E8242" s="1" t="s">
        <v>4566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</row>
    <row r="8243" spans="1:11" x14ac:dyDescent="0.2">
      <c r="A8243" s="1" t="s">
        <v>2940</v>
      </c>
      <c r="B8243" s="1" t="s">
        <v>2974</v>
      </c>
      <c r="C8243" s="1" t="str">
        <f>"GF011"</f>
        <v>GF011</v>
      </c>
      <c r="D8243" s="1" t="str">
        <f>"GF011"</f>
        <v>GF011</v>
      </c>
      <c r="E8243" s="1" t="s">
        <v>4566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</row>
    <row r="8244" spans="1:11" x14ac:dyDescent="0.2">
      <c r="A8244" s="1" t="s">
        <v>2940</v>
      </c>
      <c r="B8244" s="1" t="s">
        <v>2975</v>
      </c>
      <c r="C8244" s="1" t="str">
        <f>"B005R"</f>
        <v>B005R</v>
      </c>
      <c r="D8244" s="1" t="str">
        <f>"B005R"</f>
        <v>B005R</v>
      </c>
      <c r="E8244" s="1" t="s">
        <v>4566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</row>
    <row r="8245" spans="1:11" x14ac:dyDescent="0.2">
      <c r="A8245" s="1" t="s">
        <v>2940</v>
      </c>
      <c r="B8245" s="1" t="s">
        <v>2976</v>
      </c>
      <c r="C8245" s="1" t="str">
        <f>"66298907301405"</f>
        <v>66298907301405</v>
      </c>
      <c r="D8245" s="1" t="str">
        <f>"80955"</f>
        <v>80955</v>
      </c>
      <c r="E8245" s="1" t="s">
        <v>4566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</row>
    <row r="8246" spans="1:11" x14ac:dyDescent="0.2">
      <c r="A8246" s="1" t="s">
        <v>2940</v>
      </c>
      <c r="B8246" s="1" t="s">
        <v>2977</v>
      </c>
      <c r="C8246" s="1" t="str">
        <f>"GF008"</f>
        <v>GF008</v>
      </c>
      <c r="D8246" s="1" t="str">
        <f>"GF008"</f>
        <v>GF008</v>
      </c>
      <c r="E8246" s="1" t="s">
        <v>4566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</row>
    <row r="8247" spans="1:11" x14ac:dyDescent="0.2">
      <c r="A8247" s="1" t="s">
        <v>2940</v>
      </c>
      <c r="B8247" s="1" t="s">
        <v>2978</v>
      </c>
      <c r="C8247" s="1" t="str">
        <f>"12637"</f>
        <v>12637</v>
      </c>
      <c r="D8247" s="1" t="str">
        <f>"12637"</f>
        <v>12637</v>
      </c>
      <c r="E8247" s="1" t="s">
        <v>4566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</row>
    <row r="8248" spans="1:11" x14ac:dyDescent="0.2">
      <c r="A8248" s="1" t="s">
        <v>2940</v>
      </c>
      <c r="B8248" s="1" t="s">
        <v>2979</v>
      </c>
      <c r="C8248" s="1" t="str">
        <f>"66298907392504"</f>
        <v>66298907392504</v>
      </c>
      <c r="D8248" s="1" t="str">
        <f>"K353037400"</f>
        <v>K353037400</v>
      </c>
      <c r="E8248" s="1" t="s">
        <v>4566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</row>
    <row r="8249" spans="1:11" x14ac:dyDescent="0.2">
      <c r="A8249" s="1" t="s">
        <v>2940</v>
      </c>
      <c r="B8249" s="1" t="s">
        <v>2980</v>
      </c>
      <c r="C8249" s="1" t="str">
        <f>"66298907434289"</f>
        <v>66298907434289</v>
      </c>
      <c r="D8249" s="1" t="str">
        <f>"85038"</f>
        <v>85038</v>
      </c>
      <c r="E8249" s="1" t="s">
        <v>4566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</row>
    <row r="8250" spans="1:11" x14ac:dyDescent="0.2">
      <c r="A8250" s="1" t="s">
        <v>102</v>
      </c>
      <c r="B8250" s="1" t="s">
        <v>2981</v>
      </c>
      <c r="C8250" s="1" t="str">
        <f>"66298907473520"</f>
        <v>66298907473520</v>
      </c>
      <c r="D8250" s="1" t="str">
        <f>"82593"</f>
        <v>82593</v>
      </c>
      <c r="E8250" s="1" t="s">
        <v>4566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</row>
    <row r="8251" spans="1:11" x14ac:dyDescent="0.2">
      <c r="A8251" s="1" t="s">
        <v>18</v>
      </c>
      <c r="B8251" s="1" t="s">
        <v>2982</v>
      </c>
      <c r="C8251" s="1" t="str">
        <f>"H025"</f>
        <v>H025</v>
      </c>
      <c r="D8251" s="1" t="str">
        <f>"H025"</f>
        <v>H025</v>
      </c>
      <c r="E8251" s="1" t="s">
        <v>4566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</row>
    <row r="8252" spans="1:11" x14ac:dyDescent="0.2">
      <c r="A8252" s="1" t="s">
        <v>102</v>
      </c>
      <c r="B8252" s="1" t="s">
        <v>2983</v>
      </c>
      <c r="C8252" s="1" t="str">
        <f>"66298907512413"</f>
        <v>66298907512413</v>
      </c>
      <c r="D8252" s="1" t="str">
        <f>"H040"</f>
        <v>H040</v>
      </c>
      <c r="E8252" s="1" t="s">
        <v>4566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</row>
    <row r="8253" spans="1:11" x14ac:dyDescent="0.2">
      <c r="A8253" s="1" t="s">
        <v>18</v>
      </c>
      <c r="B8253" s="1" t="s">
        <v>2983</v>
      </c>
      <c r="C8253" s="1" t="str">
        <f>"125102"</f>
        <v>125102</v>
      </c>
      <c r="D8253" s="1" t="str">
        <f>"125102"</f>
        <v>125102</v>
      </c>
      <c r="E8253" s="1" t="s">
        <v>4566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</row>
    <row r="8254" spans="1:11" x14ac:dyDescent="0.2">
      <c r="A8254" s="1" t="s">
        <v>102</v>
      </c>
      <c r="B8254" s="1" t="s">
        <v>2984</v>
      </c>
      <c r="C8254" s="1" t="str">
        <f>"138390"</f>
        <v>138390</v>
      </c>
      <c r="D8254" s="1" t="str">
        <f>"138390"</f>
        <v>138390</v>
      </c>
      <c r="E8254" s="1" t="s">
        <v>4566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</row>
    <row r="8255" spans="1:11" x14ac:dyDescent="0.2">
      <c r="A8255" s="1" t="s">
        <v>102</v>
      </c>
      <c r="B8255" s="1" t="s">
        <v>2985</v>
      </c>
      <c r="C8255" s="1" t="str">
        <f>"66298907551369"</f>
        <v>66298907551369</v>
      </c>
      <c r="D8255" s="1" t="str">
        <f>"H187"</f>
        <v>H187</v>
      </c>
      <c r="E8255" s="1" t="s">
        <v>4566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</row>
    <row r="8256" spans="1:11" x14ac:dyDescent="0.2">
      <c r="A8256" s="1" t="s">
        <v>18</v>
      </c>
      <c r="B8256" s="1" t="s">
        <v>2986</v>
      </c>
      <c r="C8256" s="1" t="str">
        <f>"66298907590072"</f>
        <v>66298907590072</v>
      </c>
      <c r="D8256" s="1" t="str">
        <f>"84994"</f>
        <v>84994</v>
      </c>
      <c r="E8256" s="1" t="s">
        <v>4566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</row>
    <row r="8257" spans="1:11" x14ac:dyDescent="0.2">
      <c r="A8257" s="1" t="s">
        <v>1413</v>
      </c>
      <c r="B8257" s="1" t="s">
        <v>2987</v>
      </c>
      <c r="C8257" s="1" t="str">
        <f>"Y158"</f>
        <v>Y158</v>
      </c>
      <c r="D8257" s="1" t="str">
        <f>"Y158"</f>
        <v>Y158</v>
      </c>
      <c r="E8257" s="1" t="s">
        <v>4566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</row>
    <row r="8258" spans="1:11" x14ac:dyDescent="0.2">
      <c r="A8258" s="1" t="s">
        <v>1413</v>
      </c>
      <c r="B8258" s="1" t="s">
        <v>2988</v>
      </c>
      <c r="C8258" s="1" t="str">
        <f>"66298907631904"</f>
        <v>66298907631904</v>
      </c>
      <c r="D8258" s="1" t="str">
        <f>"Y141"</f>
        <v>Y141</v>
      </c>
      <c r="E8258" s="1" t="s">
        <v>4566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</row>
    <row r="8259" spans="1:11" x14ac:dyDescent="0.2">
      <c r="A8259" s="1" t="s">
        <v>1413</v>
      </c>
      <c r="B8259" s="1" t="s">
        <v>2989</v>
      </c>
      <c r="C8259" s="1" t="str">
        <f>"U018"</f>
        <v>U018</v>
      </c>
      <c r="D8259" s="1" t="str">
        <f>"U018"</f>
        <v>U018</v>
      </c>
      <c r="E8259" s="1" t="s">
        <v>4566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</row>
    <row r="8260" spans="1:11" x14ac:dyDescent="0.2">
      <c r="A8260" s="1" t="s">
        <v>1413</v>
      </c>
      <c r="B8260" s="1" t="s">
        <v>2990</v>
      </c>
      <c r="C8260" s="1" t="str">
        <f>"66298907675075"</f>
        <v>66298907675075</v>
      </c>
      <c r="D8260" s="1" t="str">
        <f>"94414H40100H521"</f>
        <v>94414H40100H521</v>
      </c>
      <c r="E8260" s="1" t="s">
        <v>4566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</row>
    <row r="8261" spans="1:11" x14ac:dyDescent="0.2">
      <c r="A8261" s="1" t="s">
        <v>1413</v>
      </c>
      <c r="B8261" s="1" t="s">
        <v>2991</v>
      </c>
      <c r="C8261" s="1" t="str">
        <f>"Y332-NEGRO"</f>
        <v>Y332-NEGRO</v>
      </c>
      <c r="D8261" s="1" t="str">
        <f>"Y332-NEGRO"</f>
        <v>Y332-NEGRO</v>
      </c>
      <c r="E8261" s="1" t="s">
        <v>4566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</row>
    <row r="8262" spans="1:11" x14ac:dyDescent="0.2">
      <c r="A8262" s="1" t="s">
        <v>1413</v>
      </c>
      <c r="B8262" s="1" t="s">
        <v>2992</v>
      </c>
      <c r="C8262" s="1" t="str">
        <f>"Y010"</f>
        <v>Y010</v>
      </c>
      <c r="D8262" s="1" t="str">
        <f>"Y010"</f>
        <v>Y010</v>
      </c>
      <c r="E8262" s="1" t="s">
        <v>4566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</row>
    <row r="8263" spans="1:11" x14ac:dyDescent="0.2">
      <c r="A8263" s="1" t="s">
        <v>1413</v>
      </c>
      <c r="B8263" s="1" t="s">
        <v>2993</v>
      </c>
      <c r="C8263" s="1" t="str">
        <f>"66298907715422"</f>
        <v>66298907715422</v>
      </c>
      <c r="D8263" s="1" t="str">
        <f>"Y166"</f>
        <v>Y166</v>
      </c>
      <c r="E8263" s="1" t="s">
        <v>4566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</row>
    <row r="8264" spans="1:11" x14ac:dyDescent="0.2">
      <c r="A8264" s="1" t="s">
        <v>1413</v>
      </c>
      <c r="B8264" s="1" t="s">
        <v>2994</v>
      </c>
      <c r="C8264" s="1" t="str">
        <f>"Y054"</f>
        <v>Y054</v>
      </c>
      <c r="D8264" s="1" t="str">
        <f>"Y054"</f>
        <v>Y054</v>
      </c>
      <c r="E8264" s="1" t="s">
        <v>4566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</row>
    <row r="8265" spans="1:11" x14ac:dyDescent="0.2">
      <c r="A8265" s="1" t="s">
        <v>98</v>
      </c>
      <c r="B8265" s="1" t="s">
        <v>2995</v>
      </c>
      <c r="C8265" s="1" t="str">
        <f>"64110-44A10"</f>
        <v>64110-44A10</v>
      </c>
      <c r="D8265" s="1" t="str">
        <f>"64110-44A10"</f>
        <v>64110-44A10</v>
      </c>
      <c r="E8265" s="1" t="s">
        <v>4566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</row>
    <row r="8266" spans="1:11" x14ac:dyDescent="0.2">
      <c r="A8266" s="1" t="s">
        <v>98</v>
      </c>
      <c r="B8266" s="1" t="s">
        <v>2996</v>
      </c>
      <c r="C8266" s="1" t="str">
        <f>"42601-KW8-902"</f>
        <v>42601-KW8-902</v>
      </c>
      <c r="D8266" s="1" t="str">
        <f>"42601-KW8-902"</f>
        <v>42601-KW8-902</v>
      </c>
      <c r="E8266" s="1" t="s">
        <v>4566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</row>
    <row r="8267" spans="1:11" x14ac:dyDescent="0.2">
      <c r="A8267" s="1" t="s">
        <v>1050</v>
      </c>
      <c r="B8267" s="1" t="s">
        <v>2997</v>
      </c>
      <c r="C8267" s="1" t="str">
        <f>"66298907763204"</f>
        <v>66298907763204</v>
      </c>
      <c r="D8267" s="1" t="str">
        <f>"XA012"</f>
        <v>XA012</v>
      </c>
      <c r="E8267" s="1" t="s">
        <v>4566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</row>
    <row r="8268" spans="1:11" x14ac:dyDescent="0.2">
      <c r="A8268" s="1" t="s">
        <v>1050</v>
      </c>
      <c r="B8268" s="1" t="s">
        <v>2998</v>
      </c>
      <c r="C8268" s="1" t="str">
        <f>"66298907847213"</f>
        <v>66298907847213</v>
      </c>
      <c r="D8268" s="1" t="str">
        <f>"GY622"</f>
        <v>GY622</v>
      </c>
      <c r="E8268" s="1" t="s">
        <v>4566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</row>
    <row r="8269" spans="1:11" x14ac:dyDescent="0.2">
      <c r="A8269" s="1" t="s">
        <v>1050</v>
      </c>
      <c r="B8269" s="1" t="s">
        <v>2999</v>
      </c>
      <c r="C8269" s="1" t="str">
        <f>"66298907888283"</f>
        <v>66298907888283</v>
      </c>
      <c r="D8269" s="1" t="str">
        <f>"GY624"</f>
        <v>GY624</v>
      </c>
      <c r="E8269" s="1" t="s">
        <v>4566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</row>
    <row r="8270" spans="1:11" x14ac:dyDescent="0.2">
      <c r="A8270" s="1" t="s">
        <v>1050</v>
      </c>
      <c r="B8270" s="1" t="s">
        <v>3000</v>
      </c>
      <c r="C8270" s="1" t="str">
        <f>"66298907803488"</f>
        <v>66298907803488</v>
      </c>
      <c r="D8270" s="1" t="str">
        <f>"XA011"</f>
        <v>XA011</v>
      </c>
      <c r="E8270" s="1" t="s">
        <v>4566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</row>
    <row r="8271" spans="1:11" x14ac:dyDescent="0.2">
      <c r="A8271" s="1" t="s">
        <v>1096</v>
      </c>
      <c r="B8271" s="1" t="s">
        <v>3001</v>
      </c>
      <c r="C8271" s="1" t="str">
        <f>"134012"</f>
        <v>134012</v>
      </c>
      <c r="D8271" s="1" t="str">
        <f>"134012"</f>
        <v>134012</v>
      </c>
      <c r="E8271" s="1" t="s">
        <v>4566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</row>
    <row r="8272" spans="1:11" x14ac:dyDescent="0.2">
      <c r="A8272" s="1" t="s">
        <v>98</v>
      </c>
      <c r="B8272" s="1" t="s">
        <v>3002</v>
      </c>
      <c r="C8272" s="1" t="str">
        <f>"MS-3401"</f>
        <v>MS-3401</v>
      </c>
      <c r="D8272" s="1" t="str">
        <f>"MS-3401"</f>
        <v>MS-3401</v>
      </c>
      <c r="E8272" s="1" t="s">
        <v>4566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</row>
    <row r="8273" spans="1:11" x14ac:dyDescent="0.2">
      <c r="A8273" s="1" t="s">
        <v>98</v>
      </c>
      <c r="B8273" s="1" t="s">
        <v>3003</v>
      </c>
      <c r="C8273" s="1" t="str">
        <f>"66298907929479"</f>
        <v>66298907929479</v>
      </c>
      <c r="D8273" s="1" t="str">
        <f>"Y095-MICA"</f>
        <v>Y095-MICA</v>
      </c>
      <c r="E8273" s="1" t="s">
        <v>4566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</row>
    <row r="8274" spans="1:11" x14ac:dyDescent="0.2">
      <c r="A8274" s="1" t="s">
        <v>2004</v>
      </c>
      <c r="B8274" s="1" t="s">
        <v>3004</v>
      </c>
      <c r="C8274" s="1" t="str">
        <f>"66298908013017"</f>
        <v>66298908013017</v>
      </c>
      <c r="D8274" s="1" t="str">
        <f>"R011"</f>
        <v>R011</v>
      </c>
      <c r="E8274" s="1" t="s">
        <v>4566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</row>
    <row r="8275" spans="1:11" x14ac:dyDescent="0.2">
      <c r="A8275" s="1" t="s">
        <v>2004</v>
      </c>
      <c r="B8275" s="1" t="s">
        <v>3005</v>
      </c>
      <c r="C8275" s="1" t="str">
        <f>"66298907971658"</f>
        <v>66298907971658</v>
      </c>
      <c r="D8275" s="1" t="str">
        <f>"S021"</f>
        <v>S021</v>
      </c>
      <c r="E8275" s="1" t="s">
        <v>4566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</row>
    <row r="8276" spans="1:11" x14ac:dyDescent="0.2">
      <c r="A8276" s="1" t="s">
        <v>18</v>
      </c>
      <c r="B8276" s="1" t="s">
        <v>3006</v>
      </c>
      <c r="C8276" s="1" t="str">
        <f>"66298908059213"</f>
        <v>66298908059213</v>
      </c>
      <c r="D8276" s="1" t="str">
        <f>"WD051"</f>
        <v>WD051</v>
      </c>
      <c r="E8276" s="1" t="s">
        <v>4566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</row>
    <row r="8277" spans="1:11" x14ac:dyDescent="0.2">
      <c r="A8277" s="1" t="s">
        <v>18</v>
      </c>
      <c r="B8277" s="1" t="s">
        <v>3007</v>
      </c>
      <c r="C8277" s="1" t="str">
        <f>"66298908099189"</f>
        <v>66298908099189</v>
      </c>
      <c r="D8277" s="1" t="str">
        <f>"WD019"</f>
        <v>WD019</v>
      </c>
      <c r="E8277" s="1" t="s">
        <v>4566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</row>
    <row r="8278" spans="1:11" x14ac:dyDescent="0.2">
      <c r="A8278" s="1" t="s">
        <v>3008</v>
      </c>
      <c r="B8278" s="1" t="s">
        <v>3009</v>
      </c>
      <c r="C8278" s="1" t="str">
        <f>"FA012"</f>
        <v>FA012</v>
      </c>
      <c r="D8278" s="1" t="str">
        <f>"FA012"</f>
        <v>FA012</v>
      </c>
      <c r="E8278" s="1" t="s">
        <v>4566</v>
      </c>
      <c r="F8278" s="1">
        <v>7</v>
      </c>
      <c r="G8278" s="1">
        <v>10143</v>
      </c>
      <c r="H8278" s="1">
        <v>71001</v>
      </c>
      <c r="I8278" s="1">
        <v>0</v>
      </c>
      <c r="J8278" s="1">
        <v>7</v>
      </c>
      <c r="K8278" s="1">
        <v>0</v>
      </c>
    </row>
    <row r="8279" spans="1:11" x14ac:dyDescent="0.2">
      <c r="A8279" s="1" t="s">
        <v>3008</v>
      </c>
      <c r="B8279" s="1" t="s">
        <v>3010</v>
      </c>
      <c r="C8279" s="1" t="str">
        <f>"66298908177121"</f>
        <v>66298908177121</v>
      </c>
      <c r="D8279" s="1" t="str">
        <f>"400134"</f>
        <v>400134</v>
      </c>
      <c r="E8279" s="1" t="s">
        <v>4566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</row>
    <row r="8280" spans="1:11" ht="30" x14ac:dyDescent="0.2">
      <c r="A8280" s="1" t="s">
        <v>3008</v>
      </c>
      <c r="B8280" s="1" t="s">
        <v>3011</v>
      </c>
      <c r="C8280" s="1" t="str">
        <f>"66298908137937"</f>
        <v>66298908137937</v>
      </c>
      <c r="D8280" s="1" t="str">
        <f>"FA007"</f>
        <v>FA007</v>
      </c>
      <c r="E8280" s="1" t="s">
        <v>4566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</row>
    <row r="8281" spans="1:11" x14ac:dyDescent="0.2">
      <c r="A8281" s="1" t="s">
        <v>3008</v>
      </c>
      <c r="B8281" s="1" t="s">
        <v>3012</v>
      </c>
      <c r="C8281" s="1" t="str">
        <f>"MPAR-49CC"</f>
        <v>MPAR-49CC</v>
      </c>
      <c r="D8281" s="1" t="str">
        <f>"MPAR-49CC"</f>
        <v>MPAR-49CC</v>
      </c>
      <c r="E8281" s="1" t="s">
        <v>4566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</row>
    <row r="8282" spans="1:11" x14ac:dyDescent="0.2">
      <c r="A8282" s="1" t="s">
        <v>3008</v>
      </c>
      <c r="B8282" s="1" t="s">
        <v>3013</v>
      </c>
      <c r="C8282" s="1" t="str">
        <f>"66298908214532"</f>
        <v>66298908214532</v>
      </c>
      <c r="D8282" s="1" t="str">
        <f>"400667"</f>
        <v>400667</v>
      </c>
      <c r="E8282" s="1" t="s">
        <v>4566</v>
      </c>
      <c r="F8282" s="1">
        <v>20</v>
      </c>
      <c r="G8282" s="1">
        <v>8037</v>
      </c>
      <c r="H8282" s="1">
        <v>160740</v>
      </c>
      <c r="I8282" s="1">
        <v>0</v>
      </c>
      <c r="J8282" s="1">
        <v>20</v>
      </c>
      <c r="K8282" s="1">
        <v>0</v>
      </c>
    </row>
    <row r="8283" spans="1:11" x14ac:dyDescent="0.2">
      <c r="A8283" s="1" t="s">
        <v>3008</v>
      </c>
      <c r="B8283" s="1" t="s">
        <v>3014</v>
      </c>
      <c r="C8283" s="1" t="str">
        <f>"FA017"</f>
        <v>FA017</v>
      </c>
      <c r="D8283" s="1" t="str">
        <f>"FA017"</f>
        <v>FA017</v>
      </c>
      <c r="E8283" s="1" t="s">
        <v>4566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</row>
    <row r="8284" spans="1:11" x14ac:dyDescent="0.2">
      <c r="A8284" s="1" t="s">
        <v>3008</v>
      </c>
      <c r="B8284" s="1" t="s">
        <v>3015</v>
      </c>
      <c r="C8284" s="1" t="str">
        <f>"66298908318810"</f>
        <v>66298908318810</v>
      </c>
      <c r="D8284" s="1" t="str">
        <f>"400654"</f>
        <v>400654</v>
      </c>
      <c r="E8284" s="1" t="s">
        <v>4566</v>
      </c>
      <c r="F8284" s="1">
        <v>14</v>
      </c>
      <c r="G8284" s="1">
        <v>7412</v>
      </c>
      <c r="H8284" s="1">
        <v>103768</v>
      </c>
      <c r="I8284" s="1">
        <v>0</v>
      </c>
      <c r="J8284" s="1">
        <v>14</v>
      </c>
      <c r="K8284" s="1">
        <v>0</v>
      </c>
    </row>
    <row r="8285" spans="1:11" x14ac:dyDescent="0.2">
      <c r="A8285" s="1" t="s">
        <v>3008</v>
      </c>
      <c r="B8285" s="1" t="s">
        <v>3016</v>
      </c>
      <c r="C8285" s="1" t="str">
        <f>"66298908255747"</f>
        <v>66298908255747</v>
      </c>
      <c r="D8285" s="1" t="str">
        <f>"31200-KSP-901"</f>
        <v>31200-KSP-901</v>
      </c>
      <c r="E8285" s="1" t="s">
        <v>4566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</row>
    <row r="8286" spans="1:11" x14ac:dyDescent="0.2">
      <c r="A8286" s="1" t="s">
        <v>3008</v>
      </c>
      <c r="B8286" s="1" t="s">
        <v>3016</v>
      </c>
      <c r="C8286" s="1" t="str">
        <f>"66298908263301"</f>
        <v>66298908263301</v>
      </c>
      <c r="D8286" s="1" t="str">
        <f>"FA011"</f>
        <v>FA011</v>
      </c>
      <c r="E8286" s="1" t="s">
        <v>4566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</row>
    <row r="8287" spans="1:11" x14ac:dyDescent="0.2">
      <c r="A8287" s="1" t="s">
        <v>3008</v>
      </c>
      <c r="B8287" s="1" t="s">
        <v>3017</v>
      </c>
      <c r="C8287" s="1" t="str">
        <f>"66298908364945"</f>
        <v>66298908364945</v>
      </c>
      <c r="D8287" s="1" t="str">
        <f>"FA003"</f>
        <v>FA003</v>
      </c>
      <c r="E8287" s="1" t="s">
        <v>4566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</row>
    <row r="8288" spans="1:11" x14ac:dyDescent="0.2">
      <c r="A8288" s="1" t="s">
        <v>3008</v>
      </c>
      <c r="B8288" s="1" t="s">
        <v>3018</v>
      </c>
      <c r="C8288" s="1" t="str">
        <f>"66298908412494"</f>
        <v>66298908412494</v>
      </c>
      <c r="D8288" s="1" t="str">
        <f>"400664"</f>
        <v>400664</v>
      </c>
      <c r="E8288" s="1" t="s">
        <v>4566</v>
      </c>
      <c r="F8288" s="1">
        <v>41</v>
      </c>
      <c r="G8288" s="1">
        <v>5782</v>
      </c>
      <c r="H8288" s="1">
        <v>237062</v>
      </c>
      <c r="I8288" s="1">
        <v>0</v>
      </c>
      <c r="J8288" s="1">
        <v>41</v>
      </c>
      <c r="K8288" s="1">
        <v>0</v>
      </c>
    </row>
    <row r="8289" spans="1:11" x14ac:dyDescent="0.2">
      <c r="A8289" s="1" t="s">
        <v>3008</v>
      </c>
      <c r="B8289" s="1" t="s">
        <v>3019</v>
      </c>
      <c r="C8289" s="1" t="str">
        <f>"66298908457663"</f>
        <v>66298908457663</v>
      </c>
      <c r="D8289" s="1" t="str">
        <f>"31210-KWA-941HB"</f>
        <v>31210-KWA-941HB</v>
      </c>
      <c r="E8289" s="1" t="s">
        <v>4566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</row>
    <row r="8290" spans="1:11" x14ac:dyDescent="0.2">
      <c r="A8290" s="1" t="s">
        <v>3008</v>
      </c>
      <c r="B8290" s="1" t="s">
        <v>3020</v>
      </c>
      <c r="C8290" s="1" t="str">
        <f>"66298908499968"</f>
        <v>66298908499968</v>
      </c>
      <c r="D8290" s="1" t="str">
        <f>"FA005"</f>
        <v>FA005</v>
      </c>
      <c r="E8290" s="1" t="s">
        <v>4566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</row>
    <row r="8291" spans="1:11" x14ac:dyDescent="0.2">
      <c r="A8291" s="1" t="s">
        <v>3008</v>
      </c>
      <c r="B8291" s="1" t="s">
        <v>3021</v>
      </c>
      <c r="C8291" s="1" t="str">
        <f>"66298908592904"</f>
        <v>66298908592904</v>
      </c>
      <c r="D8291" s="1" t="str">
        <f>"400655"</f>
        <v>400655</v>
      </c>
      <c r="E8291" s="1" t="s">
        <v>4566</v>
      </c>
      <c r="F8291" s="1">
        <v>18</v>
      </c>
      <c r="G8291" s="1">
        <v>8778</v>
      </c>
      <c r="H8291" s="1">
        <v>158004</v>
      </c>
      <c r="I8291" s="1">
        <v>0</v>
      </c>
      <c r="J8291" s="1">
        <v>18</v>
      </c>
      <c r="K8291" s="1">
        <v>0</v>
      </c>
    </row>
    <row r="8292" spans="1:11" x14ac:dyDescent="0.2">
      <c r="A8292" s="1" t="s">
        <v>3008</v>
      </c>
      <c r="B8292" s="1" t="s">
        <v>3022</v>
      </c>
      <c r="C8292" s="1" t="str">
        <f>"66298908542255"</f>
        <v>66298908542255</v>
      </c>
      <c r="D8292" s="1" t="str">
        <f>"31100-42A20"</f>
        <v>31100-42A20</v>
      </c>
      <c r="E8292" s="1" t="s">
        <v>4566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</row>
    <row r="8293" spans="1:11" x14ac:dyDescent="0.2">
      <c r="A8293" s="1" t="s">
        <v>3008</v>
      </c>
      <c r="B8293" s="1" t="s">
        <v>3023</v>
      </c>
      <c r="C8293" s="1" t="str">
        <f>"66298908641210"</f>
        <v>66298908641210</v>
      </c>
      <c r="D8293" s="1" t="str">
        <f>"21C-H1800-10HB"</f>
        <v>21C-H1800-10HB</v>
      </c>
      <c r="E8293" s="1" t="s">
        <v>4566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</row>
    <row r="8294" spans="1:11" x14ac:dyDescent="0.2">
      <c r="A8294" s="1" t="s">
        <v>3008</v>
      </c>
      <c r="B8294" s="1" t="s">
        <v>3024</v>
      </c>
      <c r="C8294" s="1" t="str">
        <f>"66298908689420"</f>
        <v>66298908689420</v>
      </c>
      <c r="D8294" s="1" t="str">
        <f>"400662"</f>
        <v>400662</v>
      </c>
      <c r="E8294" s="1" t="s">
        <v>4566</v>
      </c>
      <c r="F8294" s="1">
        <v>40</v>
      </c>
      <c r="G8294" s="1">
        <v>7966</v>
      </c>
      <c r="H8294" s="1">
        <v>318640</v>
      </c>
      <c r="I8294" s="1">
        <v>0</v>
      </c>
      <c r="J8294" s="1">
        <v>40</v>
      </c>
      <c r="K8294" s="1">
        <v>0</v>
      </c>
    </row>
    <row r="8295" spans="1:11" x14ac:dyDescent="0.2">
      <c r="A8295" s="1" t="s">
        <v>3008</v>
      </c>
      <c r="B8295" s="1" t="s">
        <v>3025</v>
      </c>
      <c r="C8295" s="1" t="str">
        <f>"66298908739720"</f>
        <v>66298908739720</v>
      </c>
      <c r="D8295" s="1" t="str">
        <f>"400666"</f>
        <v>400666</v>
      </c>
      <c r="E8295" s="1" t="s">
        <v>4566</v>
      </c>
      <c r="F8295" s="1">
        <v>30</v>
      </c>
      <c r="G8295" s="1">
        <v>7568</v>
      </c>
      <c r="H8295" s="1">
        <v>227040</v>
      </c>
      <c r="I8295" s="1">
        <v>0</v>
      </c>
      <c r="J8295" s="1">
        <v>30</v>
      </c>
      <c r="K8295" s="1">
        <v>0</v>
      </c>
    </row>
    <row r="8296" spans="1:11" x14ac:dyDescent="0.2">
      <c r="A8296" s="1" t="s">
        <v>3008</v>
      </c>
      <c r="B8296" s="1" t="s">
        <v>3026</v>
      </c>
      <c r="C8296" s="1" t="str">
        <f>"66298908788880"</f>
        <v>66298908788880</v>
      </c>
      <c r="D8296" s="1" t="str">
        <f>"31100-34J00HB"</f>
        <v>31100-34J00HB</v>
      </c>
      <c r="E8296" s="1" t="s">
        <v>4566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</row>
    <row r="8297" spans="1:11" x14ac:dyDescent="0.2">
      <c r="A8297" s="1" t="s">
        <v>3008</v>
      </c>
      <c r="B8297" s="1" t="s">
        <v>3027</v>
      </c>
      <c r="C8297" s="1" t="str">
        <f>"66298908837115"</f>
        <v>66298908837115</v>
      </c>
      <c r="D8297" s="1" t="str">
        <f>"JL-3516-00"</f>
        <v>JL-3516-00</v>
      </c>
      <c r="E8297" s="1" t="s">
        <v>4566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</row>
    <row r="8298" spans="1:11" x14ac:dyDescent="0.2">
      <c r="A8298" s="1" t="s">
        <v>3008</v>
      </c>
      <c r="B8298" s="1" t="s">
        <v>3028</v>
      </c>
      <c r="C8298" s="1" t="str">
        <f>"66298908882968"</f>
        <v>66298908882968</v>
      </c>
      <c r="D8298" s="1" t="str">
        <f>"JA-3516-00HB"</f>
        <v>JA-3516-00HB</v>
      </c>
      <c r="E8298" s="1" t="s">
        <v>4566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</row>
    <row r="8299" spans="1:11" x14ac:dyDescent="0.2">
      <c r="A8299" s="1" t="s">
        <v>3008</v>
      </c>
      <c r="B8299" s="1" t="s">
        <v>3029</v>
      </c>
      <c r="C8299" s="1" t="str">
        <f>"66298908927918"</f>
        <v>66298908927918</v>
      </c>
      <c r="D8299" s="1" t="str">
        <f>"400661"</f>
        <v>400661</v>
      </c>
      <c r="E8299" s="1" t="s">
        <v>4566</v>
      </c>
      <c r="F8299" s="1">
        <v>11</v>
      </c>
      <c r="G8299" s="1">
        <v>8626</v>
      </c>
      <c r="H8299" s="1">
        <v>94886</v>
      </c>
      <c r="I8299" s="1">
        <v>0</v>
      </c>
      <c r="J8299" s="1">
        <v>11</v>
      </c>
      <c r="K8299" s="1">
        <v>0</v>
      </c>
    </row>
    <row r="8300" spans="1:11" x14ac:dyDescent="0.2">
      <c r="A8300" s="1" t="s">
        <v>3008</v>
      </c>
      <c r="B8300" s="1" t="s">
        <v>3030</v>
      </c>
      <c r="C8300" s="1" t="str">
        <f>"66298908970063"</f>
        <v>66298908970063</v>
      </c>
      <c r="D8300" s="1" t="str">
        <f>"DH-1110-58"</f>
        <v>DH-1110-58</v>
      </c>
      <c r="E8300" s="1" t="s">
        <v>4566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</row>
    <row r="8301" spans="1:11" x14ac:dyDescent="0.2">
      <c r="A8301" s="1" t="s">
        <v>3008</v>
      </c>
      <c r="B8301" s="1" t="s">
        <v>3031</v>
      </c>
      <c r="C8301" s="1" t="str">
        <f>"66298909010754"</f>
        <v>66298909010754</v>
      </c>
      <c r="D8301" s="1" t="str">
        <f>"JC-1110-07"</f>
        <v>JC-1110-07</v>
      </c>
      <c r="E8301" s="1" t="s">
        <v>4566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</row>
    <row r="8302" spans="1:11" x14ac:dyDescent="0.2">
      <c r="A8302" s="1" t="s">
        <v>3008</v>
      </c>
      <c r="B8302" s="1" t="s">
        <v>3032</v>
      </c>
      <c r="C8302" s="1" t="str">
        <f>"66298909049495"</f>
        <v>66298909049495</v>
      </c>
      <c r="D8302" s="1" t="str">
        <f>"400660"</f>
        <v>400660</v>
      </c>
      <c r="E8302" s="1" t="s">
        <v>4566</v>
      </c>
      <c r="F8302" s="1">
        <v>9</v>
      </c>
      <c r="G8302" s="1">
        <v>8487</v>
      </c>
      <c r="H8302" s="1">
        <v>76383</v>
      </c>
      <c r="I8302" s="1">
        <v>0</v>
      </c>
      <c r="J8302" s="1">
        <v>9</v>
      </c>
      <c r="K8302" s="1">
        <v>0</v>
      </c>
    </row>
    <row r="8303" spans="1:11" x14ac:dyDescent="0.2">
      <c r="A8303" s="1" t="s">
        <v>3008</v>
      </c>
      <c r="B8303" s="1" t="s">
        <v>3033</v>
      </c>
      <c r="C8303" s="1" t="str">
        <f>"66298909088435"</f>
        <v>66298909088435</v>
      </c>
      <c r="D8303" s="1" t="str">
        <f>"400656"</f>
        <v>400656</v>
      </c>
      <c r="E8303" s="1" t="s">
        <v>4566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</row>
    <row r="8304" spans="1:11" x14ac:dyDescent="0.2">
      <c r="A8304" s="1" t="s">
        <v>3008</v>
      </c>
      <c r="B8304" s="1" t="s">
        <v>3034</v>
      </c>
      <c r="C8304" s="1" t="str">
        <f>"80394"</f>
        <v>80394</v>
      </c>
      <c r="D8304" s="1" t="str">
        <f>"80394"</f>
        <v>80394</v>
      </c>
      <c r="E8304" s="1" t="s">
        <v>4566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</row>
    <row r="8305" spans="1:11" x14ac:dyDescent="0.2">
      <c r="A8305" s="1" t="s">
        <v>3008</v>
      </c>
      <c r="B8305" s="1" t="s">
        <v>3035</v>
      </c>
      <c r="C8305" s="1" t="str">
        <f>"66298909126234"</f>
        <v>66298909126234</v>
      </c>
      <c r="D8305" s="1" t="str">
        <f>"31200-KVC-890"</f>
        <v>31200-KVC-890</v>
      </c>
      <c r="E8305" s="1" t="s">
        <v>4566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</row>
    <row r="8306" spans="1:11" x14ac:dyDescent="0.2">
      <c r="A8306" s="1" t="s">
        <v>3008</v>
      </c>
      <c r="B8306" s="1" t="s">
        <v>3036</v>
      </c>
      <c r="C8306" s="1" t="str">
        <f>"66298909171888"</f>
        <v>66298909171888</v>
      </c>
      <c r="D8306" s="1" t="str">
        <f>"5DW-H1800-00HB"</f>
        <v>5DW-H1800-00HB</v>
      </c>
      <c r="E8306" s="1" t="s">
        <v>4566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</row>
    <row r="8307" spans="1:11" x14ac:dyDescent="0.2">
      <c r="A8307" s="1" t="s">
        <v>3008</v>
      </c>
      <c r="B8307" s="1" t="s">
        <v>3037</v>
      </c>
      <c r="C8307" s="1" t="str">
        <f>"66298909212340"</f>
        <v>66298909212340</v>
      </c>
      <c r="D8307" s="1" t="str">
        <f>"31200-KBB-901"</f>
        <v>31200-KBB-901</v>
      </c>
      <c r="E8307" s="1" t="s">
        <v>4566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</row>
    <row r="8308" spans="1:11" x14ac:dyDescent="0.2">
      <c r="A8308" s="1" t="s">
        <v>3008</v>
      </c>
      <c r="B8308" s="1" t="s">
        <v>3038</v>
      </c>
      <c r="C8308" s="1" t="str">
        <f>"66298909250889"</f>
        <v>66298909250889</v>
      </c>
      <c r="D8308" s="1" t="str">
        <f>"400138"</f>
        <v>400138</v>
      </c>
      <c r="E8308" s="1" t="s">
        <v>4566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</row>
    <row r="8309" spans="1:11" x14ac:dyDescent="0.2">
      <c r="A8309" s="1" t="s">
        <v>3008</v>
      </c>
      <c r="B8309" s="1" t="s">
        <v>3039</v>
      </c>
      <c r="C8309" s="1" t="str">
        <f>"66298909288923"</f>
        <v>66298909288923</v>
      </c>
      <c r="D8309" s="1" t="str">
        <f>"80359"</f>
        <v>80359</v>
      </c>
      <c r="E8309" s="1" t="s">
        <v>4566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</row>
    <row r="8310" spans="1:11" x14ac:dyDescent="0.2">
      <c r="A8310" s="1" t="s">
        <v>3008</v>
      </c>
      <c r="B8310" s="1" t="s">
        <v>3039</v>
      </c>
      <c r="C8310" s="1" t="str">
        <f>"66298909295509"</f>
        <v>66298909295509</v>
      </c>
      <c r="D8310" s="1" t="str">
        <f>"FA009"</f>
        <v>FA009</v>
      </c>
      <c r="E8310" s="1" t="s">
        <v>4566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</row>
    <row r="8311" spans="1:11" x14ac:dyDescent="0.2">
      <c r="A8311" s="1" t="s">
        <v>3008</v>
      </c>
      <c r="B8311" s="1" t="s">
        <v>3040</v>
      </c>
      <c r="C8311" s="1" t="str">
        <f>"66298909351047"</f>
        <v>66298909351047</v>
      </c>
      <c r="D8311" s="1" t="str">
        <f>"5YY-H1800-00HB"</f>
        <v>5YY-H1800-00HB</v>
      </c>
      <c r="E8311" s="1" t="s">
        <v>4566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</row>
    <row r="8312" spans="1:11" x14ac:dyDescent="0.2">
      <c r="A8312" s="1" t="s">
        <v>15</v>
      </c>
      <c r="B8312" s="1" t="s">
        <v>3041</v>
      </c>
      <c r="C8312" s="1" t="str">
        <f>"21680"</f>
        <v>21680</v>
      </c>
      <c r="D8312" s="1" t="str">
        <f>"21680"</f>
        <v>21680</v>
      </c>
      <c r="E8312" s="1" t="s">
        <v>4566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</row>
    <row r="8313" spans="1:11" x14ac:dyDescent="0.2">
      <c r="A8313" s="1" t="s">
        <v>3042</v>
      </c>
      <c r="B8313" s="1" t="s">
        <v>3043</v>
      </c>
      <c r="C8313" s="1" t="str">
        <f>"66298909438678"</f>
        <v>66298909438678</v>
      </c>
      <c r="D8313" s="1" t="str">
        <f>"145/70-6DURO"</f>
        <v>145/70-6DURO</v>
      </c>
      <c r="E8313" s="1" t="s">
        <v>4566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</row>
    <row r="8314" spans="1:11" x14ac:dyDescent="0.2">
      <c r="A8314" s="1" t="s">
        <v>3042</v>
      </c>
      <c r="B8314" s="1" t="s">
        <v>3044</v>
      </c>
      <c r="C8314" s="1" t="str">
        <f>"66298909491669"</f>
        <v>66298909491669</v>
      </c>
      <c r="D8314" s="1" t="str">
        <f>"145X7-6APEX"</f>
        <v>145X7-6APEX</v>
      </c>
      <c r="E8314" s="1" t="s">
        <v>4566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</row>
    <row r="8315" spans="1:11" x14ac:dyDescent="0.2">
      <c r="A8315" s="1" t="s">
        <v>3042</v>
      </c>
      <c r="B8315" s="1" t="s">
        <v>3045</v>
      </c>
      <c r="C8315" s="1" t="str">
        <f>"66298909532842"</f>
        <v>66298909532842</v>
      </c>
      <c r="D8315" s="1" t="str">
        <f>"13X5-6APEX"</f>
        <v>13X5-6APEX</v>
      </c>
      <c r="E8315" s="1" t="s">
        <v>4566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</row>
    <row r="8316" spans="1:11" x14ac:dyDescent="0.2">
      <c r="A8316" s="1" t="s">
        <v>3042</v>
      </c>
      <c r="B8316" s="1" t="s">
        <v>3046</v>
      </c>
      <c r="C8316" s="1" t="str">
        <f>"66298909396265"</f>
        <v>66298909396265</v>
      </c>
      <c r="D8316" s="1" t="str">
        <f>"13X5.00-6CN"</f>
        <v>13X5.00-6CN</v>
      </c>
      <c r="E8316" s="1" t="s">
        <v>4566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</row>
    <row r="8317" spans="1:11" x14ac:dyDescent="0.2">
      <c r="A8317" s="1" t="s">
        <v>3042</v>
      </c>
      <c r="B8317" s="1" t="s">
        <v>3047</v>
      </c>
      <c r="C8317" s="1" t="str">
        <f>"66298909574815"</f>
        <v>66298909574815</v>
      </c>
      <c r="D8317" s="1" t="str">
        <f>"16X8-7JUNKAI"</f>
        <v>16X8-7JUNKAI</v>
      </c>
      <c r="E8317" s="1" t="s">
        <v>4566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</row>
    <row r="8318" spans="1:11" x14ac:dyDescent="0.2">
      <c r="A8318" s="1" t="s">
        <v>3042</v>
      </c>
      <c r="B8318" s="1" t="s">
        <v>3048</v>
      </c>
      <c r="C8318" s="1" t="str">
        <f>"66298909620028"</f>
        <v>66298909620028</v>
      </c>
      <c r="D8318" s="1" t="str">
        <f>"16X8-7APEX"</f>
        <v>16X8-7APEX</v>
      </c>
      <c r="E8318" s="1" t="s">
        <v>4566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</row>
    <row r="8319" spans="1:11" x14ac:dyDescent="0.2">
      <c r="A8319" s="1" t="s">
        <v>3042</v>
      </c>
      <c r="B8319" s="1" t="s">
        <v>3049</v>
      </c>
      <c r="C8319" s="1" t="str">
        <f>"66298909662026"</f>
        <v>66298909662026</v>
      </c>
      <c r="D8319" s="1" t="str">
        <f>"20X7.00-8DURO"</f>
        <v>20X7.00-8DURO</v>
      </c>
      <c r="E8319" s="1" t="s">
        <v>4566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</row>
    <row r="8320" spans="1:11" x14ac:dyDescent="0.2">
      <c r="A8320" s="1" t="s">
        <v>3042</v>
      </c>
      <c r="B8320" s="1" t="s">
        <v>3050</v>
      </c>
      <c r="C8320" s="1" t="str">
        <f>"66298909703522"</f>
        <v>66298909703522</v>
      </c>
      <c r="D8320" s="1" t="str">
        <f>"20X7-8DURO"</f>
        <v>20X7-8DURO</v>
      </c>
      <c r="E8320" s="1" t="s">
        <v>4566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</row>
    <row r="8321" spans="1:11" x14ac:dyDescent="0.2">
      <c r="A8321" s="1" t="s">
        <v>3042</v>
      </c>
      <c r="B8321" s="1" t="s">
        <v>3051</v>
      </c>
      <c r="C8321" s="1" t="str">
        <f>"66298909745553"</f>
        <v>66298909745553</v>
      </c>
      <c r="D8321" s="1" t="str">
        <f>"19X7-8APEX"</f>
        <v>19X7-8APEX</v>
      </c>
      <c r="E8321" s="1" t="s">
        <v>4566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</row>
    <row r="8322" spans="1:11" x14ac:dyDescent="0.2">
      <c r="A8322" s="1" t="s">
        <v>3042</v>
      </c>
      <c r="B8322" s="1" t="s">
        <v>3052</v>
      </c>
      <c r="C8322" s="1" t="str">
        <f>"66298909787479"</f>
        <v>66298909787479</v>
      </c>
      <c r="D8322" s="1" t="str">
        <f>"18X9.5-8APEX"</f>
        <v>18X9.5-8APEX</v>
      </c>
      <c r="E8322" s="1" t="s">
        <v>4566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</row>
    <row r="8323" spans="1:11" x14ac:dyDescent="0.2">
      <c r="A8323" s="1" t="s">
        <v>3042</v>
      </c>
      <c r="B8323" s="1" t="s">
        <v>3053</v>
      </c>
      <c r="C8323" s="1" t="str">
        <f>"66298909829262"</f>
        <v>66298909829262</v>
      </c>
      <c r="D8323" s="1" t="str">
        <f>"22X10-10SR"</f>
        <v>22X10-10SR</v>
      </c>
      <c r="E8323" s="1" t="s">
        <v>4566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</row>
    <row r="8324" spans="1:11" x14ac:dyDescent="0.2">
      <c r="A8324" s="1" t="s">
        <v>3042</v>
      </c>
      <c r="B8324" s="1" t="s">
        <v>3055</v>
      </c>
      <c r="C8324" s="1" t="str">
        <f>"66298909868590"</f>
        <v>66298909868590</v>
      </c>
      <c r="D8324" s="1" t="str">
        <f>"20X10-10APEX"</f>
        <v>20X10-10APEX</v>
      </c>
      <c r="E8324" s="1" t="s">
        <v>4566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</row>
    <row r="8325" spans="1:11" x14ac:dyDescent="0.2">
      <c r="A8325" s="1" t="s">
        <v>3042</v>
      </c>
      <c r="B8325" s="1" t="s">
        <v>3056</v>
      </c>
      <c r="C8325" s="1" t="str">
        <f>"66298909908040"</f>
        <v>66298909908040</v>
      </c>
      <c r="D8325" s="1" t="str">
        <f>"21X7-10APEX"</f>
        <v>21X7-10APEX</v>
      </c>
      <c r="E8325" s="1" t="s">
        <v>4566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</row>
    <row r="8326" spans="1:11" x14ac:dyDescent="0.2">
      <c r="A8326" s="1" t="s">
        <v>3042</v>
      </c>
      <c r="B8326" s="1" t="s">
        <v>3057</v>
      </c>
      <c r="C8326" s="1" t="str">
        <f>"66298909952735"</f>
        <v>66298909952735</v>
      </c>
      <c r="D8326" s="1" t="str">
        <f>"24X10-11APEX"</f>
        <v>24X10-11APEX</v>
      </c>
      <c r="E8326" s="1" t="s">
        <v>4566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</row>
    <row r="8327" spans="1:11" x14ac:dyDescent="0.2">
      <c r="A8327" s="1" t="s">
        <v>3042</v>
      </c>
      <c r="B8327" s="1" t="s">
        <v>3057</v>
      </c>
      <c r="C8327" s="1" t="str">
        <f>"66298909958954"</f>
        <v>66298909958954</v>
      </c>
      <c r="D8327" s="1" t="str">
        <f>"22X7-11APEX"</f>
        <v>22X7-11APEX</v>
      </c>
      <c r="E8327" s="1" t="s">
        <v>4566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</row>
    <row r="8328" spans="1:11" x14ac:dyDescent="0.2">
      <c r="A8328" s="1" t="s">
        <v>3042</v>
      </c>
      <c r="B8328" s="1" t="s">
        <v>3058</v>
      </c>
      <c r="C8328" s="1" t="str">
        <f>"66298910020193"</f>
        <v>66298910020193</v>
      </c>
      <c r="D8328" s="1" t="str">
        <f>"24X8-12APEX"</f>
        <v>24X8-12APEX</v>
      </c>
      <c r="E8328" s="1" t="s">
        <v>4566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</row>
    <row r="8329" spans="1:11" x14ac:dyDescent="0.2">
      <c r="A8329" s="1" t="s">
        <v>3042</v>
      </c>
      <c r="B8329" s="1" t="s">
        <v>3058</v>
      </c>
      <c r="C8329" s="1" t="str">
        <f>"66298910026488"</f>
        <v>66298910026488</v>
      </c>
      <c r="D8329" s="1" t="str">
        <f>"25X8-12APEX"</f>
        <v>25X8-12APEX</v>
      </c>
      <c r="E8329" s="1" t="s">
        <v>4566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</row>
    <row r="8330" spans="1:11" x14ac:dyDescent="0.2">
      <c r="A8330" s="1" t="s">
        <v>3042</v>
      </c>
      <c r="B8330" s="1" t="s">
        <v>3059</v>
      </c>
      <c r="C8330" s="1" t="str">
        <f>"130/90-10TLCST"</f>
        <v>130/90-10TLCST</v>
      </c>
      <c r="D8330" s="1" t="str">
        <f>"130/90-10TLCST"</f>
        <v>130/90-10TLCST</v>
      </c>
      <c r="E8330" s="1" t="s">
        <v>4566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</row>
    <row r="8331" spans="1:11" x14ac:dyDescent="0.2">
      <c r="A8331" s="1" t="s">
        <v>3042</v>
      </c>
      <c r="B8331" s="1" t="s">
        <v>3060</v>
      </c>
      <c r="C8331" s="1" t="str">
        <f>"350X10TLDURO"</f>
        <v>350X10TLDURO</v>
      </c>
      <c r="D8331" s="1" t="str">
        <f>"350X10TLDURO"</f>
        <v>350X10TLDURO</v>
      </c>
      <c r="E8331" s="1" t="s">
        <v>4566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</row>
    <row r="8332" spans="1:11" x14ac:dyDescent="0.2">
      <c r="A8332" s="1" t="s">
        <v>3042</v>
      </c>
      <c r="B8332" s="1" t="s">
        <v>3061</v>
      </c>
      <c r="C8332" s="1" t="str">
        <f>"350/10TLDURO"</f>
        <v>350/10TLDURO</v>
      </c>
      <c r="D8332" s="1" t="str">
        <f>"350/10TLDURO"</f>
        <v>350/10TLDURO</v>
      </c>
      <c r="E8332" s="1" t="s">
        <v>4566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</row>
    <row r="8333" spans="1:11" x14ac:dyDescent="0.2">
      <c r="A8333" s="1" t="s">
        <v>3042</v>
      </c>
      <c r="B8333" s="1" t="s">
        <v>3062</v>
      </c>
      <c r="C8333" s="1" t="str">
        <f>"66298910107981"</f>
        <v>66298910107981</v>
      </c>
      <c r="D8333" s="1" t="str">
        <f>"350-10TLDURO"</f>
        <v>350-10TLDURO</v>
      </c>
      <c r="E8333" s="1" t="s">
        <v>4566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</row>
    <row r="8334" spans="1:11" x14ac:dyDescent="0.2">
      <c r="A8334" s="1" t="s">
        <v>3042</v>
      </c>
      <c r="B8334" s="1" t="s">
        <v>3064</v>
      </c>
      <c r="C8334" s="1" t="str">
        <f>"350*10TLSR"</f>
        <v>350*10TLSR</v>
      </c>
      <c r="D8334" s="1" t="str">
        <f>"350*10TLSR"</f>
        <v>350*10TLSR</v>
      </c>
      <c r="E8334" s="1" t="s">
        <v>4566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</row>
    <row r="8335" spans="1:11" x14ac:dyDescent="0.2">
      <c r="A8335" s="1" t="s">
        <v>3042</v>
      </c>
      <c r="B8335" s="1" t="s">
        <v>3065</v>
      </c>
      <c r="C8335" s="1" t="str">
        <f>"350X10TLSR"</f>
        <v>350X10TLSR</v>
      </c>
      <c r="D8335" s="1" t="str">
        <f>"350X10TLSR"</f>
        <v>350X10TLSR</v>
      </c>
      <c r="E8335" s="1" t="s">
        <v>4566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</row>
    <row r="8336" spans="1:11" x14ac:dyDescent="0.2">
      <c r="A8336" s="1" t="s">
        <v>3042</v>
      </c>
      <c r="B8336" s="1" t="s">
        <v>3066</v>
      </c>
      <c r="C8336" s="1" t="str">
        <f>"350-10TLSR"</f>
        <v>350-10TLSR</v>
      </c>
      <c r="D8336" s="1" t="str">
        <f>"350-10TLSR"</f>
        <v>350-10TLSR</v>
      </c>
      <c r="E8336" s="1" t="s">
        <v>4566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</row>
    <row r="8337" spans="1:11" x14ac:dyDescent="0.2">
      <c r="A8337" s="1" t="s">
        <v>3042</v>
      </c>
      <c r="B8337" s="1" t="s">
        <v>3067</v>
      </c>
      <c r="C8337" s="1" t="str">
        <f>"66298910182690"</f>
        <v>66298910182690</v>
      </c>
      <c r="D8337" s="1" t="str">
        <f>"90/90-12TLCEAT"</f>
        <v>90/90-12TLCEAT</v>
      </c>
      <c r="E8337" s="1" t="s">
        <v>4566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</row>
    <row r="8338" spans="1:11" x14ac:dyDescent="0.2">
      <c r="A8338" s="1" t="s">
        <v>3042</v>
      </c>
      <c r="B8338" s="1" t="s">
        <v>3068</v>
      </c>
      <c r="C8338" s="1" t="str">
        <f>"90/90-12TLDURO"</f>
        <v>90/90-12TLDURO</v>
      </c>
      <c r="D8338" s="1" t="str">
        <f>"90/90-12TLDURO"</f>
        <v>90/90-12TLDURO</v>
      </c>
      <c r="E8338" s="1" t="s">
        <v>4566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</row>
    <row r="8339" spans="1:11" x14ac:dyDescent="0.2">
      <c r="A8339" s="1" t="s">
        <v>3042</v>
      </c>
      <c r="B8339" s="1" t="s">
        <v>3069</v>
      </c>
      <c r="C8339" s="1" t="str">
        <f>"90/90-12TLGUANGBO"</f>
        <v>90/90-12TLGUANGBO</v>
      </c>
      <c r="D8339" s="1" t="str">
        <f>"90/90-12TLGUANGBO"</f>
        <v>90/90-12TLGUANGBO</v>
      </c>
      <c r="E8339" s="1" t="s">
        <v>4566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</row>
    <row r="8340" spans="1:11" x14ac:dyDescent="0.2">
      <c r="A8340" s="1" t="s">
        <v>3042</v>
      </c>
      <c r="B8340" s="1" t="s">
        <v>3070</v>
      </c>
      <c r="C8340" s="1" t="str">
        <f>"66298910250041"</f>
        <v>66298910250041</v>
      </c>
      <c r="D8340" s="1" t="str">
        <f>"90/90X12TLMI"</f>
        <v>90/90X12TLMI</v>
      </c>
      <c r="E8340" s="1" t="s">
        <v>4566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</row>
    <row r="8341" spans="1:11" x14ac:dyDescent="0.2">
      <c r="A8341" s="1" t="s">
        <v>3042</v>
      </c>
      <c r="B8341" s="1" t="s">
        <v>3071</v>
      </c>
      <c r="C8341" s="1" t="str">
        <f>"90/90-12TLSRUN"</f>
        <v>90/90-12TLSRUN</v>
      </c>
      <c r="D8341" s="1" t="str">
        <f>"90/90-12TLSRUN"</f>
        <v>90/90-12TLSRUN</v>
      </c>
      <c r="E8341" s="1" t="s">
        <v>4566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</row>
    <row r="8342" spans="1:11" x14ac:dyDescent="0.2">
      <c r="A8342" s="1" t="s">
        <v>3042</v>
      </c>
      <c r="B8342" s="1" t="s">
        <v>3072</v>
      </c>
      <c r="C8342" s="1" t="str">
        <f>"66298910294778"</f>
        <v>66298910294778</v>
      </c>
      <c r="D8342" s="1" t="str">
        <f>"120/70-12TLSR"</f>
        <v>120/70-12TLSR</v>
      </c>
      <c r="E8342" s="1" t="s">
        <v>4566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</row>
    <row r="8343" spans="1:11" x14ac:dyDescent="0.2">
      <c r="A8343" s="1" t="s">
        <v>3042</v>
      </c>
      <c r="B8343" s="1" t="s">
        <v>3073</v>
      </c>
      <c r="C8343" s="1" t="str">
        <f>"66298910338806"</f>
        <v>66298910338806</v>
      </c>
      <c r="D8343" s="1" t="str">
        <f>"130/60-13TLSR"</f>
        <v>130/60-13TLSR</v>
      </c>
      <c r="E8343" s="1" t="s">
        <v>4566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</row>
    <row r="8344" spans="1:11" ht="30" x14ac:dyDescent="0.2">
      <c r="A8344" s="1" t="s">
        <v>3042</v>
      </c>
      <c r="B8344" s="1" t="s">
        <v>3074</v>
      </c>
      <c r="C8344" s="1" t="str">
        <f>"275X14CHINO"</f>
        <v>275X14CHINO</v>
      </c>
      <c r="D8344" s="1" t="str">
        <f>"275X14CHINO"</f>
        <v>275X14CHINO</v>
      </c>
      <c r="E8344" s="1" t="s">
        <v>4566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</row>
    <row r="8345" spans="1:11" x14ac:dyDescent="0.2">
      <c r="A8345" s="1" t="s">
        <v>3042</v>
      </c>
      <c r="B8345" s="1" t="s">
        <v>3075</v>
      </c>
      <c r="C8345" s="1" t="str">
        <f>"130/90-15TLDURO"</f>
        <v>130/90-15TLDURO</v>
      </c>
      <c r="D8345" s="1" t="str">
        <f>"130/90-15TLDURO"</f>
        <v>130/90-15TLDURO</v>
      </c>
      <c r="E8345" s="1" t="s">
        <v>4566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</row>
    <row r="8346" spans="1:11" x14ac:dyDescent="0.2">
      <c r="A8346" s="1" t="s">
        <v>3042</v>
      </c>
      <c r="B8346" s="1" t="s">
        <v>3076</v>
      </c>
      <c r="C8346" s="1" t="str">
        <f>"130/90-15TLSR"</f>
        <v>130/90-15TLSR</v>
      </c>
      <c r="D8346" s="1" t="str">
        <f>"130/90-15TLSR"</f>
        <v>130/90-15TLSR</v>
      </c>
      <c r="E8346" s="1" t="s">
        <v>4566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</row>
    <row r="8347" spans="1:11" x14ac:dyDescent="0.2">
      <c r="A8347" s="1" t="s">
        <v>3042</v>
      </c>
      <c r="B8347" s="1" t="s">
        <v>3077</v>
      </c>
      <c r="C8347" s="1" t="str">
        <f>"66298910383364"</f>
        <v>66298910383364</v>
      </c>
      <c r="D8347" s="1" t="str">
        <f>"120/80-16TLCEAT"</f>
        <v>120/80-16TLCEAT</v>
      </c>
      <c r="E8347" s="1" t="s">
        <v>4566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</row>
    <row r="8348" spans="1:11" x14ac:dyDescent="0.2">
      <c r="A8348" s="1" t="s">
        <v>3042</v>
      </c>
      <c r="B8348" s="1" t="s">
        <v>3078</v>
      </c>
      <c r="C8348" s="1" t="str">
        <f>"66298910426596"</f>
        <v>66298910426596</v>
      </c>
      <c r="D8348" s="1" t="str">
        <f>"110/90-16TLCEAT"</f>
        <v>110/90-16TLCEAT</v>
      </c>
      <c r="E8348" s="1" t="s">
        <v>4566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</row>
    <row r="8349" spans="1:11" x14ac:dyDescent="0.2">
      <c r="A8349" s="1" t="s">
        <v>3042</v>
      </c>
      <c r="B8349" s="1" t="s">
        <v>3079</v>
      </c>
      <c r="C8349" s="1" t="str">
        <f>"66298910474265"</f>
        <v>66298910474265</v>
      </c>
      <c r="D8349" s="1" t="str">
        <f>"150/80-16SK"</f>
        <v>150/80-16SK</v>
      </c>
      <c r="E8349" s="1" t="s">
        <v>4566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</row>
    <row r="8350" spans="1:11" x14ac:dyDescent="0.2">
      <c r="A8350" s="1" t="s">
        <v>3042</v>
      </c>
      <c r="B8350" s="1" t="s">
        <v>3079</v>
      </c>
      <c r="C8350" s="1" t="str">
        <f>"66298910483943"</f>
        <v>66298910483943</v>
      </c>
      <c r="D8350" s="1" t="str">
        <f>"180/65B-16TLSK"</f>
        <v>180/65B-16TLSK</v>
      </c>
      <c r="E8350" s="1" t="s">
        <v>4566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</row>
    <row r="8351" spans="1:11" ht="30" x14ac:dyDescent="0.2">
      <c r="A8351" s="1" t="s">
        <v>3042</v>
      </c>
      <c r="B8351" s="1" t="s">
        <v>3080</v>
      </c>
      <c r="C8351" s="1" t="str">
        <f>"66298910538091"</f>
        <v>66298910538091</v>
      </c>
      <c r="D8351" s="1" t="str">
        <f>"130/90-16WWSK"</f>
        <v>130/90-16WWSK</v>
      </c>
      <c r="E8351" s="1" t="s">
        <v>4566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</row>
    <row r="8352" spans="1:11" x14ac:dyDescent="0.2">
      <c r="A8352" s="1" t="s">
        <v>3042</v>
      </c>
      <c r="B8352" s="1" t="s">
        <v>3081</v>
      </c>
      <c r="C8352" s="1" t="str">
        <f>"110/90-16TLSR"</f>
        <v>110/90-16TLSR</v>
      </c>
      <c r="D8352" s="1" t="str">
        <f>"110/90-16TLSR"</f>
        <v>110/90-16TLSR</v>
      </c>
      <c r="E8352" s="1" t="s">
        <v>4566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</row>
    <row r="8353" spans="1:11" x14ac:dyDescent="0.2">
      <c r="A8353" s="1" t="s">
        <v>3042</v>
      </c>
      <c r="B8353" s="1" t="s">
        <v>3082</v>
      </c>
      <c r="C8353" s="1" t="str">
        <f>"100/80-17TLCEAT"</f>
        <v>100/80-17TLCEAT</v>
      </c>
      <c r="D8353" s="1" t="str">
        <f>"100/80-17TLCEAT"</f>
        <v>100/80-17TLCEAT</v>
      </c>
      <c r="E8353" s="1" t="s">
        <v>4566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</row>
    <row r="8354" spans="1:11" x14ac:dyDescent="0.2">
      <c r="A8354" s="1" t="s">
        <v>3042</v>
      </c>
      <c r="B8354" s="1" t="s">
        <v>3083</v>
      </c>
      <c r="C8354" s="1" t="str">
        <f>"66298910694903"</f>
        <v>66298910694903</v>
      </c>
      <c r="D8354" s="1" t="str">
        <f>"110/70-17TLCEAT"</f>
        <v>110/70-17TLCEAT</v>
      </c>
      <c r="E8354" s="1" t="s">
        <v>4566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</row>
    <row r="8355" spans="1:11" x14ac:dyDescent="0.2">
      <c r="A8355" s="1" t="s">
        <v>3042</v>
      </c>
      <c r="B8355" s="1" t="s">
        <v>3083</v>
      </c>
      <c r="C8355" s="1" t="str">
        <f>"150/60-17TLCEAT"</f>
        <v>150/60-17TLCEAT</v>
      </c>
      <c r="D8355" s="1" t="str">
        <f>"150/60-17TLCEAT"</f>
        <v>150/60-17TLCEAT</v>
      </c>
      <c r="E8355" s="1" t="s">
        <v>4566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</row>
    <row r="8356" spans="1:11" x14ac:dyDescent="0.2">
      <c r="A8356" s="1" t="s">
        <v>3042</v>
      </c>
      <c r="B8356" s="1" t="s">
        <v>3084</v>
      </c>
      <c r="C8356" s="1" t="str">
        <f>"66298910624970"</f>
        <v>66298910624970</v>
      </c>
      <c r="D8356" s="1" t="str">
        <f>"140/60-17TLCEAT"</f>
        <v>140/60-17TLCEAT</v>
      </c>
      <c r="E8356" s="1" t="s">
        <v>4566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</row>
    <row r="8357" spans="1:11" x14ac:dyDescent="0.2">
      <c r="A8357" s="1" t="s">
        <v>3042</v>
      </c>
      <c r="B8357" s="1" t="s">
        <v>3084</v>
      </c>
      <c r="C8357" s="1" t="str">
        <f>"66298910632902"</f>
        <v>66298910632902</v>
      </c>
      <c r="D8357" s="1" t="str">
        <f>"130/70-17TLCET"</f>
        <v>130/70-17TLCET</v>
      </c>
      <c r="E8357" s="1" t="s">
        <v>4566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</row>
    <row r="8358" spans="1:11" x14ac:dyDescent="0.2">
      <c r="A8358" s="1" t="s">
        <v>3042</v>
      </c>
      <c r="B8358" s="1" t="s">
        <v>3085</v>
      </c>
      <c r="C8358" s="1" t="str">
        <f>"66298910733901"</f>
        <v>66298910733901</v>
      </c>
      <c r="D8358" s="1" t="str">
        <f>"140/70-17TLCEAT"</f>
        <v>140/70-17TLCEAT</v>
      </c>
      <c r="E8358" s="1" t="s">
        <v>4566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</row>
    <row r="8359" spans="1:11" x14ac:dyDescent="0.2">
      <c r="A8359" s="1" t="s">
        <v>3042</v>
      </c>
      <c r="B8359" s="1" t="s">
        <v>3085</v>
      </c>
      <c r="C8359" s="1" t="str">
        <f>"130/70-17TLCEATZ"</f>
        <v>130/70-17TLCEATZ</v>
      </c>
      <c r="D8359" s="1" t="str">
        <f>"130/70-17TLCEATZ"</f>
        <v>130/70-17TLCEATZ</v>
      </c>
      <c r="E8359" s="1" t="s">
        <v>4566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</row>
    <row r="8360" spans="1:11" x14ac:dyDescent="0.2">
      <c r="A8360" s="1" t="s">
        <v>3042</v>
      </c>
      <c r="B8360" s="1" t="s">
        <v>3086</v>
      </c>
      <c r="C8360" s="1" t="str">
        <f>"66298910577073"</f>
        <v>66298910577073</v>
      </c>
      <c r="D8360" s="1" t="str">
        <f>"120/80-17TLCEAT"</f>
        <v>120/80-17TLCEAT</v>
      </c>
      <c r="E8360" s="1" t="s">
        <v>4566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</row>
    <row r="8361" spans="1:11" x14ac:dyDescent="0.2">
      <c r="A8361" s="1" t="s">
        <v>3042</v>
      </c>
      <c r="B8361" s="1" t="s">
        <v>3086</v>
      </c>
      <c r="C8361" s="1" t="str">
        <f>"90/90-17TLCEAT"</f>
        <v>90/90-17TLCEAT</v>
      </c>
      <c r="D8361" s="1" t="str">
        <f>"90/90-17TLCEAT"</f>
        <v>90/90-17TLCEAT</v>
      </c>
      <c r="E8361" s="1" t="s">
        <v>4566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</row>
    <row r="8362" spans="1:11" x14ac:dyDescent="0.2">
      <c r="A8362" s="1" t="s">
        <v>3042</v>
      </c>
      <c r="B8362" s="1" t="s">
        <v>3087</v>
      </c>
      <c r="C8362" s="1" t="str">
        <f>"120/90-17TTCHY"</f>
        <v>120/90-17TTCHY</v>
      </c>
      <c r="D8362" s="1" t="str">
        <f>"120/90-17TTCHY"</f>
        <v>120/90-17TTCHY</v>
      </c>
      <c r="E8362" s="1" t="s">
        <v>4566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</row>
    <row r="8363" spans="1:11" x14ac:dyDescent="0.2">
      <c r="A8363" s="1" t="s">
        <v>3042</v>
      </c>
      <c r="B8363" s="1" t="s">
        <v>3088</v>
      </c>
      <c r="C8363" s="1" t="str">
        <f>"250-17DURO"</f>
        <v>250-17DURO</v>
      </c>
      <c r="D8363" s="1" t="str">
        <f>"250-17DURO"</f>
        <v>250-17DURO</v>
      </c>
      <c r="E8363" s="1" t="s">
        <v>4566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</row>
    <row r="8364" spans="1:11" x14ac:dyDescent="0.2">
      <c r="A8364" s="1" t="s">
        <v>3042</v>
      </c>
      <c r="B8364" s="1" t="s">
        <v>3089</v>
      </c>
      <c r="C8364" s="1" t="str">
        <f>"120/80-17DURO"</f>
        <v>120/80-17DURO</v>
      </c>
      <c r="D8364" s="1" t="str">
        <f>"120/80-17DURO"</f>
        <v>120/80-17DURO</v>
      </c>
      <c r="E8364" s="1" t="s">
        <v>4566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</row>
    <row r="8365" spans="1:11" x14ac:dyDescent="0.2">
      <c r="A8365" s="1" t="s">
        <v>3042</v>
      </c>
      <c r="B8365" s="1" t="s">
        <v>3090</v>
      </c>
      <c r="C8365" s="1" t="str">
        <f>"140/70X17DURO"</f>
        <v>140/70X17DURO</v>
      </c>
      <c r="D8365" s="1" t="str">
        <f>"140/70X17DURO"</f>
        <v>140/70X17DURO</v>
      </c>
      <c r="E8365" s="1" t="s">
        <v>4566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</row>
    <row r="8366" spans="1:11" x14ac:dyDescent="0.2">
      <c r="A8366" s="1" t="s">
        <v>3042</v>
      </c>
      <c r="B8366" s="1" t="s">
        <v>3090</v>
      </c>
      <c r="C8366" s="1" t="str">
        <f>"90/90X17DURO"</f>
        <v>90/90X17DURO</v>
      </c>
      <c r="D8366" s="1" t="str">
        <f>"90/90X17DURO"</f>
        <v>90/90X17DURO</v>
      </c>
      <c r="E8366" s="1" t="s">
        <v>4566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</row>
    <row r="8367" spans="1:11" x14ac:dyDescent="0.2">
      <c r="A8367" s="1" t="s">
        <v>3042</v>
      </c>
      <c r="B8367" s="1" t="s">
        <v>3090</v>
      </c>
      <c r="C8367" s="1" t="str">
        <f>"110/70X17DURO"</f>
        <v>110/70X17DURO</v>
      </c>
      <c r="D8367" s="1" t="str">
        <f>"110/70X17DURO"</f>
        <v>110/70X17DURO</v>
      </c>
      <c r="E8367" s="1" t="s">
        <v>4566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</row>
    <row r="8368" spans="1:11" x14ac:dyDescent="0.2">
      <c r="A8368" s="1" t="s">
        <v>3042</v>
      </c>
      <c r="B8368" s="1" t="s">
        <v>3091</v>
      </c>
      <c r="C8368" s="1" t="str">
        <f>"120/70ZR-17/K-905"</f>
        <v>120/70ZR-17/K-905</v>
      </c>
      <c r="D8368" s="1" t="str">
        <f>"120/70ZR-17/K-905"</f>
        <v>120/70ZR-17/K-905</v>
      </c>
      <c r="E8368" s="1" t="s">
        <v>4566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</row>
    <row r="8369" spans="1:11" x14ac:dyDescent="0.2">
      <c r="A8369" s="1" t="s">
        <v>3042</v>
      </c>
      <c r="B8369" s="1" t="s">
        <v>3091</v>
      </c>
      <c r="C8369" s="1" t="str">
        <f>"180/55ZR-17/K-905"</f>
        <v>180/55ZR-17/K-905</v>
      </c>
      <c r="D8369" s="1" t="str">
        <f>"180/55ZR-17/K-905"</f>
        <v>180/55ZR-17/K-905</v>
      </c>
      <c r="E8369" s="1" t="s">
        <v>4566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</row>
    <row r="8370" spans="1:11" x14ac:dyDescent="0.2">
      <c r="A8370" s="1" t="s">
        <v>3042</v>
      </c>
      <c r="B8370" s="1" t="s">
        <v>3092</v>
      </c>
      <c r="C8370" s="1" t="str">
        <f>"110/70ZR-17/K-97"</f>
        <v>110/70ZR-17/K-97</v>
      </c>
      <c r="D8370" s="1" t="str">
        <f>"110/70ZR-17/K-97"</f>
        <v>110/70ZR-17/K-97</v>
      </c>
      <c r="E8370" s="1" t="s">
        <v>4566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</row>
    <row r="8371" spans="1:11" x14ac:dyDescent="0.2">
      <c r="A8371" s="1" t="s">
        <v>3042</v>
      </c>
      <c r="B8371" s="1" t="s">
        <v>3092</v>
      </c>
      <c r="C8371" s="1" t="str">
        <f>"140/70ZR-17/K-97"</f>
        <v>140/70ZR-17/K-97</v>
      </c>
      <c r="D8371" s="1" t="str">
        <f>"140/70ZR-17/K-97"</f>
        <v>140/70ZR-17/K-97</v>
      </c>
      <c r="E8371" s="1" t="s">
        <v>4566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</row>
    <row r="8372" spans="1:11" x14ac:dyDescent="0.2">
      <c r="A8372" s="1" t="s">
        <v>3042</v>
      </c>
      <c r="B8372" s="1" t="s">
        <v>3092</v>
      </c>
      <c r="C8372" s="1" t="str">
        <f>"150/60ZR-17/K-97"</f>
        <v>150/60ZR-17/K-97</v>
      </c>
      <c r="D8372" s="1" t="str">
        <f>"150/60ZR-17/K-97"</f>
        <v>150/60ZR-17/K-97</v>
      </c>
      <c r="E8372" s="1" t="s">
        <v>4566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</row>
    <row r="8373" spans="1:11" x14ac:dyDescent="0.2">
      <c r="A8373" s="1" t="s">
        <v>3042</v>
      </c>
      <c r="B8373" s="1" t="s">
        <v>3092</v>
      </c>
      <c r="C8373" s="1" t="str">
        <f>"160/60ZR-17/K-97"</f>
        <v>160/60ZR-17/K-97</v>
      </c>
      <c r="D8373" s="1" t="str">
        <f>"160/60ZR-17/K-97"</f>
        <v>160/60ZR-17/K-97</v>
      </c>
      <c r="E8373" s="1" t="s">
        <v>4566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</row>
    <row r="8374" spans="1:11" x14ac:dyDescent="0.2">
      <c r="A8374" s="1" t="s">
        <v>3042</v>
      </c>
      <c r="B8374" s="1" t="s">
        <v>3093</v>
      </c>
      <c r="C8374" s="1" t="str">
        <f>"100/80-17TLMI"</f>
        <v>100/80-17TLMI</v>
      </c>
      <c r="D8374" s="1" t="str">
        <f>"100/80-17TLMI"</f>
        <v>100/80-17TLMI</v>
      </c>
      <c r="E8374" s="1" t="s">
        <v>4566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</row>
    <row r="8375" spans="1:11" ht="30" x14ac:dyDescent="0.2">
      <c r="A8375" s="1" t="s">
        <v>3042</v>
      </c>
      <c r="B8375" s="1" t="s">
        <v>3094</v>
      </c>
      <c r="C8375" s="1" t="str">
        <f>"140/60X17TLMI"</f>
        <v>140/60X17TLMI</v>
      </c>
      <c r="D8375" s="1" t="str">
        <f>"140/60X17TLMI"</f>
        <v>140/60X17TLMI</v>
      </c>
      <c r="E8375" s="1" t="s">
        <v>4566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</row>
    <row r="8376" spans="1:11" ht="30" x14ac:dyDescent="0.2">
      <c r="A8376" s="1" t="s">
        <v>3042</v>
      </c>
      <c r="B8376" s="1" t="s">
        <v>3094</v>
      </c>
      <c r="C8376" s="1" t="str">
        <f>"130/70X17TLMI"</f>
        <v>130/70X17TLMI</v>
      </c>
      <c r="D8376" s="1" t="str">
        <f>"130/70X17TLMI"</f>
        <v>130/70X17TLMI</v>
      </c>
      <c r="E8376" s="1" t="s">
        <v>4566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</row>
    <row r="8377" spans="1:11" ht="30" x14ac:dyDescent="0.2">
      <c r="A8377" s="1" t="s">
        <v>3042</v>
      </c>
      <c r="B8377" s="1" t="s">
        <v>3095</v>
      </c>
      <c r="C8377" s="1" t="str">
        <f>"140/70*17TLMI"</f>
        <v>140/70*17TLMI</v>
      </c>
      <c r="D8377" s="1" t="str">
        <f>"140/70*17TLMI"</f>
        <v>140/70*17TLMI</v>
      </c>
      <c r="E8377" s="1" t="s">
        <v>4566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</row>
    <row r="8378" spans="1:11" x14ac:dyDescent="0.2">
      <c r="A8378" s="1" t="s">
        <v>3042</v>
      </c>
      <c r="B8378" s="1" t="s">
        <v>3096</v>
      </c>
      <c r="C8378" s="1" t="str">
        <f>"66298910774575"</f>
        <v>66298910774575</v>
      </c>
      <c r="D8378" s="1" t="str">
        <f>"110/90-17TLMI"</f>
        <v>110/90-17TLMI</v>
      </c>
      <c r="E8378" s="1" t="s">
        <v>4566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</row>
    <row r="8379" spans="1:11" x14ac:dyDescent="0.2">
      <c r="A8379" s="1" t="s">
        <v>3042</v>
      </c>
      <c r="B8379" s="1" t="s">
        <v>3097</v>
      </c>
      <c r="C8379" s="1" t="str">
        <f>"110/90X17-DSPT"</f>
        <v>110/90X17-DSPT</v>
      </c>
      <c r="D8379" s="1" t="str">
        <f>"110/90X17-DSPT"</f>
        <v>110/90X17-DSPT</v>
      </c>
      <c r="E8379" s="1" t="s">
        <v>4566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</row>
    <row r="8380" spans="1:11" x14ac:dyDescent="0.2">
      <c r="A8380" s="1" t="s">
        <v>3042</v>
      </c>
      <c r="B8380" s="1" t="s">
        <v>3099</v>
      </c>
      <c r="C8380" s="1" t="str">
        <f>"100/80X17-TLPT"</f>
        <v>100/80X17-TLPT</v>
      </c>
      <c r="D8380" s="1" t="str">
        <f>"100/80X17-TLPT"</f>
        <v>100/80X17-TLPT</v>
      </c>
      <c r="E8380" s="1" t="s">
        <v>4566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</row>
    <row r="8381" spans="1:11" ht="30" x14ac:dyDescent="0.2">
      <c r="A8381" s="1" t="s">
        <v>3042</v>
      </c>
      <c r="B8381" s="1" t="s">
        <v>3100</v>
      </c>
      <c r="C8381" s="1" t="str">
        <f>"66298910818500"</f>
        <v>66298910818500</v>
      </c>
      <c r="D8381" s="1" t="str">
        <f>"120/70ZR17TLSK"</f>
        <v>120/70ZR17TLSK</v>
      </c>
      <c r="E8381" s="1" t="s">
        <v>4566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</row>
    <row r="8382" spans="1:11" ht="30" x14ac:dyDescent="0.2">
      <c r="A8382" s="1" t="s">
        <v>3042</v>
      </c>
      <c r="B8382" s="1" t="s">
        <v>3101</v>
      </c>
      <c r="C8382" s="1" t="str">
        <f>"66298910860656"</f>
        <v>66298910860656</v>
      </c>
      <c r="D8382" s="1" t="str">
        <f>"160/60ZR17TLSK"</f>
        <v>160/60ZR17TLSK</v>
      </c>
      <c r="E8382" s="1" t="s">
        <v>4566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</row>
    <row r="8383" spans="1:11" x14ac:dyDescent="0.2">
      <c r="A8383" s="1" t="s">
        <v>3042</v>
      </c>
      <c r="B8383" s="1" t="s">
        <v>3102</v>
      </c>
      <c r="C8383" s="1" t="str">
        <f>"66298910904618"</f>
        <v>66298910904618</v>
      </c>
      <c r="D8383" s="1" t="str">
        <f>"140/80-17TBSK"</f>
        <v>140/80-17TBSK</v>
      </c>
      <c r="E8383" s="1" t="s">
        <v>4566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</row>
    <row r="8384" spans="1:11" x14ac:dyDescent="0.2">
      <c r="A8384" s="1" t="s">
        <v>3042</v>
      </c>
      <c r="B8384" s="1" t="s">
        <v>3103</v>
      </c>
      <c r="C8384" s="1" t="str">
        <f>"120/80-17TLSR"</f>
        <v>120/80-17TLSR</v>
      </c>
      <c r="D8384" s="1" t="str">
        <f>"120/80-17TLSR"</f>
        <v>120/80-17TLSR</v>
      </c>
      <c r="E8384" s="1" t="s">
        <v>4566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</row>
    <row r="8385" spans="1:11" x14ac:dyDescent="0.2">
      <c r="A8385" s="1" t="s">
        <v>3042</v>
      </c>
      <c r="B8385" s="1" t="s">
        <v>3104</v>
      </c>
      <c r="C8385" s="1" t="str">
        <f>"110/90-17TLSR"</f>
        <v>110/90-17TLSR</v>
      </c>
      <c r="D8385" s="1" t="str">
        <f>"110/90-17TLSR"</f>
        <v>110/90-17TLSR</v>
      </c>
      <c r="E8385" s="1" t="s">
        <v>4566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</row>
    <row r="8386" spans="1:11" x14ac:dyDescent="0.2">
      <c r="A8386" s="1" t="s">
        <v>3042</v>
      </c>
      <c r="B8386" s="1" t="s">
        <v>3105</v>
      </c>
      <c r="C8386" s="1" t="str">
        <f>"110/90X17TLSR"</f>
        <v>110/90X17TLSR</v>
      </c>
      <c r="D8386" s="1" t="str">
        <f>"110/90X17TLSR"</f>
        <v>110/90X17TLSR</v>
      </c>
      <c r="E8386" s="1" t="s">
        <v>4566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</row>
    <row r="8387" spans="1:11" x14ac:dyDescent="0.2">
      <c r="A8387" s="1" t="s">
        <v>3042</v>
      </c>
      <c r="B8387" s="1" t="s">
        <v>3106</v>
      </c>
      <c r="C8387" s="1" t="str">
        <f>"100/80-17TLSR"</f>
        <v>100/80-17TLSR</v>
      </c>
      <c r="D8387" s="1" t="str">
        <f>"100/80-17TLSR"</f>
        <v>100/80-17TLSR</v>
      </c>
      <c r="E8387" s="1" t="s">
        <v>4566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</row>
    <row r="8388" spans="1:11" x14ac:dyDescent="0.2">
      <c r="A8388" s="1" t="s">
        <v>3042</v>
      </c>
      <c r="B8388" s="1" t="s">
        <v>3107</v>
      </c>
      <c r="C8388" s="1" t="str">
        <f>"140/70-17TLSR"</f>
        <v>140/70-17TLSR</v>
      </c>
      <c r="D8388" s="1" t="str">
        <f>"140/70-17TLSR"</f>
        <v>140/70-17TLSR</v>
      </c>
      <c r="E8388" s="1" t="s">
        <v>4566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</row>
    <row r="8389" spans="1:11" x14ac:dyDescent="0.2">
      <c r="A8389" s="1" t="s">
        <v>3042</v>
      </c>
      <c r="B8389" s="1" t="s">
        <v>3108</v>
      </c>
      <c r="C8389" s="1" t="str">
        <f>"66298910949130"</f>
        <v>66298910949130</v>
      </c>
      <c r="D8389" s="1" t="str">
        <f>"130/70-17TLSR"</f>
        <v>130/70-17TLSR</v>
      </c>
      <c r="E8389" s="1" t="s">
        <v>4566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</row>
    <row r="8390" spans="1:11" x14ac:dyDescent="0.2">
      <c r="A8390" s="1" t="s">
        <v>3042</v>
      </c>
      <c r="B8390" s="1" t="s">
        <v>3108</v>
      </c>
      <c r="C8390" s="1" t="str">
        <f>"140/70X17TLSR"</f>
        <v>140/70X17TLSR</v>
      </c>
      <c r="D8390" s="1" t="str">
        <f>"140/70X17TLSR"</f>
        <v>140/70X17TLSR</v>
      </c>
      <c r="E8390" s="1" t="s">
        <v>4566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</row>
    <row r="8391" spans="1:11" x14ac:dyDescent="0.2">
      <c r="A8391" s="1" t="s">
        <v>3042</v>
      </c>
      <c r="B8391" s="1" t="s">
        <v>3109</v>
      </c>
      <c r="C8391" s="1" t="str">
        <f>"90/90X17TLSR"</f>
        <v>90/90X17TLSR</v>
      </c>
      <c r="D8391" s="1" t="str">
        <f>"90/90X17TLSR"</f>
        <v>90/90X17TLSR</v>
      </c>
      <c r="E8391" s="1" t="s">
        <v>4566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</row>
    <row r="8392" spans="1:11" x14ac:dyDescent="0.2">
      <c r="A8392" s="1" t="s">
        <v>3042</v>
      </c>
      <c r="B8392" s="1" t="s">
        <v>3113</v>
      </c>
      <c r="C8392" s="1" t="str">
        <f>"300-18TLCEAT"</f>
        <v>300-18TLCEAT</v>
      </c>
      <c r="D8392" s="1" t="str">
        <f>"300-18TLCEAT"</f>
        <v>300-18TLCEAT</v>
      </c>
      <c r="E8392" s="1" t="s">
        <v>4566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</row>
    <row r="8393" spans="1:11" x14ac:dyDescent="0.2">
      <c r="A8393" s="1" t="s">
        <v>3042</v>
      </c>
      <c r="B8393" s="1" t="s">
        <v>3114</v>
      </c>
      <c r="C8393" s="1" t="str">
        <f>"66298910986803"</f>
        <v>66298910986803</v>
      </c>
      <c r="D8393" s="1" t="str">
        <f>"275-18TTCEAT"</f>
        <v>275-18TTCEAT</v>
      </c>
      <c r="E8393" s="1" t="s">
        <v>4566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</row>
    <row r="8394" spans="1:11" x14ac:dyDescent="0.2">
      <c r="A8394" s="1" t="s">
        <v>3042</v>
      </c>
      <c r="B8394" s="1" t="s">
        <v>3115</v>
      </c>
      <c r="C8394" s="1" t="str">
        <f>"90/90-18TLCEAT"</f>
        <v>90/90-18TLCEAT</v>
      </c>
      <c r="D8394" s="1" t="str">
        <f>"90/90-18TLCEAT"</f>
        <v>90/90-18TLCEAT</v>
      </c>
      <c r="E8394" s="1" t="s">
        <v>4566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</row>
    <row r="8395" spans="1:11" x14ac:dyDescent="0.2">
      <c r="A8395" s="1" t="s">
        <v>3042</v>
      </c>
      <c r="B8395" s="1" t="s">
        <v>3116</v>
      </c>
      <c r="C8395" s="1" t="str">
        <f>"66298911026113"</f>
        <v>66298911026113</v>
      </c>
      <c r="D8395" s="1" t="str">
        <f>"110/90-18TLCEAT"</f>
        <v>110/90-18TLCEAT</v>
      </c>
      <c r="E8395" s="1" t="s">
        <v>4566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</row>
    <row r="8396" spans="1:11" x14ac:dyDescent="0.2">
      <c r="A8396" s="1" t="s">
        <v>3042</v>
      </c>
      <c r="B8396" s="1" t="s">
        <v>3117</v>
      </c>
      <c r="C8396" s="1" t="str">
        <f>"110/90-18TLCHY"</f>
        <v>110/90-18TLCHY</v>
      </c>
      <c r="D8396" s="1" t="str">
        <f>"110/90-18TLCHY"</f>
        <v>110/90-18TLCHY</v>
      </c>
      <c r="E8396" s="1" t="s">
        <v>4566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</row>
    <row r="8397" spans="1:11" x14ac:dyDescent="0.2">
      <c r="A8397" s="1" t="s">
        <v>3042</v>
      </c>
      <c r="B8397" s="1" t="s">
        <v>3118</v>
      </c>
      <c r="C8397" s="1" t="str">
        <f>"90/90-18TLCST"</f>
        <v>90/90-18TLCST</v>
      </c>
      <c r="D8397" s="1" t="str">
        <f>"90/90-18TLCST"</f>
        <v>90/90-18TLCST</v>
      </c>
      <c r="E8397" s="1" t="s">
        <v>4566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</row>
    <row r="8398" spans="1:11" x14ac:dyDescent="0.2">
      <c r="A8398" s="1" t="s">
        <v>3042</v>
      </c>
      <c r="B8398" s="1" t="s">
        <v>3119</v>
      </c>
      <c r="C8398" s="1" t="str">
        <f>"80/100X18DURO"</f>
        <v>80/100X18DURO</v>
      </c>
      <c r="D8398" s="1" t="str">
        <f>"80/100X18DURO"</f>
        <v>80/100X18DURO</v>
      </c>
      <c r="E8398" s="1" t="s">
        <v>4566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</row>
    <row r="8399" spans="1:11" x14ac:dyDescent="0.2">
      <c r="A8399" s="1" t="s">
        <v>3042</v>
      </c>
      <c r="B8399" s="1" t="s">
        <v>3120</v>
      </c>
      <c r="C8399" s="1" t="str">
        <f>"275XDURO"</f>
        <v>275XDURO</v>
      </c>
      <c r="D8399" s="1" t="str">
        <f>"275X18DURO"</f>
        <v>275X18DURO</v>
      </c>
      <c r="E8399" s="1" t="s">
        <v>4566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</row>
    <row r="8400" spans="1:11" x14ac:dyDescent="0.2">
      <c r="A8400" s="1" t="s">
        <v>3042</v>
      </c>
      <c r="B8400" s="1" t="s">
        <v>3121</v>
      </c>
      <c r="C8400" s="1" t="str">
        <f>"66298911066044"</f>
        <v>66298911066044</v>
      </c>
      <c r="D8400" s="1" t="str">
        <f>"110/90-18TLDURO"</f>
        <v>110/90-18TLDURO</v>
      </c>
      <c r="E8400" s="1" t="s">
        <v>4566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</row>
    <row r="8401" spans="1:11" ht="30" x14ac:dyDescent="0.2">
      <c r="A8401" s="1" t="s">
        <v>3042</v>
      </c>
      <c r="B8401" s="1" t="s">
        <v>3122</v>
      </c>
      <c r="C8401" s="1" t="str">
        <f>"90/90-18TLMI"</f>
        <v>90/90-18TLMI</v>
      </c>
      <c r="D8401" s="1" t="str">
        <f>"90/90-18TLMI"</f>
        <v>90/90-18TLMI</v>
      </c>
      <c r="E8401" s="1" t="s">
        <v>4566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</row>
    <row r="8402" spans="1:11" ht="30" x14ac:dyDescent="0.2">
      <c r="A8402" s="1" t="s">
        <v>3042</v>
      </c>
      <c r="B8402" s="1" t="s">
        <v>3123</v>
      </c>
      <c r="C8402" s="1" t="str">
        <f>"100/90-18TLMI"</f>
        <v>100/90-18TLMI</v>
      </c>
      <c r="D8402" s="1" t="str">
        <f>"100/90-18TLMI"</f>
        <v>100/90-18TLMI</v>
      </c>
      <c r="E8402" s="1" t="s">
        <v>4566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</row>
    <row r="8403" spans="1:11" x14ac:dyDescent="0.2">
      <c r="A8403" s="1" t="s">
        <v>3042</v>
      </c>
      <c r="B8403" s="1" t="s">
        <v>3124</v>
      </c>
      <c r="C8403" s="1" t="str">
        <f>"80/100X18-TLPT"</f>
        <v>80/100X18-TLPT</v>
      </c>
      <c r="D8403" s="1" t="str">
        <f>"80/100X18-TLPT"</f>
        <v>80/100X18-TLPT</v>
      </c>
      <c r="E8403" s="1" t="s">
        <v>4566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</row>
    <row r="8404" spans="1:11" x14ac:dyDescent="0.2">
      <c r="A8404" s="1" t="s">
        <v>3042</v>
      </c>
      <c r="B8404" s="1" t="s">
        <v>3124</v>
      </c>
      <c r="C8404" s="1" t="str">
        <f>"90/90-18-TLPT"</f>
        <v>90/90-18-TLPT</v>
      </c>
      <c r="D8404" s="1" t="str">
        <f>"90/90-18-TLPT"</f>
        <v>90/90-18-TLPT</v>
      </c>
      <c r="E8404" s="1" t="s">
        <v>4566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</row>
    <row r="8405" spans="1:11" x14ac:dyDescent="0.2">
      <c r="A8405" s="1" t="s">
        <v>3042</v>
      </c>
      <c r="B8405" s="1" t="s">
        <v>3125</v>
      </c>
      <c r="C8405" s="1" t="str">
        <f>"90/90*18-TLPT"</f>
        <v>90/90*18-TLPT</v>
      </c>
      <c r="D8405" s="1" t="str">
        <f>"90/90*18-TLPT"</f>
        <v>90/90*18-TLPT</v>
      </c>
      <c r="E8405" s="1" t="s">
        <v>4566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</row>
    <row r="8406" spans="1:11" x14ac:dyDescent="0.2">
      <c r="A8406" s="1" t="s">
        <v>3042</v>
      </c>
      <c r="B8406" s="1" t="s">
        <v>3125</v>
      </c>
      <c r="C8406" s="1" t="str">
        <f>"80/100-18-TLPT"</f>
        <v>80/100-18-TLPT</v>
      </c>
      <c r="D8406" s="1" t="str">
        <f>"80/100-18-TLPT"</f>
        <v>80/100-18-TLPT</v>
      </c>
      <c r="E8406" s="1" t="s">
        <v>4566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</row>
    <row r="8407" spans="1:11" x14ac:dyDescent="0.2">
      <c r="A8407" s="1" t="s">
        <v>3042</v>
      </c>
      <c r="B8407" s="1" t="s">
        <v>3127</v>
      </c>
      <c r="C8407" s="1" t="str">
        <f>"275X18SR"</f>
        <v>275X18SR</v>
      </c>
      <c r="D8407" s="1" t="str">
        <f>"275X18SR"</f>
        <v>275X18SR</v>
      </c>
      <c r="E8407" s="1" t="s">
        <v>4566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</row>
    <row r="8408" spans="1:11" x14ac:dyDescent="0.2">
      <c r="A8408" s="1" t="s">
        <v>3042</v>
      </c>
      <c r="B8408" s="1" t="s">
        <v>3127</v>
      </c>
      <c r="C8408" s="1" t="str">
        <f>"300*18SR"</f>
        <v>300*18SR</v>
      </c>
      <c r="D8408" s="1" t="str">
        <f>"300*18SR"</f>
        <v>300*18SR</v>
      </c>
      <c r="E8408" s="1" t="s">
        <v>4566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</row>
    <row r="8409" spans="1:11" x14ac:dyDescent="0.2">
      <c r="A8409" s="1" t="s">
        <v>3042</v>
      </c>
      <c r="B8409" s="1" t="s">
        <v>3128</v>
      </c>
      <c r="C8409" s="1" t="str">
        <f>"100/90-18TLSR"</f>
        <v>100/90-18TLSR</v>
      </c>
      <c r="D8409" s="1" t="str">
        <f>"100/90-18TLSR"</f>
        <v>100/90-18TLSR</v>
      </c>
      <c r="E8409" s="1" t="s">
        <v>4566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</row>
    <row r="8410" spans="1:11" x14ac:dyDescent="0.2">
      <c r="A8410" s="1" t="s">
        <v>3042</v>
      </c>
      <c r="B8410" s="1" t="s">
        <v>3129</v>
      </c>
      <c r="C8410" s="1" t="str">
        <f>"90/90-18TLSR"</f>
        <v>90/90-18TLSR</v>
      </c>
      <c r="D8410" s="1" t="str">
        <f>"90/90-18TLSR"</f>
        <v>90/90-18TLSR</v>
      </c>
      <c r="E8410" s="1" t="s">
        <v>4566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</row>
    <row r="8411" spans="1:11" x14ac:dyDescent="0.2">
      <c r="A8411" s="1" t="s">
        <v>3042</v>
      </c>
      <c r="B8411" s="1" t="s">
        <v>3130</v>
      </c>
      <c r="C8411" s="1" t="str">
        <f>"300X18SR"</f>
        <v>300X18SR</v>
      </c>
      <c r="D8411" s="1" t="str">
        <f>"300X18SR"</f>
        <v>300X18SR</v>
      </c>
      <c r="E8411" s="1" t="s">
        <v>4566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</row>
    <row r="8412" spans="1:11" x14ac:dyDescent="0.2">
      <c r="A8412" s="1" t="s">
        <v>3042</v>
      </c>
      <c r="B8412" s="1" t="s">
        <v>3131</v>
      </c>
      <c r="C8412" s="1" t="str">
        <f>"300-18SR"</f>
        <v>300-18SR</v>
      </c>
      <c r="D8412" s="1" t="str">
        <f>"300-18SR"</f>
        <v>300-18SR</v>
      </c>
      <c r="E8412" s="1" t="s">
        <v>4566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</row>
    <row r="8413" spans="1:11" x14ac:dyDescent="0.2">
      <c r="A8413" s="1" t="s">
        <v>3042</v>
      </c>
      <c r="B8413" s="1" t="s">
        <v>3133</v>
      </c>
      <c r="C8413" s="1" t="str">
        <f>"90/90-19TTCEAT"</f>
        <v>90/90-19TTCEAT</v>
      </c>
      <c r="D8413" s="1" t="str">
        <f>"90/90-19TTCEAT"</f>
        <v>90/90-19TTCEAT</v>
      </c>
      <c r="E8413" s="1" t="s">
        <v>4566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</row>
    <row r="8414" spans="1:11" x14ac:dyDescent="0.2">
      <c r="A8414" s="1" t="s">
        <v>3042</v>
      </c>
      <c r="B8414" s="1" t="s">
        <v>3134</v>
      </c>
      <c r="C8414" s="1" t="str">
        <f>"90/90-19TTCHY"</f>
        <v>90/90-19TTCHY</v>
      </c>
      <c r="D8414" s="1" t="str">
        <f>"90/90-19TTCHY"</f>
        <v>90/90-19TTCHY</v>
      </c>
      <c r="E8414" s="1" t="s">
        <v>4566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</row>
    <row r="8415" spans="1:11" x14ac:dyDescent="0.2">
      <c r="A8415" s="1" t="s">
        <v>3042</v>
      </c>
      <c r="B8415" s="1" t="s">
        <v>3135</v>
      </c>
      <c r="C8415" s="1" t="str">
        <f>"90/100*14MX"</f>
        <v>90/100*14MX</v>
      </c>
      <c r="D8415" s="1" t="str">
        <f>"90/100*14MX"</f>
        <v>90/100*14MX</v>
      </c>
      <c r="E8415" s="1" t="s">
        <v>4566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</row>
    <row r="8416" spans="1:11" x14ac:dyDescent="0.2">
      <c r="A8416" s="1" t="s">
        <v>3042</v>
      </c>
      <c r="B8416" s="1" t="s">
        <v>3136</v>
      </c>
      <c r="C8416" s="1" t="str">
        <f>"300-16CR"</f>
        <v>300-16CR</v>
      </c>
      <c r="D8416" s="1" t="str">
        <f>"300-16CR"</f>
        <v>300-16CR</v>
      </c>
      <c r="E8416" s="1" t="s">
        <v>4566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</row>
    <row r="8417" spans="1:11" x14ac:dyDescent="0.2">
      <c r="A8417" s="1" t="s">
        <v>3042</v>
      </c>
      <c r="B8417" s="1" t="s">
        <v>3137</v>
      </c>
      <c r="C8417" s="1" t="str">
        <f>"66298911107621"</f>
        <v>66298911107621</v>
      </c>
      <c r="D8417" s="1" t="str">
        <f>"410X18CRDURO"</f>
        <v>410X18CRDURO</v>
      </c>
      <c r="E8417" s="1" t="s">
        <v>4566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</row>
    <row r="8418" spans="1:11" x14ac:dyDescent="0.2">
      <c r="A8418" s="1" t="s">
        <v>3042</v>
      </c>
      <c r="B8418" s="1" t="s">
        <v>3138</v>
      </c>
      <c r="C8418" s="1" t="str">
        <f>"66298911150735"</f>
        <v>66298911150735</v>
      </c>
      <c r="D8418" s="1" t="str">
        <f>"100/90X19CRSK"</f>
        <v>100/90X19CRSK</v>
      </c>
      <c r="E8418" s="1" t="s">
        <v>4566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</row>
    <row r="8419" spans="1:11" x14ac:dyDescent="0.2">
      <c r="A8419" s="1" t="s">
        <v>3042</v>
      </c>
      <c r="B8419" s="1" t="s">
        <v>3139</v>
      </c>
      <c r="C8419" s="1" t="str">
        <f>"66298911201249"</f>
        <v>66298911201249</v>
      </c>
      <c r="D8419" s="1" t="str">
        <f>"90/100X19CRSR"</f>
        <v>90/100X19CRSR</v>
      </c>
      <c r="E8419" s="1" t="s">
        <v>4566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</row>
    <row r="8420" spans="1:11" x14ac:dyDescent="0.2">
      <c r="A8420" s="1" t="s">
        <v>3042</v>
      </c>
      <c r="B8420" s="1" t="s">
        <v>3140</v>
      </c>
      <c r="C8420" s="1" t="str">
        <f>"275X18DEDURO"</f>
        <v>275X18DEDURO</v>
      </c>
      <c r="D8420" s="1" t="str">
        <f>"275X18DEDURO"</f>
        <v>275X18DEDURO</v>
      </c>
      <c r="E8420" s="1" t="s">
        <v>4566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</row>
    <row r="8421" spans="1:11" x14ac:dyDescent="0.2">
      <c r="A8421" s="1" t="s">
        <v>3042</v>
      </c>
      <c r="B8421" s="1" t="s">
        <v>3141</v>
      </c>
      <c r="C8421" s="1" t="str">
        <f>"110/80-17TLDURO"</f>
        <v>110/80-17TLDURO</v>
      </c>
      <c r="D8421" s="1" t="str">
        <f>"110/80-17TLDURO"</f>
        <v>110/80-17TLDURO</v>
      </c>
      <c r="E8421" s="1" t="s">
        <v>4566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</row>
    <row r="8422" spans="1:11" ht="30" x14ac:dyDescent="0.2">
      <c r="A8422" s="1" t="s">
        <v>3042</v>
      </c>
      <c r="B8422" s="1" t="s">
        <v>3142</v>
      </c>
      <c r="C8422" s="1" t="str">
        <f>"66298911243901"</f>
        <v>66298911243901</v>
      </c>
      <c r="D8422" s="1" t="str">
        <f>"350X10DSSR"</f>
        <v>350X10DSSR</v>
      </c>
      <c r="E8422" s="1" t="s">
        <v>4566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</row>
    <row r="8423" spans="1:11" x14ac:dyDescent="0.2">
      <c r="A8423" s="1" t="s">
        <v>3042</v>
      </c>
      <c r="B8423" s="1" t="s">
        <v>3143</v>
      </c>
      <c r="C8423" s="1" t="str">
        <f>"120/70ZR-17/K-66"</f>
        <v>120/70ZR-17/K-66</v>
      </c>
      <c r="D8423" s="1" t="str">
        <f>"120/70ZR-17/K-66"</f>
        <v>120/70ZR-17/K-66</v>
      </c>
      <c r="E8423" s="1" t="s">
        <v>4566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</row>
    <row r="8424" spans="1:11" x14ac:dyDescent="0.2">
      <c r="A8424" s="1" t="s">
        <v>3042</v>
      </c>
      <c r="B8424" s="1" t="s">
        <v>3143</v>
      </c>
      <c r="C8424" s="1" t="str">
        <f>"150/70R-17/K-66"</f>
        <v>150/70R-17/K-66</v>
      </c>
      <c r="D8424" s="1" t="str">
        <f>"150/70R-17/K-66"</f>
        <v>150/70R-17/K-66</v>
      </c>
      <c r="E8424" s="1" t="s">
        <v>4566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</row>
    <row r="8425" spans="1:11" x14ac:dyDescent="0.2">
      <c r="A8425" s="1" t="s">
        <v>3042</v>
      </c>
      <c r="B8425" s="1" t="s">
        <v>3143</v>
      </c>
      <c r="C8425" s="1" t="str">
        <f>"160/60R-17/K-66"</f>
        <v>160/60R-17/K-66</v>
      </c>
      <c r="D8425" s="1" t="str">
        <f>"160/60R-17/K-66"</f>
        <v>160/60R-17/K-66</v>
      </c>
      <c r="E8425" s="1" t="s">
        <v>4566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</row>
    <row r="8426" spans="1:11" ht="30" x14ac:dyDescent="0.2">
      <c r="A8426" s="1" t="s">
        <v>3042</v>
      </c>
      <c r="B8426" s="1" t="s">
        <v>3144</v>
      </c>
      <c r="C8426" s="1" t="str">
        <f>"67822290066342"</f>
        <v>67822290066342</v>
      </c>
      <c r="D8426" s="1" t="str">
        <f>"150/70-17-DSPT"</f>
        <v>150/70-17-DSPT</v>
      </c>
      <c r="E8426" s="1" t="s">
        <v>4566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</row>
    <row r="8427" spans="1:11" x14ac:dyDescent="0.2">
      <c r="A8427" s="1" t="s">
        <v>3042</v>
      </c>
      <c r="B8427" s="1" t="s">
        <v>3145</v>
      </c>
      <c r="C8427" s="1" t="str">
        <f>"66298911288147"</f>
        <v>66298911288147</v>
      </c>
      <c r="D8427" s="1" t="str">
        <f>"90/90-17TLSR"</f>
        <v>90/90-17TLSR</v>
      </c>
      <c r="E8427" s="1" t="s">
        <v>4566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</row>
    <row r="8428" spans="1:11" x14ac:dyDescent="0.2">
      <c r="A8428" s="1" t="s">
        <v>3042</v>
      </c>
      <c r="B8428" s="1" t="s">
        <v>3146</v>
      </c>
      <c r="C8428" s="1" t="str">
        <f>"150/70R-18/K-66"</f>
        <v>150/70R-18/K-66</v>
      </c>
      <c r="D8428" s="1" t="str">
        <f>"150/70R-18/K-66"</f>
        <v>150/70R-18/K-66</v>
      </c>
      <c r="E8428" s="1" t="s">
        <v>4566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</row>
    <row r="8429" spans="1:11" x14ac:dyDescent="0.2">
      <c r="A8429" s="1" t="s">
        <v>3042</v>
      </c>
      <c r="B8429" s="1" t="s">
        <v>3147</v>
      </c>
      <c r="C8429" s="1" t="str">
        <f>"66298911330781"</f>
        <v>66298911330781</v>
      </c>
      <c r="D8429" s="1" t="str">
        <f>"150/70-18DSSK"</f>
        <v>150/70-18DSSK</v>
      </c>
      <c r="E8429" s="1" t="s">
        <v>4566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</row>
    <row r="8430" spans="1:11" x14ac:dyDescent="0.2">
      <c r="A8430" s="1" t="s">
        <v>3042</v>
      </c>
      <c r="B8430" s="1" t="s">
        <v>3148</v>
      </c>
      <c r="C8430" s="1" t="str">
        <f>"66298911373202"</f>
        <v>66298911373202</v>
      </c>
      <c r="D8430" s="1" t="str">
        <f>"150/70X18DSSK"</f>
        <v>150/70X18DSSK</v>
      </c>
      <c r="E8430" s="1" t="s">
        <v>4566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</row>
    <row r="8431" spans="1:11" x14ac:dyDescent="0.2">
      <c r="A8431" s="1" t="s">
        <v>3042</v>
      </c>
      <c r="B8431" s="1" t="s">
        <v>3149</v>
      </c>
      <c r="C8431" s="1" t="str">
        <f>"460X18DSSR"</f>
        <v>460X18DSSR</v>
      </c>
      <c r="D8431" s="1" t="str">
        <f>"460X18DSSR"</f>
        <v>460X18DSSR</v>
      </c>
      <c r="E8431" s="1" t="s">
        <v>4566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</row>
    <row r="8432" spans="1:11" x14ac:dyDescent="0.2">
      <c r="A8432" s="1" t="s">
        <v>3042</v>
      </c>
      <c r="B8432" s="1" t="s">
        <v>3150</v>
      </c>
      <c r="C8432" s="1" t="str">
        <f>"66298911417448"</f>
        <v>66298911417448</v>
      </c>
      <c r="D8432" s="1" t="str">
        <f>"90/90-18TLDUAL"</f>
        <v>90/90-18TLDUAL</v>
      </c>
      <c r="E8432" s="1" t="s">
        <v>4566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</row>
    <row r="8433" spans="1:11" x14ac:dyDescent="0.2">
      <c r="A8433" s="1" t="s">
        <v>3042</v>
      </c>
      <c r="B8433" s="1" t="s">
        <v>3151</v>
      </c>
      <c r="C8433" s="1" t="str">
        <f>"66298911458778"</f>
        <v>66298911458778</v>
      </c>
      <c r="D8433" s="1" t="str">
        <f>"460-18DSSR"</f>
        <v>460-18DSSR</v>
      </c>
      <c r="E8433" s="1" t="s">
        <v>4566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</row>
    <row r="8434" spans="1:11" x14ac:dyDescent="0.2">
      <c r="A8434" s="1" t="s">
        <v>3042</v>
      </c>
      <c r="B8434" s="1" t="s">
        <v>3152</v>
      </c>
      <c r="C8434" s="1" t="str">
        <f>"90/90-18DSSR"</f>
        <v>90/90-18DSSR</v>
      </c>
      <c r="D8434" s="1" t="str">
        <f>"90/90-18DSSR"</f>
        <v>90/90-18DSSR</v>
      </c>
      <c r="E8434" s="1" t="s">
        <v>4566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</row>
    <row r="8435" spans="1:11" x14ac:dyDescent="0.2">
      <c r="A8435" s="1" t="s">
        <v>3042</v>
      </c>
      <c r="B8435" s="1" t="s">
        <v>3152</v>
      </c>
      <c r="C8435" s="1" t="str">
        <f>"300-18DSSR"</f>
        <v>300-18DSSR</v>
      </c>
      <c r="D8435" s="1" t="str">
        <f>"300-18DSSR"</f>
        <v>300-18DSSR</v>
      </c>
      <c r="E8435" s="1" t="s">
        <v>4566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</row>
    <row r="8436" spans="1:11" x14ac:dyDescent="0.2">
      <c r="A8436" s="1" t="s">
        <v>3042</v>
      </c>
      <c r="B8436" s="1" t="s">
        <v>3153</v>
      </c>
      <c r="C8436" s="1" t="str">
        <f>"66298911503121"</f>
        <v>66298911503121</v>
      </c>
      <c r="D8436" s="1" t="str">
        <f>"100/90-18TLDUAL"</f>
        <v>100/90-18TLDUAL</v>
      </c>
      <c r="E8436" s="1" t="s">
        <v>4566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</row>
    <row r="8437" spans="1:11" x14ac:dyDescent="0.2">
      <c r="A8437" s="1" t="s">
        <v>3042</v>
      </c>
      <c r="B8437" s="1" t="s">
        <v>3154</v>
      </c>
      <c r="C8437" s="1" t="str">
        <f>"66298911540568"</f>
        <v>66298911540568</v>
      </c>
      <c r="D8437" s="1" t="str">
        <f>"300X18DSSR"</f>
        <v>300X18DSSR</v>
      </c>
      <c r="E8437" s="1" t="s">
        <v>4566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</row>
    <row r="8438" spans="1:11" x14ac:dyDescent="0.2">
      <c r="A8438" s="1" t="s">
        <v>3042</v>
      </c>
      <c r="B8438" s="1" t="s">
        <v>3155</v>
      </c>
      <c r="C8438" s="1" t="str">
        <f>"110/80R-19/K-66"</f>
        <v>110/80R-19/K-66</v>
      </c>
      <c r="D8438" s="1" t="str">
        <f>"110/80R-19/K-66"</f>
        <v>110/80R-19/K-66</v>
      </c>
      <c r="E8438" s="1" t="s">
        <v>4566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</row>
    <row r="8439" spans="1:11" x14ac:dyDescent="0.2">
      <c r="A8439" s="1" t="s">
        <v>3042</v>
      </c>
      <c r="B8439" s="1" t="s">
        <v>3157</v>
      </c>
      <c r="C8439" s="1" t="str">
        <f>"66298911581182"</f>
        <v>66298911581182</v>
      </c>
      <c r="D8439" s="1" t="str">
        <f>"120/70R-19DSSK"</f>
        <v>120/70R-19DSSK</v>
      </c>
      <c r="E8439" s="1" t="s">
        <v>4566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</row>
    <row r="8440" spans="1:11" x14ac:dyDescent="0.2">
      <c r="A8440" s="1" t="s">
        <v>3042</v>
      </c>
      <c r="B8440" s="1" t="s">
        <v>3158</v>
      </c>
      <c r="C8440" s="1" t="str">
        <f>"66298911619445"</f>
        <v>66298911619445</v>
      </c>
      <c r="D8440" s="1" t="str">
        <f>"275-19DSSR"</f>
        <v>275-19DSSR</v>
      </c>
      <c r="E8440" s="1" t="s">
        <v>4566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</row>
    <row r="8441" spans="1:11" x14ac:dyDescent="0.2">
      <c r="A8441" s="1" t="s">
        <v>3042</v>
      </c>
      <c r="B8441" s="1" t="s">
        <v>3159</v>
      </c>
      <c r="C8441" s="1" t="str">
        <f>"66298911662731"</f>
        <v>66298911662731</v>
      </c>
      <c r="D8441" s="1" t="str">
        <f>"90/90-19DSSR"</f>
        <v>90/90-19DSSR</v>
      </c>
      <c r="E8441" s="1" t="s">
        <v>4566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</row>
    <row r="8442" spans="1:11" x14ac:dyDescent="0.2">
      <c r="A8442" s="1" t="s">
        <v>3042</v>
      </c>
      <c r="B8442" s="1" t="s">
        <v>3160</v>
      </c>
      <c r="C8442" s="1" t="str">
        <f>"66298911702937"</f>
        <v>66298911702937</v>
      </c>
      <c r="D8442" s="1" t="str">
        <f>"90/90-21TTCEAT"</f>
        <v>90/90-21TTCEAT</v>
      </c>
      <c r="E8442" s="1" t="s">
        <v>4566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</row>
    <row r="8443" spans="1:11" x14ac:dyDescent="0.2">
      <c r="A8443" s="1" t="s">
        <v>3042</v>
      </c>
      <c r="B8443" s="1" t="s">
        <v>3161</v>
      </c>
      <c r="C8443" s="1" t="str">
        <f>"90/90R-21/K-66"</f>
        <v>90/90R-21/K-66</v>
      </c>
      <c r="D8443" s="1" t="str">
        <f>"90/90R-21/K-66"</f>
        <v>90/90R-21/K-66</v>
      </c>
      <c r="E8443" s="1" t="s">
        <v>4566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</row>
    <row r="8444" spans="1:11" x14ac:dyDescent="0.2">
      <c r="A8444" s="1" t="s">
        <v>3042</v>
      </c>
      <c r="B8444" s="1" t="s">
        <v>3162</v>
      </c>
      <c r="C8444" s="1" t="str">
        <f>"66298911746542"</f>
        <v>66298911746542</v>
      </c>
      <c r="D8444" s="1" t="str">
        <f>"80/100-21DSMI"</f>
        <v>80/100-21DSMI</v>
      </c>
      <c r="E8444" s="1" t="s">
        <v>4566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</row>
    <row r="8445" spans="1:11" x14ac:dyDescent="0.2">
      <c r="A8445" s="1" t="s">
        <v>3042</v>
      </c>
      <c r="B8445" s="1" t="s">
        <v>3164</v>
      </c>
      <c r="C8445" s="1" t="str">
        <f>"90/90*21-DSPT"</f>
        <v>90/90*21-DSPT</v>
      </c>
      <c r="D8445" s="1" t="str">
        <f>"90/90*21-DSPT"</f>
        <v>90/90*21-DSPT</v>
      </c>
      <c r="E8445" s="1" t="s">
        <v>4566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</row>
    <row r="8446" spans="1:11" x14ac:dyDescent="0.2">
      <c r="A8446" s="1" t="s">
        <v>3042</v>
      </c>
      <c r="B8446" s="1" t="s">
        <v>3165</v>
      </c>
      <c r="C8446" s="1" t="str">
        <f>"66298911788186"</f>
        <v>66298911788186</v>
      </c>
      <c r="D8446" s="1" t="str">
        <f>"300-21TLDUAL"</f>
        <v>300-21TLDUAL</v>
      </c>
      <c r="E8446" s="1" t="s">
        <v>4566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</row>
    <row r="8447" spans="1:11" x14ac:dyDescent="0.2">
      <c r="A8447" s="1" t="s">
        <v>3042</v>
      </c>
      <c r="B8447" s="1" t="s">
        <v>3166</v>
      </c>
      <c r="C8447" s="1" t="str">
        <f>"66298911827170"</f>
        <v>66298911827170</v>
      </c>
      <c r="D8447" s="1" t="str">
        <f>"100/80X17TRSR"</f>
        <v>100/80X17TRSR</v>
      </c>
      <c r="E8447" s="1" t="s">
        <v>4566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</row>
    <row r="8448" spans="1:11" x14ac:dyDescent="0.2">
      <c r="A8448" s="1" t="s">
        <v>3042</v>
      </c>
      <c r="B8448" s="1" t="s">
        <v>3167</v>
      </c>
      <c r="C8448" s="1" t="str">
        <f>"66298911869297"</f>
        <v>66298911869297</v>
      </c>
      <c r="D8448" s="1" t="str">
        <f>"300X21TRSR"</f>
        <v>300X21TRSR</v>
      </c>
      <c r="E8448" s="1" t="s">
        <v>4566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</row>
    <row r="8449" spans="1:11" x14ac:dyDescent="0.2">
      <c r="A8449" s="1" t="s">
        <v>1567</v>
      </c>
      <c r="B8449" s="1" t="s">
        <v>3168</v>
      </c>
      <c r="C8449" s="1" t="str">
        <f>"RO-3121"</f>
        <v>RO-3121</v>
      </c>
      <c r="D8449" s="1" t="str">
        <f>"RO-3121"</f>
        <v>RO-3121</v>
      </c>
      <c r="E8449" s="1" t="s">
        <v>4566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</row>
    <row r="8450" spans="1:11" x14ac:dyDescent="0.2">
      <c r="B8450" s="1" t="s">
        <v>1569</v>
      </c>
    </row>
    <row r="8451" spans="1:11" x14ac:dyDescent="0.2">
      <c r="B8451" s="1" t="s">
        <v>3169</v>
      </c>
    </row>
    <row r="8452" spans="1:11" x14ac:dyDescent="0.2">
      <c r="B8452" s="1" t="s">
        <v>2544</v>
      </c>
    </row>
    <row r="8453" spans="1:11" x14ac:dyDescent="0.2">
      <c r="B8453" s="1" t="s">
        <v>4570</v>
      </c>
    </row>
    <row r="8454" spans="1:11" x14ac:dyDescent="0.2">
      <c r="B8454" s="1" t="s">
        <v>1573</v>
      </c>
    </row>
    <row r="8455" spans="1:11" x14ac:dyDescent="0.2">
      <c r="B8455" s="1" t="s">
        <v>1574</v>
      </c>
    </row>
    <row r="8456" spans="1:11" x14ac:dyDescent="0.2">
      <c r="B8456" s="1" t="s">
        <v>1575</v>
      </c>
    </row>
    <row r="8457" spans="1:11" x14ac:dyDescent="0.2">
      <c r="B8457" s="1" t="s">
        <v>4571</v>
      </c>
    </row>
    <row r="8458" spans="1:11" x14ac:dyDescent="0.2">
      <c r="B8458" s="1" t="s">
        <v>4572</v>
      </c>
    </row>
    <row r="8459" spans="1:11" x14ac:dyDescent="0.2">
      <c r="A8459" s="1" t="s">
        <v>1567</v>
      </c>
      <c r="B8459" s="1" t="s">
        <v>3168</v>
      </c>
      <c r="C8459" s="1" t="str">
        <f>"RO-3130"</f>
        <v>RO-3130</v>
      </c>
      <c r="D8459" s="1" t="str">
        <f>"RO-3130"</f>
        <v>RO-3130</v>
      </c>
      <c r="E8459" s="1" t="s">
        <v>4566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</row>
    <row r="8460" spans="1:11" x14ac:dyDescent="0.2">
      <c r="B8460" s="1" t="s">
        <v>1569</v>
      </c>
    </row>
    <row r="8461" spans="1:11" x14ac:dyDescent="0.2">
      <c r="B8461" s="1" t="s">
        <v>3169</v>
      </c>
    </row>
    <row r="8462" spans="1:11" x14ac:dyDescent="0.2">
      <c r="B8462" s="1" t="s">
        <v>2544</v>
      </c>
    </row>
    <row r="8463" spans="1:11" x14ac:dyDescent="0.2">
      <c r="B8463" s="1" t="s">
        <v>2545</v>
      </c>
    </row>
    <row r="8464" spans="1:11" x14ac:dyDescent="0.2">
      <c r="B8464" s="1" t="s">
        <v>1573</v>
      </c>
    </row>
    <row r="8465" spans="1:11" x14ac:dyDescent="0.2">
      <c r="B8465" s="1" t="s">
        <v>1574</v>
      </c>
    </row>
    <row r="8466" spans="1:11" x14ac:dyDescent="0.2">
      <c r="B8466" s="1" t="s">
        <v>1575</v>
      </c>
    </row>
    <row r="8467" spans="1:11" x14ac:dyDescent="0.2">
      <c r="B8467" s="1" t="s">
        <v>4573</v>
      </c>
    </row>
    <row r="8468" spans="1:11" x14ac:dyDescent="0.2">
      <c r="B8468" s="1" t="s">
        <v>4574</v>
      </c>
    </row>
    <row r="8469" spans="1:11" x14ac:dyDescent="0.2">
      <c r="A8469" s="1" t="s">
        <v>1567</v>
      </c>
      <c r="B8469" s="1" t="s">
        <v>3168</v>
      </c>
      <c r="C8469" s="1" t="str">
        <f>"RO-3129"</f>
        <v>RO-3129</v>
      </c>
      <c r="D8469" s="1" t="str">
        <f>"RO-3129"</f>
        <v>RO-3129</v>
      </c>
      <c r="E8469" s="1" t="s">
        <v>4566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</row>
    <row r="8470" spans="1:11" x14ac:dyDescent="0.2">
      <c r="B8470" s="1" t="s">
        <v>1569</v>
      </c>
    </row>
    <row r="8471" spans="1:11" x14ac:dyDescent="0.2">
      <c r="B8471" s="1" t="s">
        <v>3169</v>
      </c>
    </row>
    <row r="8472" spans="1:11" x14ac:dyDescent="0.2">
      <c r="B8472" s="1" t="s">
        <v>1571</v>
      </c>
    </row>
    <row r="8473" spans="1:11" x14ac:dyDescent="0.2">
      <c r="B8473" s="1" t="s">
        <v>2545</v>
      </c>
    </row>
    <row r="8474" spans="1:11" x14ac:dyDescent="0.2">
      <c r="B8474" s="1" t="s">
        <v>1573</v>
      </c>
    </row>
    <row r="8475" spans="1:11" x14ac:dyDescent="0.2">
      <c r="B8475" s="1" t="s">
        <v>1574</v>
      </c>
    </row>
    <row r="8476" spans="1:11" x14ac:dyDescent="0.2">
      <c r="B8476" s="1" t="s">
        <v>1575</v>
      </c>
    </row>
    <row r="8477" spans="1:11" x14ac:dyDescent="0.2">
      <c r="B8477" s="1" t="s">
        <v>3170</v>
      </c>
    </row>
    <row r="8478" spans="1:11" x14ac:dyDescent="0.2">
      <c r="B8478" s="1" t="s">
        <v>3171</v>
      </c>
    </row>
    <row r="8479" spans="1:11" x14ac:dyDescent="0.2">
      <c r="A8479" s="1" t="s">
        <v>98</v>
      </c>
      <c r="B8479" s="1" t="s">
        <v>3172</v>
      </c>
      <c r="C8479" s="1" t="str">
        <f>"66298911910871"</f>
        <v>66298911910871</v>
      </c>
      <c r="D8479" s="1" t="str">
        <f>"O-MBA-COMB"</f>
        <v>O-MBA-COMB</v>
      </c>
      <c r="E8479" s="1" t="s">
        <v>4566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</row>
    <row r="8480" spans="1:11" x14ac:dyDescent="0.2">
      <c r="A8480" s="1" t="s">
        <v>98</v>
      </c>
      <c r="B8480" s="1" t="s">
        <v>3173</v>
      </c>
      <c r="C8480" s="1" t="str">
        <f>"66298911952024"</f>
        <v>66298911952024</v>
      </c>
      <c r="D8480" s="1" t="str">
        <f>"753"</f>
        <v>753</v>
      </c>
      <c r="E8480" s="1" t="s">
        <v>4566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</row>
    <row r="8481" spans="1:11" x14ac:dyDescent="0.2">
      <c r="A8481" s="1" t="s">
        <v>98</v>
      </c>
      <c r="B8481" s="1" t="s">
        <v>3174</v>
      </c>
      <c r="C8481" s="1" t="str">
        <f>"66298911993284"</f>
        <v>66298911993284</v>
      </c>
      <c r="D8481" s="1" t="str">
        <f>"B124"</f>
        <v>B124</v>
      </c>
      <c r="E8481" s="1" t="s">
        <v>4566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</row>
    <row r="8482" spans="1:11" x14ac:dyDescent="0.2">
      <c r="A8482" s="1" t="s">
        <v>98</v>
      </c>
      <c r="B8482" s="1" t="s">
        <v>3175</v>
      </c>
      <c r="C8482" s="1" t="str">
        <f>"66298912034570"</f>
        <v>66298912034570</v>
      </c>
      <c r="D8482" s="1" t="str">
        <f>"192190002-0001"</f>
        <v>192190002-0001</v>
      </c>
      <c r="E8482" s="1" t="s">
        <v>4566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</row>
    <row r="8483" spans="1:11" x14ac:dyDescent="0.2">
      <c r="A8483" s="1" t="s">
        <v>98</v>
      </c>
      <c r="B8483" s="1" t="s">
        <v>3176</v>
      </c>
      <c r="C8483" s="1" t="str">
        <f>"66298912073096"</f>
        <v>66298912073096</v>
      </c>
      <c r="D8483" s="1" t="str">
        <f>"PB001"</f>
        <v>PB001</v>
      </c>
      <c r="E8483" s="1" t="s">
        <v>4566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</row>
    <row r="8484" spans="1:11" x14ac:dyDescent="0.2">
      <c r="A8484" s="1" t="s">
        <v>18</v>
      </c>
      <c r="B8484" s="1" t="s">
        <v>3177</v>
      </c>
      <c r="C8484" s="1" t="str">
        <f>"OVEROL-LM"</f>
        <v>OVEROL-LM</v>
      </c>
      <c r="D8484" s="1" t="str">
        <f>"OVEROL-LM"</f>
        <v>OVEROL-LM</v>
      </c>
      <c r="E8484" s="1" t="s">
        <v>4566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</row>
    <row r="8485" spans="1:11" x14ac:dyDescent="0.2">
      <c r="A8485" s="1" t="s">
        <v>18</v>
      </c>
      <c r="B8485" s="1" t="s">
        <v>3178</v>
      </c>
      <c r="C8485" s="1" t="str">
        <f>"OVEROL-LUBRAX"</f>
        <v>OVEROL-LUBRAX</v>
      </c>
      <c r="D8485" s="1" t="str">
        <f>"OVEROL-LUBRAX"</f>
        <v>OVEROL-LUBRAX</v>
      </c>
      <c r="E8485" s="1" t="s">
        <v>4566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</row>
    <row r="8486" spans="1:11" x14ac:dyDescent="0.2">
      <c r="A8486" s="1" t="s">
        <v>18</v>
      </c>
      <c r="B8486" s="1" t="s">
        <v>3179</v>
      </c>
      <c r="C8486" s="1" t="str">
        <f>"RP-OVEROL"</f>
        <v>RP-OVEROL</v>
      </c>
      <c r="D8486" s="1" t="str">
        <f>"RP-OVEROL"</f>
        <v>RP-OVEROL</v>
      </c>
      <c r="E8486" s="1" t="s">
        <v>4566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</row>
    <row r="8487" spans="1:11" x14ac:dyDescent="0.2">
      <c r="A8487" s="1" t="s">
        <v>18</v>
      </c>
      <c r="B8487" s="1" t="s">
        <v>3180</v>
      </c>
      <c r="C8487" s="1" t="str">
        <f>"49CC78"</f>
        <v>49CC78</v>
      </c>
      <c r="D8487" s="1" t="str">
        <f>"49CC78"</f>
        <v>49CC78</v>
      </c>
      <c r="E8487" s="1" t="s">
        <v>4566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</row>
    <row r="8488" spans="1:11" x14ac:dyDescent="0.2">
      <c r="A8488" s="1" t="s">
        <v>98</v>
      </c>
      <c r="B8488" s="1" t="s">
        <v>3181</v>
      </c>
      <c r="C8488" s="1" t="str">
        <f>"66298912113695"</f>
        <v>66298912113695</v>
      </c>
      <c r="D8488" s="1" t="str">
        <f>"C206"</f>
        <v>C206</v>
      </c>
      <c r="E8488" s="1" t="s">
        <v>4566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</row>
    <row r="8489" spans="1:11" x14ac:dyDescent="0.2">
      <c r="A8489" s="1" t="s">
        <v>98</v>
      </c>
      <c r="B8489" s="1" t="s">
        <v>3182</v>
      </c>
      <c r="C8489" s="1" t="str">
        <f>"66298912202430"</f>
        <v>66298912202430</v>
      </c>
      <c r="D8489" s="1" t="str">
        <f>"49CC53"</f>
        <v>49CC53</v>
      </c>
      <c r="E8489" s="1" t="s">
        <v>4566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</row>
    <row r="8490" spans="1:11" x14ac:dyDescent="0.2">
      <c r="A8490" s="1" t="s">
        <v>3183</v>
      </c>
      <c r="B8490" s="1" t="s">
        <v>3184</v>
      </c>
      <c r="C8490" s="1" t="str">
        <f>"425005"</f>
        <v>425005</v>
      </c>
      <c r="D8490" s="1" t="str">
        <f>"425005"</f>
        <v>425005</v>
      </c>
      <c r="E8490" s="1" t="s">
        <v>4566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</row>
    <row r="8491" spans="1:11" x14ac:dyDescent="0.2">
      <c r="A8491" s="1" t="s">
        <v>98</v>
      </c>
      <c r="B8491" s="1" t="s">
        <v>3185</v>
      </c>
      <c r="C8491" s="1" t="str">
        <f>"66298912155152"</f>
        <v>66298912155152</v>
      </c>
      <c r="D8491" s="1" t="str">
        <f>"425011"</f>
        <v>425011</v>
      </c>
      <c r="E8491" s="1" t="s">
        <v>4566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</row>
    <row r="8492" spans="1:11" x14ac:dyDescent="0.2">
      <c r="A8492" s="1" t="s">
        <v>3183</v>
      </c>
      <c r="B8492" s="1" t="s">
        <v>3186</v>
      </c>
      <c r="C8492" s="1" t="str">
        <f>"425009"</f>
        <v>425009</v>
      </c>
      <c r="D8492" s="1" t="str">
        <f>"425009"</f>
        <v>425009</v>
      </c>
      <c r="E8492" s="1" t="s">
        <v>4566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</row>
    <row r="8493" spans="1:11" x14ac:dyDescent="0.2">
      <c r="A8493" s="1" t="s">
        <v>3183</v>
      </c>
      <c r="B8493" s="1" t="s">
        <v>3186</v>
      </c>
      <c r="C8493" s="1" t="str">
        <f>"425010"</f>
        <v>425010</v>
      </c>
      <c r="D8493" s="1" t="str">
        <f>"425010"</f>
        <v>425010</v>
      </c>
      <c r="E8493" s="1" t="s">
        <v>4566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</row>
    <row r="8494" spans="1:11" x14ac:dyDescent="0.2">
      <c r="A8494" s="1" t="s">
        <v>98</v>
      </c>
      <c r="B8494" s="1" t="s">
        <v>3187</v>
      </c>
      <c r="C8494" s="1" t="str">
        <f>"66298912247257"</f>
        <v>66298912247257</v>
      </c>
      <c r="D8494" s="1" t="str">
        <f>"80514"</f>
        <v>80514</v>
      </c>
      <c r="E8494" s="1" t="s">
        <v>4566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</row>
    <row r="8495" spans="1:11" x14ac:dyDescent="0.2">
      <c r="A8495" s="1" t="s">
        <v>98</v>
      </c>
      <c r="B8495" s="1" t="s">
        <v>3188</v>
      </c>
      <c r="C8495" s="1" t="str">
        <f>"66298912290272"</f>
        <v>66298912290272</v>
      </c>
      <c r="D8495" s="1" t="str">
        <f>"4885"</f>
        <v>4885</v>
      </c>
      <c r="E8495" s="1" t="s">
        <v>4566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</row>
    <row r="8496" spans="1:11" x14ac:dyDescent="0.2">
      <c r="A8496" s="1" t="s">
        <v>18</v>
      </c>
      <c r="B8496" s="1" t="s">
        <v>3189</v>
      </c>
      <c r="C8496" s="1" t="str">
        <f>"101029208"</f>
        <v>101029208</v>
      </c>
      <c r="D8496" s="1" t="str">
        <f>"101029208"</f>
        <v>101029208</v>
      </c>
      <c r="E8496" s="1" t="s">
        <v>4566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</row>
    <row r="8497" spans="1:11" x14ac:dyDescent="0.2">
      <c r="A8497" s="1" t="s">
        <v>98</v>
      </c>
      <c r="B8497" s="1" t="s">
        <v>3190</v>
      </c>
      <c r="C8497" s="1" t="str">
        <f>"66298912335799"</f>
        <v>66298912335799</v>
      </c>
      <c r="D8497" s="1" t="str">
        <f>"GJ017"</f>
        <v>GJ017</v>
      </c>
      <c r="E8497" s="1" t="s">
        <v>4566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</row>
    <row r="8498" spans="1:11" x14ac:dyDescent="0.2">
      <c r="A8498" s="1" t="s">
        <v>98</v>
      </c>
      <c r="B8498" s="1" t="s">
        <v>3191</v>
      </c>
      <c r="C8498" s="1" t="str">
        <f>"66298912378353"</f>
        <v>66298912378353</v>
      </c>
      <c r="D8498" s="1" t="str">
        <f>"83140"</f>
        <v>83140</v>
      </c>
      <c r="E8498" s="1" t="s">
        <v>4566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</row>
    <row r="8499" spans="1:11" x14ac:dyDescent="0.2">
      <c r="A8499" s="1" t="s">
        <v>3192</v>
      </c>
      <c r="B8499" s="1" t="s">
        <v>3193</v>
      </c>
      <c r="C8499" s="1" t="str">
        <f>"66298912423753"</f>
        <v>66298912423753</v>
      </c>
      <c r="D8499" s="1" t="str">
        <f>"LMP112"</f>
        <v>LMP112</v>
      </c>
      <c r="E8499" s="1" t="s">
        <v>4566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</row>
    <row r="8500" spans="1:11" x14ac:dyDescent="0.2">
      <c r="A8500" s="1" t="s">
        <v>3192</v>
      </c>
      <c r="B8500" s="1" t="s">
        <v>3194</v>
      </c>
      <c r="C8500" s="1" t="str">
        <f>"66298912467813"</f>
        <v>66298912467813</v>
      </c>
      <c r="D8500" s="1" t="str">
        <f>"59300-39821JP"</f>
        <v>59300-39821JP</v>
      </c>
      <c r="E8500" s="1" t="s">
        <v>4566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</row>
    <row r="8501" spans="1:11" x14ac:dyDescent="0.2">
      <c r="A8501" s="1" t="s">
        <v>3192</v>
      </c>
      <c r="B8501" s="1" t="s">
        <v>3195</v>
      </c>
      <c r="C8501" s="1" t="str">
        <f>"66298912546539"</f>
        <v>66298912546539</v>
      </c>
      <c r="D8501" s="1" t="str">
        <f>"06455-KGA-940JP"</f>
        <v>06455-KGA-940JP</v>
      </c>
      <c r="E8501" s="1" t="s">
        <v>4566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</row>
    <row r="8502" spans="1:11" x14ac:dyDescent="0.2">
      <c r="A8502" s="1" t="s">
        <v>3192</v>
      </c>
      <c r="B8502" s="1" t="s">
        <v>3196</v>
      </c>
      <c r="C8502" s="1" t="str">
        <f>"66298912506516"</f>
        <v>66298912506516</v>
      </c>
      <c r="D8502" s="1" t="str">
        <f>"U010-A"</f>
        <v>U010-A</v>
      </c>
      <c r="E8502" s="1" t="s">
        <v>4566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</row>
    <row r="8503" spans="1:11" x14ac:dyDescent="0.2">
      <c r="A8503" s="1" t="s">
        <v>3192</v>
      </c>
      <c r="B8503" s="1" t="s">
        <v>3197</v>
      </c>
      <c r="C8503" s="1" t="str">
        <f>"66298912588212"</f>
        <v>66298912588212</v>
      </c>
      <c r="D8503" s="1" t="str">
        <f>"LMP142"</f>
        <v>LMP142</v>
      </c>
      <c r="E8503" s="1" t="s">
        <v>4566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</row>
    <row r="8504" spans="1:11" x14ac:dyDescent="0.2">
      <c r="A8504" s="1" t="s">
        <v>3192</v>
      </c>
      <c r="B8504" s="1" t="s">
        <v>3198</v>
      </c>
      <c r="C8504" s="1" t="str">
        <f>"66298912631280"</f>
        <v>66298912631280</v>
      </c>
      <c r="D8504" s="1" t="str">
        <f>"400273"</f>
        <v>400273</v>
      </c>
      <c r="E8504" s="1" t="s">
        <v>4566</v>
      </c>
      <c r="F8504" s="1">
        <v>330</v>
      </c>
      <c r="G8504" s="1">
        <v>823</v>
      </c>
      <c r="H8504" s="1">
        <v>271590</v>
      </c>
      <c r="I8504" s="1">
        <v>0</v>
      </c>
      <c r="J8504" s="1">
        <v>330</v>
      </c>
      <c r="K8504" s="1">
        <v>0</v>
      </c>
    </row>
    <row r="8505" spans="1:11" x14ac:dyDescent="0.2">
      <c r="A8505" s="1" t="s">
        <v>3192</v>
      </c>
      <c r="B8505" s="1" t="s">
        <v>3199</v>
      </c>
      <c r="C8505" s="1" t="str">
        <f>"66298912671196"</f>
        <v>66298912671196</v>
      </c>
      <c r="D8505" s="1" t="str">
        <f>"43082-1070JP"</f>
        <v>43082-1070JP</v>
      </c>
      <c r="E8505" s="1" t="s">
        <v>4566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</row>
    <row r="8506" spans="1:11" x14ac:dyDescent="0.2">
      <c r="A8506" s="1" t="s">
        <v>3192</v>
      </c>
      <c r="B8506" s="1" t="s">
        <v>3200</v>
      </c>
      <c r="C8506" s="1" t="str">
        <f>"66298912713396"</f>
        <v>66298912713396</v>
      </c>
      <c r="D8506" s="1" t="str">
        <f>"11L-W0045-00JP"</f>
        <v>11L-W0045-00JP</v>
      </c>
      <c r="E8506" s="1" t="s">
        <v>4566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</row>
    <row r="8507" spans="1:11" x14ac:dyDescent="0.2">
      <c r="A8507" s="1" t="s">
        <v>3192</v>
      </c>
      <c r="B8507" s="1" t="s">
        <v>3201</v>
      </c>
      <c r="C8507" s="1" t="str">
        <f>"66298912770223"</f>
        <v>66298912770223</v>
      </c>
      <c r="D8507" s="1" t="str">
        <f>"400275"</f>
        <v>400275</v>
      </c>
      <c r="E8507" s="1" t="s">
        <v>4566</v>
      </c>
      <c r="F8507" s="1">
        <v>90</v>
      </c>
      <c r="G8507" s="1">
        <v>833</v>
      </c>
      <c r="H8507" s="1">
        <v>74970</v>
      </c>
      <c r="I8507" s="1">
        <v>0</v>
      </c>
      <c r="J8507" s="1">
        <v>90</v>
      </c>
      <c r="K8507" s="1">
        <v>0</v>
      </c>
    </row>
    <row r="8508" spans="1:11" ht="30" x14ac:dyDescent="0.2">
      <c r="A8508" s="1" t="s">
        <v>3192</v>
      </c>
      <c r="B8508" s="1" t="s">
        <v>3202</v>
      </c>
      <c r="C8508" s="1" t="str">
        <f>"66298912812165"</f>
        <v>66298912812165</v>
      </c>
      <c r="D8508" s="1" t="str">
        <f>"P10012"</f>
        <v>P10012</v>
      </c>
      <c r="E8508" s="1" t="s">
        <v>4566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</row>
    <row r="8509" spans="1:11" x14ac:dyDescent="0.2">
      <c r="A8509" s="1" t="s">
        <v>3192</v>
      </c>
      <c r="B8509" s="1" t="s">
        <v>3203</v>
      </c>
      <c r="C8509" s="1" t="str">
        <f>"2662"</f>
        <v>2662</v>
      </c>
      <c r="D8509" s="1" t="str">
        <f>"2662"</f>
        <v>2662</v>
      </c>
      <c r="E8509" s="1" t="s">
        <v>4566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</row>
    <row r="8510" spans="1:11" x14ac:dyDescent="0.2">
      <c r="A8510" s="1" t="s">
        <v>3192</v>
      </c>
      <c r="B8510" s="1" t="s">
        <v>3204</v>
      </c>
      <c r="C8510" s="1" t="str">
        <f>"66298912851833"</f>
        <v>66298912851833</v>
      </c>
      <c r="D8510" s="1" t="str">
        <f>"06455-KSY-881JP"</f>
        <v>06455-KSY-881JP</v>
      </c>
      <c r="E8510" s="1" t="s">
        <v>4566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</row>
    <row r="8511" spans="1:11" x14ac:dyDescent="0.2">
      <c r="A8511" s="1" t="s">
        <v>3192</v>
      </c>
      <c r="B8511" s="1" t="s">
        <v>3205</v>
      </c>
      <c r="C8511" s="1" t="str">
        <f>"66298912896209"</f>
        <v>66298912896209</v>
      </c>
      <c r="D8511" s="1" t="str">
        <f>"400276"</f>
        <v>400276</v>
      </c>
      <c r="E8511" s="1" t="s">
        <v>4566</v>
      </c>
      <c r="F8511" s="1">
        <v>240</v>
      </c>
      <c r="G8511" s="1">
        <v>939</v>
      </c>
      <c r="H8511" s="1">
        <v>225360</v>
      </c>
      <c r="I8511" s="1">
        <v>0</v>
      </c>
      <c r="J8511" s="1">
        <v>240</v>
      </c>
      <c r="K8511" s="1">
        <v>0</v>
      </c>
    </row>
    <row r="8512" spans="1:11" x14ac:dyDescent="0.2">
      <c r="A8512" s="1" t="s">
        <v>3192</v>
      </c>
      <c r="B8512" s="1" t="s">
        <v>3206</v>
      </c>
      <c r="C8512" s="1" t="str">
        <f>"66298912939753"</f>
        <v>66298912939753</v>
      </c>
      <c r="D8512" s="1" t="str">
        <f>"P10029"</f>
        <v>P10029</v>
      </c>
      <c r="E8512" s="1" t="s">
        <v>4566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</row>
    <row r="8513" spans="1:11" x14ac:dyDescent="0.2">
      <c r="A8513" s="1" t="s">
        <v>3192</v>
      </c>
      <c r="B8513" s="1" t="s">
        <v>3207</v>
      </c>
      <c r="C8513" s="1" t="str">
        <f>"66298912981274"</f>
        <v>66298912981274</v>
      </c>
      <c r="D8513" s="1" t="str">
        <f>"LMP172"</f>
        <v>LMP172</v>
      </c>
      <c r="E8513" s="1" t="s">
        <v>4566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</row>
    <row r="8514" spans="1:11" ht="30" x14ac:dyDescent="0.2">
      <c r="A8514" s="1" t="s">
        <v>3192</v>
      </c>
      <c r="B8514" s="1" t="s">
        <v>3208</v>
      </c>
      <c r="C8514" s="1" t="str">
        <f>"66298913027856"</f>
        <v>66298913027856</v>
      </c>
      <c r="D8514" s="1" t="str">
        <f>"P10008"</f>
        <v>P10008</v>
      </c>
      <c r="E8514" s="1" t="s">
        <v>4566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</row>
    <row r="8515" spans="1:11" ht="30" x14ac:dyDescent="0.2">
      <c r="A8515" s="1" t="s">
        <v>3192</v>
      </c>
      <c r="B8515" s="1" t="s">
        <v>3209</v>
      </c>
      <c r="C8515" s="1" t="str">
        <f>"U032P"</f>
        <v>U032P</v>
      </c>
      <c r="D8515" s="1" t="str">
        <f>"U032P"</f>
        <v>U032P</v>
      </c>
      <c r="E8515" s="1" t="s">
        <v>4566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</row>
    <row r="8516" spans="1:11" x14ac:dyDescent="0.2">
      <c r="A8516" s="1" t="s">
        <v>3192</v>
      </c>
      <c r="B8516" s="1" t="s">
        <v>3210</v>
      </c>
      <c r="C8516" s="1" t="str">
        <f>"66298913074043"</f>
        <v>66298913074043</v>
      </c>
      <c r="D8516" s="1" t="str">
        <f>"LMP184"</f>
        <v>LMP184</v>
      </c>
      <c r="E8516" s="1" t="s">
        <v>4566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</row>
    <row r="8517" spans="1:11" ht="30" x14ac:dyDescent="0.2">
      <c r="A8517" s="1" t="s">
        <v>3192</v>
      </c>
      <c r="B8517" s="1" t="s">
        <v>3211</v>
      </c>
      <c r="C8517" s="1" t="str">
        <f>"66298913116267"</f>
        <v>66298913116267</v>
      </c>
      <c r="D8517" s="1" t="str">
        <f>"59300-H338-12JP"</f>
        <v>59300-H338-12JP</v>
      </c>
      <c r="E8517" s="1" t="s">
        <v>4566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</row>
    <row r="8518" spans="1:11" x14ac:dyDescent="0.2">
      <c r="A8518" s="1" t="s">
        <v>3192</v>
      </c>
      <c r="B8518" s="1" t="s">
        <v>3212</v>
      </c>
      <c r="C8518" s="1" t="str">
        <f>"66298913159763"</f>
        <v>66298913159763</v>
      </c>
      <c r="D8518" s="1" t="str">
        <f>"400277"</f>
        <v>400277</v>
      </c>
      <c r="E8518" s="1" t="s">
        <v>4566</v>
      </c>
      <c r="F8518" s="1">
        <v>670</v>
      </c>
      <c r="G8518" s="1">
        <v>673</v>
      </c>
      <c r="H8518" s="1">
        <v>450910</v>
      </c>
      <c r="I8518" s="1">
        <v>0</v>
      </c>
      <c r="J8518" s="1">
        <v>670</v>
      </c>
      <c r="K8518" s="1">
        <v>0</v>
      </c>
    </row>
    <row r="8519" spans="1:11" x14ac:dyDescent="0.2">
      <c r="A8519" s="1" t="s">
        <v>3192</v>
      </c>
      <c r="B8519" s="1" t="s">
        <v>3213</v>
      </c>
      <c r="C8519" s="1" t="str">
        <f>"U018P"</f>
        <v>U018P</v>
      </c>
      <c r="D8519" s="1" t="str">
        <f>"U018P"</f>
        <v>U018P</v>
      </c>
      <c r="E8519" s="1" t="s">
        <v>4566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</row>
    <row r="8520" spans="1:11" x14ac:dyDescent="0.2">
      <c r="A8520" s="1" t="s">
        <v>3192</v>
      </c>
      <c r="B8520" s="1" t="s">
        <v>3214</v>
      </c>
      <c r="C8520" s="1" t="str">
        <f>"66298913200656"</f>
        <v>66298913200656</v>
      </c>
      <c r="D8520" s="1" t="str">
        <f>"LMP193"</f>
        <v>LMP193</v>
      </c>
      <c r="E8520" s="1" t="s">
        <v>4566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</row>
    <row r="8521" spans="1:11" x14ac:dyDescent="0.2">
      <c r="A8521" s="1" t="s">
        <v>3192</v>
      </c>
      <c r="B8521" s="1" t="s">
        <v>3215</v>
      </c>
      <c r="C8521" s="1" t="str">
        <f>"66298913243045"</f>
        <v>66298913243045</v>
      </c>
      <c r="D8521" s="1" t="str">
        <f>"P203"</f>
        <v>P203</v>
      </c>
      <c r="E8521" s="1" t="s">
        <v>4566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</row>
    <row r="8522" spans="1:11" x14ac:dyDescent="0.2">
      <c r="A8522" s="1" t="s">
        <v>3192</v>
      </c>
      <c r="B8522" s="1" t="s">
        <v>3216</v>
      </c>
      <c r="C8522" s="1" t="str">
        <f>"66298913290440"</f>
        <v>66298913290440</v>
      </c>
      <c r="D8522" s="1" t="str">
        <f>"P10013"</f>
        <v>P10013</v>
      </c>
      <c r="E8522" s="1" t="s">
        <v>4566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</row>
    <row r="8523" spans="1:11" x14ac:dyDescent="0.2">
      <c r="A8523" s="1" t="s">
        <v>3192</v>
      </c>
      <c r="B8523" s="1" t="s">
        <v>3217</v>
      </c>
      <c r="C8523" s="1" t="str">
        <f>"66298913344177"</f>
        <v>66298913344177</v>
      </c>
      <c r="D8523" s="1" t="str">
        <f>"U017HQ"</f>
        <v>U017HQ</v>
      </c>
      <c r="E8523" s="1" t="s">
        <v>4566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</row>
    <row r="8524" spans="1:11" ht="30" x14ac:dyDescent="0.2">
      <c r="A8524" s="1" t="s">
        <v>3192</v>
      </c>
      <c r="B8524" s="1" t="s">
        <v>3218</v>
      </c>
      <c r="C8524" s="1" t="str">
        <f>"66298913336132"</f>
        <v>66298913336132</v>
      </c>
      <c r="D8524" s="1" t="str">
        <f>"P204"</f>
        <v>P204</v>
      </c>
      <c r="E8524" s="1" t="s">
        <v>4566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</row>
    <row r="8525" spans="1:11" x14ac:dyDescent="0.2">
      <c r="A8525" s="1" t="s">
        <v>3192</v>
      </c>
      <c r="B8525" s="1" t="s">
        <v>3219</v>
      </c>
      <c r="C8525" s="1" t="str">
        <f>"66298913401418"</f>
        <v>66298913401418</v>
      </c>
      <c r="D8525" s="1" t="str">
        <f>"P10010"</f>
        <v>P10010</v>
      </c>
      <c r="E8525" s="1" t="s">
        <v>4566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</row>
    <row r="8526" spans="1:11" x14ac:dyDescent="0.2">
      <c r="A8526" s="1" t="s">
        <v>3192</v>
      </c>
      <c r="B8526" s="1" t="s">
        <v>3220</v>
      </c>
      <c r="C8526" s="1" t="str">
        <f>"66298913443305"</f>
        <v>66298913443305</v>
      </c>
      <c r="D8526" s="1" t="str">
        <f>"400278"</f>
        <v>400278</v>
      </c>
      <c r="E8526" s="1" t="s">
        <v>4566</v>
      </c>
      <c r="F8526" s="1">
        <v>120</v>
      </c>
      <c r="G8526" s="1">
        <v>711</v>
      </c>
      <c r="H8526" s="1">
        <v>85320</v>
      </c>
      <c r="I8526" s="1">
        <v>0</v>
      </c>
      <c r="J8526" s="1">
        <v>120</v>
      </c>
      <c r="K8526" s="1">
        <v>0</v>
      </c>
    </row>
    <row r="8527" spans="1:11" x14ac:dyDescent="0.2">
      <c r="A8527" s="1" t="s">
        <v>3192</v>
      </c>
      <c r="B8527" s="1" t="s">
        <v>3221</v>
      </c>
      <c r="C8527" s="1" t="str">
        <f>"66298913485147"</f>
        <v>66298913485147</v>
      </c>
      <c r="D8527" s="1" t="str">
        <f>"43105-KZ1-415JP"</f>
        <v>43105-KZ1-415JP</v>
      </c>
      <c r="E8527" s="1" t="s">
        <v>4566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</row>
    <row r="8528" spans="1:11" x14ac:dyDescent="0.2">
      <c r="A8528" s="1" t="s">
        <v>3192</v>
      </c>
      <c r="B8528" s="1" t="s">
        <v>3222</v>
      </c>
      <c r="C8528" s="1" t="str">
        <f>"66298913569269"</f>
        <v>66298913569269</v>
      </c>
      <c r="D8528" s="1" t="str">
        <f>"400279"</f>
        <v>400279</v>
      </c>
      <c r="E8528" s="1" t="s">
        <v>4566</v>
      </c>
      <c r="F8528" s="1">
        <v>300</v>
      </c>
      <c r="G8528" s="1">
        <v>777</v>
      </c>
      <c r="H8528" s="1">
        <v>233100</v>
      </c>
      <c r="I8528" s="1">
        <v>0</v>
      </c>
      <c r="J8528" s="1">
        <v>300</v>
      </c>
      <c r="K8528" s="1">
        <v>0</v>
      </c>
    </row>
    <row r="8529" spans="1:11" x14ac:dyDescent="0.2">
      <c r="A8529" s="1" t="s">
        <v>3192</v>
      </c>
      <c r="B8529" s="1" t="s">
        <v>3223</v>
      </c>
      <c r="C8529" s="1" t="str">
        <f>"66298913610131"</f>
        <v>66298913610131</v>
      </c>
      <c r="D8529" s="1" t="str">
        <f>"U001"</f>
        <v>U001</v>
      </c>
      <c r="E8529" s="1" t="s">
        <v>4566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</row>
    <row r="8530" spans="1:11" x14ac:dyDescent="0.2">
      <c r="A8530" s="1" t="s">
        <v>3192</v>
      </c>
      <c r="B8530" s="1" t="s">
        <v>3224</v>
      </c>
      <c r="C8530" s="1" t="str">
        <f>"U004P"</f>
        <v>U004P</v>
      </c>
      <c r="D8530" s="1" t="str">
        <f>"U004P"</f>
        <v>U004P</v>
      </c>
      <c r="E8530" s="1" t="s">
        <v>4566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</row>
    <row r="8531" spans="1:11" ht="30" x14ac:dyDescent="0.2">
      <c r="A8531" s="1" t="s">
        <v>3192</v>
      </c>
      <c r="B8531" s="1" t="s">
        <v>3225</v>
      </c>
      <c r="C8531" s="1" t="str">
        <f>"66298913528348"</f>
        <v>66298913528348</v>
      </c>
      <c r="D8531" s="1" t="str">
        <f>"59300-48810CM"</f>
        <v>59300-48810CM</v>
      </c>
      <c r="E8531" s="1" t="s">
        <v>4566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</row>
    <row r="8532" spans="1:11" x14ac:dyDescent="0.2">
      <c r="A8532" s="1" t="s">
        <v>3192</v>
      </c>
      <c r="B8532" s="1" t="s">
        <v>3226</v>
      </c>
      <c r="C8532" s="1" t="str">
        <f>"66298913650028"</f>
        <v>66298913650028</v>
      </c>
      <c r="D8532" s="1" t="str">
        <f>"P10004"</f>
        <v>P10004</v>
      </c>
      <c r="E8532" s="1" t="s">
        <v>4566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</row>
    <row r="8533" spans="1:11" x14ac:dyDescent="0.2">
      <c r="A8533" s="1" t="s">
        <v>3192</v>
      </c>
      <c r="B8533" s="1" t="s">
        <v>3227</v>
      </c>
      <c r="C8533" s="1" t="str">
        <f>"66298913692712"</f>
        <v>66298913692712</v>
      </c>
      <c r="D8533" s="1" t="str">
        <f>"69100-48820JP"</f>
        <v>69100-48820JP</v>
      </c>
      <c r="E8533" s="1" t="s">
        <v>4566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</row>
    <row r="8534" spans="1:11" x14ac:dyDescent="0.2">
      <c r="A8534" s="1" t="s">
        <v>3192</v>
      </c>
      <c r="B8534" s="1" t="s">
        <v>3228</v>
      </c>
      <c r="C8534" s="1" t="str">
        <f>"101858"</f>
        <v>101858</v>
      </c>
      <c r="D8534" s="1" t="str">
        <f>"101858"</f>
        <v>101858</v>
      </c>
      <c r="E8534" s="1" t="s">
        <v>4566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</row>
    <row r="8535" spans="1:11" ht="30" x14ac:dyDescent="0.2">
      <c r="A8535" s="1" t="s">
        <v>3192</v>
      </c>
      <c r="B8535" s="1" t="s">
        <v>3229</v>
      </c>
      <c r="C8535" s="1" t="str">
        <f>"66298913730496"</f>
        <v>66298913730496</v>
      </c>
      <c r="D8535" s="1" t="str">
        <f>"400280"</f>
        <v>400280</v>
      </c>
      <c r="E8535" s="1" t="s">
        <v>4566</v>
      </c>
      <c r="F8535" s="1">
        <v>410</v>
      </c>
      <c r="G8535" s="1">
        <v>873</v>
      </c>
      <c r="H8535" s="1">
        <v>357930</v>
      </c>
      <c r="I8535" s="1">
        <v>0</v>
      </c>
      <c r="J8535" s="1">
        <v>410</v>
      </c>
      <c r="K8535" s="1">
        <v>0</v>
      </c>
    </row>
    <row r="8536" spans="1:11" x14ac:dyDescent="0.2">
      <c r="A8536" s="1" t="s">
        <v>3192</v>
      </c>
      <c r="B8536" s="1" t="s">
        <v>3230</v>
      </c>
      <c r="C8536" s="1" t="str">
        <f>"2NA-W0045-00JP"</f>
        <v>2NA-W0045-00JP</v>
      </c>
      <c r="D8536" s="1" t="str">
        <f>"2NA-W0045-00JP"</f>
        <v>2NA-W0045-00JP</v>
      </c>
      <c r="E8536" s="1" t="s">
        <v>4566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</row>
    <row r="8537" spans="1:11" x14ac:dyDescent="0.2">
      <c r="A8537" s="1" t="s">
        <v>3192</v>
      </c>
      <c r="B8537" s="1" t="s">
        <v>3231</v>
      </c>
      <c r="C8537" s="1" t="str">
        <f>"66298913772029"</f>
        <v>66298913772029</v>
      </c>
      <c r="D8537" s="1" t="str">
        <f>"LMP222"</f>
        <v>LMP222</v>
      </c>
      <c r="E8537" s="1" t="s">
        <v>4566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</row>
    <row r="8538" spans="1:11" x14ac:dyDescent="0.2">
      <c r="A8538" s="1" t="s">
        <v>3192</v>
      </c>
      <c r="B8538" s="1" t="s">
        <v>3232</v>
      </c>
      <c r="C8538" s="1" t="str">
        <f>"66298913815242"</f>
        <v>66298913815242</v>
      </c>
      <c r="D8538" s="1" t="str">
        <f>"LMP224"</f>
        <v>LMP224</v>
      </c>
      <c r="E8538" s="1" t="s">
        <v>4566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</row>
    <row r="8539" spans="1:11" x14ac:dyDescent="0.2">
      <c r="A8539" s="1" t="s">
        <v>3192</v>
      </c>
      <c r="B8539" s="1" t="s">
        <v>3233</v>
      </c>
      <c r="C8539" s="1" t="str">
        <f>"66298913856941"</f>
        <v>66298913856941</v>
      </c>
      <c r="D8539" s="1" t="str">
        <f>"LMP226"</f>
        <v>LMP226</v>
      </c>
      <c r="E8539" s="1" t="s">
        <v>4566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</row>
    <row r="8540" spans="1:11" ht="30" x14ac:dyDescent="0.2">
      <c r="A8540" s="1" t="s">
        <v>3192</v>
      </c>
      <c r="B8540" s="1" t="s">
        <v>3234</v>
      </c>
      <c r="C8540" s="1" t="str">
        <f>"66298913897668"</f>
        <v>66298913897668</v>
      </c>
      <c r="D8540" s="1" t="str">
        <f>"400281"</f>
        <v>400281</v>
      </c>
      <c r="E8540" s="1" t="s">
        <v>4566</v>
      </c>
      <c r="F8540" s="1">
        <v>140</v>
      </c>
      <c r="G8540" s="1">
        <v>934</v>
      </c>
      <c r="H8540" s="1">
        <v>130760</v>
      </c>
      <c r="I8540" s="1">
        <v>0</v>
      </c>
      <c r="J8540" s="1">
        <v>140</v>
      </c>
      <c r="K8540" s="1">
        <v>0</v>
      </c>
    </row>
    <row r="8541" spans="1:11" x14ac:dyDescent="0.2">
      <c r="A8541" s="1" t="s">
        <v>3192</v>
      </c>
      <c r="B8541" s="1" t="s">
        <v>3235</v>
      </c>
      <c r="C8541" s="1" t="str">
        <f>"1769"</f>
        <v>1769</v>
      </c>
      <c r="D8541" s="1" t="str">
        <f>"1769"</f>
        <v>1769</v>
      </c>
      <c r="E8541" s="1" t="s">
        <v>4566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</row>
    <row r="8542" spans="1:11" ht="30" x14ac:dyDescent="0.2">
      <c r="A8542" s="1" t="s">
        <v>3192</v>
      </c>
      <c r="B8542" s="1" t="s">
        <v>3236</v>
      </c>
      <c r="C8542" s="1" t="str">
        <f>"66298913980534"</f>
        <v>66298913980534</v>
      </c>
      <c r="D8542" s="1" t="str">
        <f>"400282"</f>
        <v>400282</v>
      </c>
      <c r="E8542" s="1" t="s">
        <v>4566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</row>
    <row r="8543" spans="1:11" ht="30" x14ac:dyDescent="0.2">
      <c r="A8543" s="1" t="s">
        <v>3192</v>
      </c>
      <c r="B8543" s="1" t="s">
        <v>3237</v>
      </c>
      <c r="C8543" s="1" t="str">
        <f>"66298913937193"</f>
        <v>66298913937193</v>
      </c>
      <c r="D8543" s="1" t="str">
        <f>"69100-15810JP"</f>
        <v>69100-15810JP</v>
      </c>
      <c r="E8543" s="1" t="s">
        <v>4566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</row>
    <row r="8544" spans="1:11" ht="30" x14ac:dyDescent="0.2">
      <c r="A8544" s="1" t="s">
        <v>3192</v>
      </c>
      <c r="B8544" s="1" t="s">
        <v>3237</v>
      </c>
      <c r="C8544" s="1" t="str">
        <f>"11412"</f>
        <v>11412</v>
      </c>
      <c r="D8544" s="1" t="str">
        <f>"11412"</f>
        <v>11412</v>
      </c>
      <c r="E8544" s="1" t="s">
        <v>4566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</row>
    <row r="8545" spans="1:11" x14ac:dyDescent="0.2">
      <c r="A8545" s="1" t="s">
        <v>3192</v>
      </c>
      <c r="B8545" s="1" t="s">
        <v>3238</v>
      </c>
      <c r="C8545" s="1" t="str">
        <f>"66298914020025"</f>
        <v>66298914020025</v>
      </c>
      <c r="D8545" s="1" t="str">
        <f>"LMP234"</f>
        <v>LMP234</v>
      </c>
      <c r="E8545" s="1" t="s">
        <v>4566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</row>
    <row r="8546" spans="1:11" ht="30" x14ac:dyDescent="0.2">
      <c r="A8546" s="1" t="s">
        <v>3192</v>
      </c>
      <c r="B8546" s="1" t="s">
        <v>3239</v>
      </c>
      <c r="C8546" s="1" t="str">
        <f>"43082-1128-CM"</f>
        <v>43082-1128-CM</v>
      </c>
      <c r="D8546" s="1" t="str">
        <f>"43082-1128-CM"</f>
        <v>43082-1128-CM</v>
      </c>
      <c r="E8546" s="1" t="s">
        <v>4566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</row>
    <row r="8547" spans="1:11" ht="30" x14ac:dyDescent="0.2">
      <c r="A8547" s="1" t="s">
        <v>3192</v>
      </c>
      <c r="B8547" s="1" t="s">
        <v>3240</v>
      </c>
      <c r="C8547" s="1" t="str">
        <f>"66298914137614"</f>
        <v>66298914137614</v>
      </c>
      <c r="D8547" s="1" t="str">
        <f>"400283"</f>
        <v>400283</v>
      </c>
      <c r="E8547" s="1" t="s">
        <v>4566</v>
      </c>
      <c r="F8547" s="1">
        <v>80</v>
      </c>
      <c r="G8547" s="1">
        <v>689</v>
      </c>
      <c r="H8547" s="1">
        <v>55120</v>
      </c>
      <c r="I8547" s="1">
        <v>0</v>
      </c>
      <c r="J8547" s="1">
        <v>80</v>
      </c>
      <c r="K8547" s="1">
        <v>0</v>
      </c>
    </row>
    <row r="8548" spans="1:11" x14ac:dyDescent="0.2">
      <c r="A8548" s="1" t="s">
        <v>3192</v>
      </c>
      <c r="B8548" s="1" t="s">
        <v>3241</v>
      </c>
      <c r="C8548" s="1" t="str">
        <f>"66298914098998"</f>
        <v>66298914098998</v>
      </c>
      <c r="D8548" s="1" t="str">
        <f>"FA197HH"</f>
        <v>FA197HH</v>
      </c>
      <c r="E8548" s="1" t="s">
        <v>4566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</row>
    <row r="8549" spans="1:11" x14ac:dyDescent="0.2">
      <c r="A8549" s="1" t="s">
        <v>3192</v>
      </c>
      <c r="B8549" s="1" t="s">
        <v>3242</v>
      </c>
      <c r="C8549" s="1" t="str">
        <f>"66298914057523"</f>
        <v>66298914057523</v>
      </c>
      <c r="D8549" s="1" t="str">
        <f>"MN146"</f>
        <v>MN146</v>
      </c>
      <c r="E8549" s="1" t="s">
        <v>4566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</row>
    <row r="8550" spans="1:11" x14ac:dyDescent="0.2">
      <c r="A8550" s="1" t="s">
        <v>3192</v>
      </c>
      <c r="B8550" s="1" t="s">
        <v>3243</v>
      </c>
      <c r="C8550" s="1" t="str">
        <f>"66298914177319"</f>
        <v>66298914177319</v>
      </c>
      <c r="D8550" s="1" t="str">
        <f>"VD248KEVLA"</f>
        <v>VD248KEVLA</v>
      </c>
      <c r="E8550" s="1" t="s">
        <v>4566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</row>
    <row r="8551" spans="1:11" x14ac:dyDescent="0.2">
      <c r="A8551" s="1" t="s">
        <v>3192</v>
      </c>
      <c r="B8551" s="1" t="s">
        <v>3244</v>
      </c>
      <c r="C8551" s="1" t="str">
        <f>"66298914216389"</f>
        <v>66298914216389</v>
      </c>
      <c r="D8551" s="1" t="str">
        <f>"FA174HH"</f>
        <v>FA174HH</v>
      </c>
      <c r="E8551" s="1" t="s">
        <v>4566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</row>
    <row r="8552" spans="1:11" x14ac:dyDescent="0.2">
      <c r="A8552" s="1" t="s">
        <v>3192</v>
      </c>
      <c r="B8552" s="1" t="s">
        <v>3245</v>
      </c>
      <c r="C8552" s="1" t="str">
        <f>"66298914254445"</f>
        <v>66298914254445</v>
      </c>
      <c r="D8552" s="1" t="str">
        <f>"400284"</f>
        <v>400284</v>
      </c>
      <c r="E8552" s="1" t="s">
        <v>4566</v>
      </c>
      <c r="F8552" s="1">
        <v>433</v>
      </c>
      <c r="G8552" s="1">
        <v>882</v>
      </c>
      <c r="H8552" s="1">
        <v>381906</v>
      </c>
      <c r="I8552" s="1">
        <v>0</v>
      </c>
      <c r="J8552" s="1">
        <v>433</v>
      </c>
      <c r="K8552" s="1">
        <v>0</v>
      </c>
    </row>
    <row r="8553" spans="1:11" ht="30" x14ac:dyDescent="0.2">
      <c r="A8553" s="1" t="s">
        <v>3192</v>
      </c>
      <c r="B8553" s="1" t="s">
        <v>3246</v>
      </c>
      <c r="C8553" s="1" t="str">
        <f>"LMP257SR"</f>
        <v>LMP257SR</v>
      </c>
      <c r="D8553" s="1" t="str">
        <f>"LMP257SR"</f>
        <v>LMP257SR</v>
      </c>
      <c r="E8553" s="1" t="s">
        <v>4566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</row>
    <row r="8554" spans="1:11" x14ac:dyDescent="0.2">
      <c r="A8554" s="1" t="s">
        <v>3192</v>
      </c>
      <c r="B8554" s="1" t="s">
        <v>3247</v>
      </c>
      <c r="C8554" s="1" t="str">
        <f>"66298914295058"</f>
        <v>66298914295058</v>
      </c>
      <c r="D8554" s="1" t="str">
        <f>"MBP-980"</f>
        <v>MBP-980</v>
      </c>
      <c r="E8554" s="1" t="s">
        <v>4566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</row>
    <row r="8555" spans="1:11" ht="30" x14ac:dyDescent="0.2">
      <c r="A8555" s="1" t="s">
        <v>3192</v>
      </c>
      <c r="B8555" s="1" t="s">
        <v>3248</v>
      </c>
      <c r="C8555" s="1" t="str">
        <f>"11414"</f>
        <v>11414</v>
      </c>
      <c r="D8555" s="1" t="str">
        <f>"11414"</f>
        <v>11414</v>
      </c>
      <c r="E8555" s="1" t="s">
        <v>4566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</row>
    <row r="8556" spans="1:11" ht="30" x14ac:dyDescent="0.2">
      <c r="A8556" s="1" t="s">
        <v>3192</v>
      </c>
      <c r="B8556" s="1" t="s">
        <v>3249</v>
      </c>
      <c r="C8556" s="1" t="str">
        <f>"66298914337504"</f>
        <v>66298914337504</v>
      </c>
      <c r="D8556" s="1" t="str">
        <f>"DJ-1510-71"</f>
        <v>DJ-1510-71</v>
      </c>
      <c r="E8556" s="1" t="s">
        <v>4566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</row>
    <row r="8557" spans="1:11" ht="30" x14ac:dyDescent="0.2">
      <c r="A8557" s="1" t="s">
        <v>3192</v>
      </c>
      <c r="B8557" s="1" t="s">
        <v>3249</v>
      </c>
      <c r="C8557" s="1" t="str">
        <f>"66298914345463"</f>
        <v>66298914345463</v>
      </c>
      <c r="D8557" s="1" t="str">
        <f>"DJ-1510-71CM"</f>
        <v>DJ-1510-71CM</v>
      </c>
      <c r="E8557" s="1" t="s">
        <v>4566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</row>
    <row r="8558" spans="1:11" ht="30" x14ac:dyDescent="0.2">
      <c r="A8558" s="1" t="s">
        <v>3192</v>
      </c>
      <c r="B8558" s="1" t="s">
        <v>3249</v>
      </c>
      <c r="C8558" s="1" t="str">
        <f>"U003"</f>
        <v>U003</v>
      </c>
      <c r="D8558" s="1" t="str">
        <f>"U003"</f>
        <v>U003</v>
      </c>
      <c r="E8558" s="1" t="s">
        <v>4566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</row>
    <row r="8559" spans="1:11" x14ac:dyDescent="0.2">
      <c r="A8559" s="1" t="s">
        <v>3192</v>
      </c>
      <c r="B8559" s="1" t="s">
        <v>3250</v>
      </c>
      <c r="C8559" s="1" t="str">
        <f>"LMP274SR"</f>
        <v>LMP274SR</v>
      </c>
      <c r="D8559" s="1" t="str">
        <f>"LMP274SR"</f>
        <v>LMP274SR</v>
      </c>
      <c r="E8559" s="1" t="s">
        <v>4566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</row>
    <row r="8560" spans="1:11" x14ac:dyDescent="0.2">
      <c r="A8560" s="1" t="s">
        <v>3192</v>
      </c>
      <c r="B8560" s="1" t="s">
        <v>3251</v>
      </c>
      <c r="C8560" s="1" t="str">
        <f>"11424"</f>
        <v>11424</v>
      </c>
      <c r="D8560" s="1" t="str">
        <f>"11424"</f>
        <v>11424</v>
      </c>
      <c r="E8560" s="1" t="s">
        <v>4566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</row>
    <row r="8561" spans="1:11" x14ac:dyDescent="0.2">
      <c r="A8561" s="1" t="s">
        <v>3192</v>
      </c>
      <c r="B8561" s="1" t="s">
        <v>3252</v>
      </c>
      <c r="C8561" s="1" t="str">
        <f>"66298914399322"</f>
        <v>66298914399322</v>
      </c>
      <c r="D8561" s="1" t="str">
        <f>"400286"</f>
        <v>400286</v>
      </c>
      <c r="E8561" s="1" t="s">
        <v>4566</v>
      </c>
      <c r="F8561" s="1">
        <v>240</v>
      </c>
      <c r="G8561" s="1">
        <v>1153</v>
      </c>
      <c r="H8561" s="1">
        <v>276720</v>
      </c>
      <c r="I8561" s="1">
        <v>0</v>
      </c>
      <c r="J8561" s="1">
        <v>240</v>
      </c>
      <c r="K8561" s="1">
        <v>0</v>
      </c>
    </row>
    <row r="8562" spans="1:11" x14ac:dyDescent="0.2">
      <c r="A8562" s="1" t="s">
        <v>3192</v>
      </c>
      <c r="B8562" s="1" t="s">
        <v>3253</v>
      </c>
      <c r="C8562" s="1" t="str">
        <f>"LMP275SR"</f>
        <v>LMP275SR</v>
      </c>
      <c r="D8562" s="1" t="str">
        <f>"LMP275SR"</f>
        <v>LMP275SR</v>
      </c>
      <c r="E8562" s="1" t="s">
        <v>4566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</row>
    <row r="8563" spans="1:11" ht="30" x14ac:dyDescent="0.2">
      <c r="A8563" s="1" t="s">
        <v>3192</v>
      </c>
      <c r="B8563" s="1" t="s">
        <v>3254</v>
      </c>
      <c r="C8563" s="1" t="str">
        <f>"11423"</f>
        <v>11423</v>
      </c>
      <c r="D8563" s="1" t="str">
        <f>"11423"</f>
        <v>11423</v>
      </c>
      <c r="E8563" s="1" t="s">
        <v>4566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</row>
    <row r="8564" spans="1:11" ht="30" x14ac:dyDescent="0.2">
      <c r="A8564" s="1" t="s">
        <v>3192</v>
      </c>
      <c r="B8564" s="1" t="s">
        <v>3255</v>
      </c>
      <c r="C8564" s="1" t="str">
        <f>"66298914439250"</f>
        <v>66298914439250</v>
      </c>
      <c r="D8564" s="1" t="str">
        <f>"400287"</f>
        <v>400287</v>
      </c>
      <c r="E8564" s="1" t="s">
        <v>4566</v>
      </c>
      <c r="F8564" s="1">
        <v>280</v>
      </c>
      <c r="G8564" s="1">
        <v>681</v>
      </c>
      <c r="H8564" s="1">
        <v>190680</v>
      </c>
      <c r="I8564" s="1">
        <v>0</v>
      </c>
      <c r="J8564" s="1">
        <v>280</v>
      </c>
      <c r="K8564" s="1">
        <v>0</v>
      </c>
    </row>
    <row r="8565" spans="1:11" x14ac:dyDescent="0.2">
      <c r="A8565" s="1" t="s">
        <v>3192</v>
      </c>
      <c r="B8565" s="1" t="s">
        <v>3256</v>
      </c>
      <c r="C8565" s="1" t="str">
        <f>"HDR160"</f>
        <v>HDR160</v>
      </c>
      <c r="D8565" s="1" t="str">
        <f>"HDR160"</f>
        <v>HDR160</v>
      </c>
      <c r="E8565" s="1" t="s">
        <v>4566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</row>
    <row r="8566" spans="1:11" x14ac:dyDescent="0.2">
      <c r="A8566" s="1" t="s">
        <v>3192</v>
      </c>
      <c r="B8566" s="1" t="s">
        <v>3257</v>
      </c>
      <c r="C8566" s="1" t="str">
        <f>"66298914476418"</f>
        <v>66298914476418</v>
      </c>
      <c r="D8566" s="1" t="str">
        <f>"FA-188"</f>
        <v>FA-188</v>
      </c>
      <c r="E8566" s="1" t="s">
        <v>4566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</row>
    <row r="8567" spans="1:11" x14ac:dyDescent="0.2">
      <c r="A8567" s="1" t="s">
        <v>3192</v>
      </c>
      <c r="B8567" s="1" t="s">
        <v>3258</v>
      </c>
      <c r="C8567" s="1" t="str">
        <f>"LMP287SR"</f>
        <v>LMP287SR</v>
      </c>
      <c r="D8567" s="1" t="str">
        <f>"LMP287SR"</f>
        <v>LMP287SR</v>
      </c>
      <c r="E8567" s="1" t="s">
        <v>4566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</row>
    <row r="8568" spans="1:11" x14ac:dyDescent="0.2">
      <c r="A8568" s="1" t="s">
        <v>3192</v>
      </c>
      <c r="B8568" s="1" t="s">
        <v>3259</v>
      </c>
      <c r="C8568" s="1" t="str">
        <f>"66298914516878"</f>
        <v>66298914516878</v>
      </c>
      <c r="D8568" s="1" t="str">
        <f>"4FU-W0045-00JP"</f>
        <v>4FU-W0045-00JP</v>
      </c>
      <c r="E8568" s="1" t="s">
        <v>4566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</row>
    <row r="8569" spans="1:11" x14ac:dyDescent="0.2">
      <c r="A8569" s="1" t="s">
        <v>3192</v>
      </c>
      <c r="B8569" s="1" t="s">
        <v>3260</v>
      </c>
      <c r="C8569" s="1" t="str">
        <f>"66298914561445"</f>
        <v>66298914561445</v>
      </c>
      <c r="D8569" s="1" t="str">
        <f>"400288"</f>
        <v>400288</v>
      </c>
      <c r="E8569" s="1" t="s">
        <v>4566</v>
      </c>
      <c r="F8569" s="1">
        <v>680</v>
      </c>
      <c r="G8569" s="1">
        <v>821</v>
      </c>
      <c r="H8569" s="1">
        <v>558280</v>
      </c>
      <c r="I8569" s="1">
        <v>0</v>
      </c>
      <c r="J8569" s="1">
        <v>680</v>
      </c>
      <c r="K8569" s="1">
        <v>0</v>
      </c>
    </row>
    <row r="8570" spans="1:11" ht="30" x14ac:dyDescent="0.2">
      <c r="A8570" s="1" t="s">
        <v>3192</v>
      </c>
      <c r="B8570" s="1" t="s">
        <v>3261</v>
      </c>
      <c r="C8570" s="1" t="str">
        <f>"66298914608534"</f>
        <v>66298914608534</v>
      </c>
      <c r="D8570" s="1" t="str">
        <f>"P10037"</f>
        <v>P10037</v>
      </c>
      <c r="E8570" s="1" t="s">
        <v>4566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</row>
    <row r="8571" spans="1:11" x14ac:dyDescent="0.2">
      <c r="A8571" s="1" t="s">
        <v>3192</v>
      </c>
      <c r="B8571" s="1" t="s">
        <v>3262</v>
      </c>
      <c r="C8571" s="1" t="str">
        <f>"66298914656942"</f>
        <v>66298914656942</v>
      </c>
      <c r="D8571" s="1" t="str">
        <f>"U035"</f>
        <v>U035</v>
      </c>
      <c r="E8571" s="1" t="s">
        <v>4566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</row>
    <row r="8572" spans="1:11" x14ac:dyDescent="0.2">
      <c r="A8572" s="1" t="s">
        <v>3192</v>
      </c>
      <c r="B8572" s="1" t="s">
        <v>3263</v>
      </c>
      <c r="C8572" s="1" t="str">
        <f>"66298914700103"</f>
        <v>66298914700103</v>
      </c>
      <c r="D8572" s="1" t="str">
        <f>"82096"</f>
        <v>82096</v>
      </c>
      <c r="E8572" s="1" t="s">
        <v>4566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</row>
    <row r="8573" spans="1:11" x14ac:dyDescent="0.2">
      <c r="A8573" s="1" t="s">
        <v>3192</v>
      </c>
      <c r="B8573" s="1" t="s">
        <v>3264</v>
      </c>
      <c r="C8573" s="1" t="str">
        <f>"LMP300SF"</f>
        <v>LMP300SF</v>
      </c>
      <c r="D8573" s="1" t="str">
        <f>"LMP300SF"</f>
        <v>LMP300SF</v>
      </c>
      <c r="E8573" s="1" t="s">
        <v>4566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</row>
    <row r="8574" spans="1:11" x14ac:dyDescent="0.2">
      <c r="A8574" s="1" t="s">
        <v>3192</v>
      </c>
      <c r="B8574" s="1" t="s">
        <v>3265</v>
      </c>
      <c r="C8574" s="1" t="str">
        <f>"66298914746730"</f>
        <v>66298914746730</v>
      </c>
      <c r="D8574" s="1" t="str">
        <f>"400289"</f>
        <v>400289</v>
      </c>
      <c r="E8574" s="1" t="s">
        <v>4566</v>
      </c>
      <c r="F8574" s="1">
        <v>172</v>
      </c>
      <c r="G8574" s="1">
        <v>597</v>
      </c>
      <c r="H8574" s="1">
        <v>102684</v>
      </c>
      <c r="I8574" s="1">
        <v>0</v>
      </c>
      <c r="J8574" s="1">
        <v>172</v>
      </c>
      <c r="K8574" s="1">
        <v>0</v>
      </c>
    </row>
    <row r="8575" spans="1:11" x14ac:dyDescent="0.2">
      <c r="A8575" s="1" t="s">
        <v>3192</v>
      </c>
      <c r="B8575" s="1" t="s">
        <v>3266</v>
      </c>
      <c r="C8575" s="1" t="str">
        <f>"66298914791179"</f>
        <v>66298914791179</v>
      </c>
      <c r="D8575" s="1" t="str">
        <f>"59100-33880JP"</f>
        <v>59100-33880JP</v>
      </c>
      <c r="E8575" s="1" t="s">
        <v>4566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</row>
    <row r="8576" spans="1:11" x14ac:dyDescent="0.2">
      <c r="A8576" s="1" t="s">
        <v>3192</v>
      </c>
      <c r="B8576" s="1" t="s">
        <v>3267</v>
      </c>
      <c r="C8576" s="1" t="str">
        <f>"66298914836465"</f>
        <v>66298914836465</v>
      </c>
      <c r="D8576" s="1" t="str">
        <f>"FA229HH"</f>
        <v>FA229HH</v>
      </c>
      <c r="E8576" s="1" t="s">
        <v>4566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</row>
    <row r="8577" spans="1:11" x14ac:dyDescent="0.2">
      <c r="A8577" s="1" t="s">
        <v>3192</v>
      </c>
      <c r="B8577" s="1" t="s">
        <v>3268</v>
      </c>
      <c r="C8577" s="1" t="str">
        <f>"66298914879951"</f>
        <v>66298914879951</v>
      </c>
      <c r="D8577" s="1" t="str">
        <f>"45105-OSC-9000JP"</f>
        <v>45105-OSC-9000JP</v>
      </c>
      <c r="E8577" s="1" t="s">
        <v>4566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</row>
    <row r="8578" spans="1:11" x14ac:dyDescent="0.2">
      <c r="A8578" s="1" t="s">
        <v>3192</v>
      </c>
      <c r="B8578" s="1" t="s">
        <v>3269</v>
      </c>
      <c r="C8578" s="1" t="str">
        <f>"66298914922159"</f>
        <v>66298914922159</v>
      </c>
      <c r="D8578" s="1" t="str">
        <f>"LMP316"</f>
        <v>LMP316</v>
      </c>
      <c r="E8578" s="1" t="s">
        <v>4566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</row>
    <row r="8579" spans="1:11" x14ac:dyDescent="0.2">
      <c r="A8579" s="1" t="s">
        <v>3192</v>
      </c>
      <c r="B8579" s="1" t="s">
        <v>3270</v>
      </c>
      <c r="C8579" s="1" t="str">
        <f>"66298914966416"</f>
        <v>66298914966416</v>
      </c>
      <c r="D8579" s="1" t="str">
        <f>"PF-U011"</f>
        <v>PF-U011</v>
      </c>
      <c r="E8579" s="1" t="s">
        <v>4566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</row>
    <row r="8580" spans="1:11" x14ac:dyDescent="0.2">
      <c r="A8580" s="1" t="s">
        <v>3192</v>
      </c>
      <c r="B8580" s="1" t="s">
        <v>3271</v>
      </c>
      <c r="C8580" s="1" t="str">
        <f>"66298915011486"</f>
        <v>66298915011486</v>
      </c>
      <c r="D8580" s="1" t="str">
        <f>"4JG-W0045-00-CM"</f>
        <v>4JG-W0045-00-CM</v>
      </c>
      <c r="E8580" s="1" t="s">
        <v>4566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</row>
    <row r="8581" spans="1:11" ht="30" x14ac:dyDescent="0.2">
      <c r="A8581" s="1" t="s">
        <v>3192</v>
      </c>
      <c r="B8581" s="1" t="s">
        <v>3272</v>
      </c>
      <c r="C8581" s="1" t="str">
        <f>"66298915051887"</f>
        <v>66298915051887</v>
      </c>
      <c r="D8581" s="1" t="str">
        <f>"400290"</f>
        <v>400290</v>
      </c>
      <c r="E8581" s="1" t="s">
        <v>4566</v>
      </c>
      <c r="F8581" s="1">
        <v>190</v>
      </c>
      <c r="G8581" s="1">
        <v>806</v>
      </c>
      <c r="H8581" s="1">
        <v>153140</v>
      </c>
      <c r="I8581" s="1">
        <v>0</v>
      </c>
      <c r="J8581" s="1">
        <v>190</v>
      </c>
      <c r="K8581" s="1">
        <v>0</v>
      </c>
    </row>
    <row r="8582" spans="1:11" x14ac:dyDescent="0.2">
      <c r="A8582" s="1" t="s">
        <v>3192</v>
      </c>
      <c r="B8582" s="1" t="s">
        <v>3273</v>
      </c>
      <c r="C8582" s="1" t="str">
        <f>"66298915096959"</f>
        <v>66298915096959</v>
      </c>
      <c r="D8582" s="1" t="str">
        <f>"JL-1318-05"</f>
        <v>JL-1318-05</v>
      </c>
      <c r="E8582" s="1" t="s">
        <v>4566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</row>
    <row r="8583" spans="1:11" x14ac:dyDescent="0.2">
      <c r="A8583" s="1" t="s">
        <v>3192</v>
      </c>
      <c r="B8583" s="1" t="s">
        <v>3274</v>
      </c>
      <c r="C8583" s="1" t="str">
        <f>"66298915141568"</f>
        <v>66298915141568</v>
      </c>
      <c r="D8583" s="1" t="str">
        <f>"FA-294"</f>
        <v>FA-294</v>
      </c>
      <c r="E8583" s="1" t="s">
        <v>4566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</row>
    <row r="8584" spans="1:11" x14ac:dyDescent="0.2">
      <c r="A8584" s="1" t="s">
        <v>3192</v>
      </c>
      <c r="B8584" s="1" t="s">
        <v>3275</v>
      </c>
      <c r="C8584" s="1" t="str">
        <f>"66298915181812"</f>
        <v>66298915181812</v>
      </c>
      <c r="D8584" s="1" t="str">
        <f>"P10057"</f>
        <v>P10057</v>
      </c>
      <c r="E8584" s="1" t="s">
        <v>4566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</row>
    <row r="8585" spans="1:11" x14ac:dyDescent="0.2">
      <c r="A8585" s="1" t="s">
        <v>3192</v>
      </c>
      <c r="B8585" s="1" t="s">
        <v>3276</v>
      </c>
      <c r="C8585" s="1" t="str">
        <f>"66298915269984"</f>
        <v>66298915269984</v>
      </c>
      <c r="D8585" s="1" t="str">
        <f>"U039"</f>
        <v>U039</v>
      </c>
      <c r="E8585" s="1" t="s">
        <v>4566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</row>
    <row r="8586" spans="1:11" ht="30" x14ac:dyDescent="0.2">
      <c r="A8586" s="1" t="s">
        <v>3192</v>
      </c>
      <c r="B8586" s="1" t="s">
        <v>3277</v>
      </c>
      <c r="C8586" s="1" t="str">
        <f>"66298915226162"</f>
        <v>66298915226162</v>
      </c>
      <c r="D8586" s="1" t="str">
        <f>"400291"</f>
        <v>400291</v>
      </c>
      <c r="E8586" s="1" t="s">
        <v>4566</v>
      </c>
      <c r="F8586" s="1">
        <v>342</v>
      </c>
      <c r="G8586" s="1">
        <v>866</v>
      </c>
      <c r="H8586" s="1">
        <v>296172</v>
      </c>
      <c r="I8586" s="1">
        <v>0</v>
      </c>
      <c r="J8586" s="1">
        <v>342</v>
      </c>
      <c r="K8586" s="1">
        <v>0</v>
      </c>
    </row>
    <row r="8587" spans="1:11" x14ac:dyDescent="0.2">
      <c r="A8587" s="1" t="s">
        <v>3192</v>
      </c>
      <c r="B8587" s="1" t="s">
        <v>3278</v>
      </c>
      <c r="C8587" s="1" t="str">
        <f>"66298915314371"</f>
        <v>66298915314371</v>
      </c>
      <c r="D8587" s="1" t="str">
        <f>"LMP367OR"</f>
        <v>LMP367OR</v>
      </c>
      <c r="E8587" s="1" t="s">
        <v>4566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</row>
    <row r="8588" spans="1:11" x14ac:dyDescent="0.2">
      <c r="A8588" s="1" t="s">
        <v>3192</v>
      </c>
      <c r="B8588" s="1" t="s">
        <v>3279</v>
      </c>
      <c r="C8588" s="1" t="str">
        <f>"66298915356304"</f>
        <v>66298915356304</v>
      </c>
      <c r="D8588" s="1" t="str">
        <f>"LMP369SR"</f>
        <v>LMP369SR</v>
      </c>
      <c r="E8588" s="1" t="s">
        <v>4566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</row>
    <row r="8589" spans="1:11" x14ac:dyDescent="0.2">
      <c r="A8589" s="1" t="s">
        <v>3192</v>
      </c>
      <c r="B8589" s="1" t="s">
        <v>3280</v>
      </c>
      <c r="C8589" s="1" t="str">
        <f>"66298915398744"</f>
        <v>66298915398744</v>
      </c>
      <c r="D8589" s="1" t="str">
        <f>"LMP377OR"</f>
        <v>LMP377OR</v>
      </c>
      <c r="E8589" s="1" t="s">
        <v>4566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</row>
    <row r="8590" spans="1:11" x14ac:dyDescent="0.2">
      <c r="A8590" s="1" t="s">
        <v>3192</v>
      </c>
      <c r="B8590" s="1" t="s">
        <v>3281</v>
      </c>
      <c r="C8590" s="1" t="str">
        <f>"BR-DFP-40835"</f>
        <v>BR-DFP-40835</v>
      </c>
      <c r="D8590" s="1" t="str">
        <f>"BR-DFP-40835"</f>
        <v>BR-DFP-40835</v>
      </c>
      <c r="E8590" s="1" t="s">
        <v>4566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</row>
    <row r="8591" spans="1:11" x14ac:dyDescent="0.2">
      <c r="A8591" s="1" t="s">
        <v>3192</v>
      </c>
      <c r="B8591" s="1" t="s">
        <v>3282</v>
      </c>
      <c r="C8591" s="1" t="str">
        <f>"66298915445296"</f>
        <v>66298915445296</v>
      </c>
      <c r="D8591" s="1" t="str">
        <f>"P10050"</f>
        <v>P10050</v>
      </c>
      <c r="E8591" s="1" t="s">
        <v>4566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</row>
    <row r="8592" spans="1:11" x14ac:dyDescent="0.2">
      <c r="A8592" s="1" t="s">
        <v>3192</v>
      </c>
      <c r="B8592" s="1" t="s">
        <v>3283</v>
      </c>
      <c r="C8592" s="1" t="str">
        <f>"66298915483180"</f>
        <v>66298915483180</v>
      </c>
      <c r="D8592" s="1" t="str">
        <f>"400292"</f>
        <v>400292</v>
      </c>
      <c r="E8592" s="1" t="s">
        <v>4566</v>
      </c>
      <c r="F8592" s="1">
        <v>395</v>
      </c>
      <c r="G8592" s="1">
        <v>1059</v>
      </c>
      <c r="H8592" s="1">
        <v>418305</v>
      </c>
      <c r="I8592" s="1">
        <v>0</v>
      </c>
      <c r="J8592" s="1">
        <v>395</v>
      </c>
      <c r="K8592" s="1">
        <v>0</v>
      </c>
    </row>
    <row r="8593" spans="1:11" x14ac:dyDescent="0.2">
      <c r="A8593" s="1" t="s">
        <v>3192</v>
      </c>
      <c r="B8593" s="1" t="s">
        <v>3284</v>
      </c>
      <c r="C8593" s="1" t="str">
        <f>"66298915524548"</f>
        <v>66298915524548</v>
      </c>
      <c r="D8593" s="1" t="str">
        <f>"82416"</f>
        <v>82416</v>
      </c>
      <c r="E8593" s="1" t="s">
        <v>4566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</row>
    <row r="8594" spans="1:11" x14ac:dyDescent="0.2">
      <c r="A8594" s="1" t="s">
        <v>3192</v>
      </c>
      <c r="B8594" s="1" t="s">
        <v>3285</v>
      </c>
      <c r="C8594" s="1" t="str">
        <f>"66298915568509"</f>
        <v>66298915568509</v>
      </c>
      <c r="D8594" s="1" t="str">
        <f>"P10028"</f>
        <v>P10028</v>
      </c>
      <c r="E8594" s="1" t="s">
        <v>4566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</row>
    <row r="8595" spans="1:11" x14ac:dyDescent="0.2">
      <c r="A8595" s="1" t="s">
        <v>3192</v>
      </c>
      <c r="B8595" s="1" t="s">
        <v>3286</v>
      </c>
      <c r="C8595" s="1" t="str">
        <f>"66298915608224"</f>
        <v>66298915608224</v>
      </c>
      <c r="D8595" s="1" t="str">
        <f>"LMP396"</f>
        <v>LMP396</v>
      </c>
      <c r="E8595" s="1" t="s">
        <v>4566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</row>
    <row r="8596" spans="1:11" ht="30" x14ac:dyDescent="0.2">
      <c r="A8596" s="1" t="s">
        <v>3192</v>
      </c>
      <c r="B8596" s="1" t="s">
        <v>3287</v>
      </c>
      <c r="C8596" s="1" t="str">
        <f>"66298915648409"</f>
        <v>66298915648409</v>
      </c>
      <c r="D8596" s="1" t="str">
        <f>"29173-000W-0001"</f>
        <v>29173-000W-0001</v>
      </c>
      <c r="E8596" s="1" t="s">
        <v>4566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</row>
    <row r="8597" spans="1:11" ht="30" x14ac:dyDescent="0.2">
      <c r="A8597" s="1" t="s">
        <v>3192</v>
      </c>
      <c r="B8597" s="1" t="s">
        <v>3288</v>
      </c>
      <c r="C8597" s="1" t="str">
        <f>"66298915686527"</f>
        <v>66298915686527</v>
      </c>
      <c r="D8597" s="1" t="str">
        <f>"P10047"</f>
        <v>P10047</v>
      </c>
      <c r="E8597" s="1" t="s">
        <v>4566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</row>
    <row r="8598" spans="1:11" x14ac:dyDescent="0.2">
      <c r="A8598" s="1" t="s">
        <v>3192</v>
      </c>
      <c r="B8598" s="1" t="s">
        <v>3289</v>
      </c>
      <c r="C8598" s="1" t="str">
        <f>"66298915730032"</f>
        <v>66298915730032</v>
      </c>
      <c r="D8598" s="1" t="str">
        <f>"VD170HCERAM"</f>
        <v>VD170HCERAM</v>
      </c>
      <c r="E8598" s="1" t="s">
        <v>4566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</row>
    <row r="8599" spans="1:11" x14ac:dyDescent="0.2">
      <c r="A8599" s="1" t="s">
        <v>3192</v>
      </c>
      <c r="B8599" s="1" t="s">
        <v>3290</v>
      </c>
      <c r="C8599" s="1" t="str">
        <f>"U002"</f>
        <v>U002</v>
      </c>
      <c r="D8599" s="1" t="str">
        <f>"U002"</f>
        <v>U002</v>
      </c>
      <c r="E8599" s="1" t="s">
        <v>4566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</row>
    <row r="8600" spans="1:11" x14ac:dyDescent="0.2">
      <c r="A8600" s="1" t="s">
        <v>3192</v>
      </c>
      <c r="B8600" s="1" t="s">
        <v>3291</v>
      </c>
      <c r="C8600" s="1" t="str">
        <f>"66298915766926"</f>
        <v>66298915766926</v>
      </c>
      <c r="D8600" s="1" t="str">
        <f>"400295"</f>
        <v>400295</v>
      </c>
      <c r="E8600" s="1" t="s">
        <v>4566</v>
      </c>
      <c r="F8600" s="1">
        <v>350</v>
      </c>
      <c r="G8600" s="1">
        <v>1032</v>
      </c>
      <c r="H8600" s="1">
        <v>361200</v>
      </c>
      <c r="I8600" s="1">
        <v>0</v>
      </c>
      <c r="J8600" s="1">
        <v>350</v>
      </c>
      <c r="K8600" s="1">
        <v>0</v>
      </c>
    </row>
    <row r="8601" spans="1:11" x14ac:dyDescent="0.2">
      <c r="A8601" s="1" t="s">
        <v>3192</v>
      </c>
      <c r="B8601" s="1" t="s">
        <v>3292</v>
      </c>
      <c r="C8601" s="1" t="str">
        <f>"66298915806674"</f>
        <v>66298915806674</v>
      </c>
      <c r="D8601" s="1" t="str">
        <f>"FA436HH"</f>
        <v>FA436HH</v>
      </c>
      <c r="E8601" s="1" t="s">
        <v>4566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</row>
    <row r="8602" spans="1:11" x14ac:dyDescent="0.2">
      <c r="A8602" s="1" t="s">
        <v>3192</v>
      </c>
      <c r="B8602" s="1" t="s">
        <v>3293</v>
      </c>
      <c r="C8602" s="1" t="str">
        <f>"66298915846194"</f>
        <v>66298915846194</v>
      </c>
      <c r="D8602" s="1" t="str">
        <f>"FA-447"</f>
        <v>FA-447</v>
      </c>
      <c r="E8602" s="1" t="s">
        <v>4566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</row>
    <row r="8603" spans="1:11" ht="30" x14ac:dyDescent="0.2">
      <c r="A8603" s="1" t="s">
        <v>3192</v>
      </c>
      <c r="B8603" s="1" t="s">
        <v>3294</v>
      </c>
      <c r="C8603" s="1" t="str">
        <f>"4C9-W0045-00-CM"</f>
        <v>4C9-W0045-00-CM</v>
      </c>
      <c r="D8603" s="1" t="str">
        <f>"4C9-W0045-00-CM"</f>
        <v>4C9-W0045-00-CM</v>
      </c>
      <c r="E8603" s="1" t="s">
        <v>4566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</row>
    <row r="8604" spans="1:11" ht="30" x14ac:dyDescent="0.2">
      <c r="A8604" s="1" t="s">
        <v>3192</v>
      </c>
      <c r="B8604" s="1" t="s">
        <v>3295</v>
      </c>
      <c r="C8604" s="1" t="str">
        <f>"4C9-W0045-00JP"</f>
        <v>4C9-W0045-00JP</v>
      </c>
      <c r="D8604" s="1" t="str">
        <f>"4C9-W0045-00JP"</f>
        <v>4C9-W0045-00JP</v>
      </c>
      <c r="E8604" s="1" t="s">
        <v>4566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</row>
    <row r="8605" spans="1:11" ht="30" x14ac:dyDescent="0.2">
      <c r="A8605" s="1" t="s">
        <v>3192</v>
      </c>
      <c r="B8605" s="1" t="s">
        <v>3296</v>
      </c>
      <c r="C8605" s="1" t="str">
        <f>"66298915936038"</f>
        <v>66298915936038</v>
      </c>
      <c r="D8605" s="1" t="str">
        <f>"400296"</f>
        <v>400296</v>
      </c>
      <c r="E8605" s="1" t="s">
        <v>4566</v>
      </c>
      <c r="F8605" s="1">
        <v>320</v>
      </c>
      <c r="G8605" s="1">
        <v>871</v>
      </c>
      <c r="H8605" s="1">
        <v>278720</v>
      </c>
      <c r="I8605" s="1">
        <v>0</v>
      </c>
      <c r="J8605" s="1">
        <v>320</v>
      </c>
      <c r="K8605" s="1">
        <v>0</v>
      </c>
    </row>
    <row r="8606" spans="1:11" ht="30" x14ac:dyDescent="0.2">
      <c r="A8606" s="1" t="s">
        <v>3192</v>
      </c>
      <c r="B8606" s="1" t="s">
        <v>3297</v>
      </c>
      <c r="C8606" s="1" t="str">
        <f>"U020"</f>
        <v>U020</v>
      </c>
      <c r="D8606" s="1" t="str">
        <f>"U020"</f>
        <v>U020</v>
      </c>
      <c r="E8606" s="1" t="s">
        <v>4566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</row>
    <row r="8607" spans="1:11" x14ac:dyDescent="0.2">
      <c r="A8607" s="1" t="s">
        <v>3192</v>
      </c>
      <c r="B8607" s="1" t="s">
        <v>3298</v>
      </c>
      <c r="C8607" s="1" t="str">
        <f>"11417"</f>
        <v>11417</v>
      </c>
      <c r="D8607" s="1" t="str">
        <f>"11417"</f>
        <v>11417</v>
      </c>
      <c r="E8607" s="1" t="s">
        <v>4566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</row>
    <row r="8608" spans="1:11" x14ac:dyDescent="0.2">
      <c r="A8608" s="1" t="s">
        <v>3192</v>
      </c>
      <c r="B8608" s="1" t="s">
        <v>3299</v>
      </c>
      <c r="C8608" s="1" t="str">
        <f>"66298915981957"</f>
        <v>66298915981957</v>
      </c>
      <c r="D8608" s="1" t="str">
        <f>"LMP462SR"</f>
        <v>LMP462SR</v>
      </c>
      <c r="E8608" s="1" t="s">
        <v>4566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</row>
    <row r="8609" spans="1:11" x14ac:dyDescent="0.2">
      <c r="A8609" s="1" t="s">
        <v>3192</v>
      </c>
      <c r="B8609" s="1" t="s">
        <v>3300</v>
      </c>
      <c r="C8609" s="1" t="str">
        <f>"66298916029498"</f>
        <v>66298916029498</v>
      </c>
      <c r="D8609" s="1" t="str">
        <f>"17C-W0045-00JP"</f>
        <v>17C-W0045-00JP</v>
      </c>
      <c r="E8609" s="1" t="s">
        <v>4566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</row>
    <row r="8610" spans="1:11" x14ac:dyDescent="0.2">
      <c r="A8610" s="1" t="s">
        <v>3192</v>
      </c>
      <c r="B8610" s="1" t="s">
        <v>3301</v>
      </c>
      <c r="C8610" s="1" t="str">
        <f>"66298916073071"</f>
        <v>66298916073071</v>
      </c>
      <c r="D8610" s="1" t="str">
        <f>"5S9-W0045-00JP"</f>
        <v>5S9-W0045-00JP</v>
      </c>
      <c r="E8610" s="1" t="s">
        <v>4566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</row>
    <row r="8611" spans="1:11" ht="30" x14ac:dyDescent="0.2">
      <c r="A8611" s="1" t="s">
        <v>3192</v>
      </c>
      <c r="B8611" s="1" t="s">
        <v>3302</v>
      </c>
      <c r="C8611" s="1" t="str">
        <f>"66298916174695"</f>
        <v>66298916174695</v>
      </c>
      <c r="D8611" s="1" t="str">
        <f>"FA606HH"</f>
        <v>FA606HH</v>
      </c>
      <c r="E8611" s="1" t="s">
        <v>4566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</row>
    <row r="8612" spans="1:11" ht="30" x14ac:dyDescent="0.2">
      <c r="A8612" s="1" t="s">
        <v>3192</v>
      </c>
      <c r="B8612" s="1" t="s">
        <v>3303</v>
      </c>
      <c r="C8612" s="1" t="str">
        <f>"66298916115251"</f>
        <v>66298916115251</v>
      </c>
      <c r="D8612" s="1" t="str">
        <f>"MBP-606HH"</f>
        <v>MBP-606HH</v>
      </c>
      <c r="E8612" s="1" t="s">
        <v>4566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</row>
    <row r="8613" spans="1:11" x14ac:dyDescent="0.2">
      <c r="A8613" s="1" t="s">
        <v>3192</v>
      </c>
      <c r="B8613" s="1" t="s">
        <v>3304</v>
      </c>
      <c r="C8613" s="1" t="str">
        <f>"LMP481SR"</f>
        <v>LMP481SR</v>
      </c>
      <c r="D8613" s="1" t="str">
        <f>"LMP481SR"</f>
        <v>LMP481SR</v>
      </c>
      <c r="E8613" s="1" t="s">
        <v>4566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</row>
    <row r="8614" spans="1:11" ht="30" x14ac:dyDescent="0.2">
      <c r="A8614" s="1" t="s">
        <v>3192</v>
      </c>
      <c r="B8614" s="1" t="s">
        <v>3305</v>
      </c>
      <c r="C8614" s="1" t="str">
        <f>"69100-04830-CM"</f>
        <v>69100-04830-CM</v>
      </c>
      <c r="D8614" s="1" t="str">
        <f>"69100-04830-CM"</f>
        <v>69100-04830-CM</v>
      </c>
      <c r="E8614" s="1" t="s">
        <v>4566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</row>
    <row r="8615" spans="1:11" x14ac:dyDescent="0.2">
      <c r="A8615" s="1" t="s">
        <v>3192</v>
      </c>
      <c r="B8615" s="1" t="s">
        <v>3306</v>
      </c>
      <c r="C8615" s="1" t="str">
        <f>"LMP500SF"</f>
        <v>LMP500SF</v>
      </c>
      <c r="D8615" s="1" t="str">
        <f>"LMP500SF"</f>
        <v>LMP500SF</v>
      </c>
      <c r="E8615" s="1" t="s">
        <v>4566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</row>
    <row r="8616" spans="1:11" x14ac:dyDescent="0.2">
      <c r="A8616" s="1" t="s">
        <v>3192</v>
      </c>
      <c r="B8616" s="1" t="s">
        <v>3307</v>
      </c>
      <c r="C8616" s="1" t="str">
        <f>"66298916226472"</f>
        <v>66298916226472</v>
      </c>
      <c r="D8616" s="1" t="str">
        <f>"FA630HH"</f>
        <v>FA630HH</v>
      </c>
      <c r="E8616" s="1" t="s">
        <v>4566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</row>
    <row r="8617" spans="1:11" x14ac:dyDescent="0.2">
      <c r="A8617" s="1" t="s">
        <v>3192</v>
      </c>
      <c r="B8617" s="1" t="s">
        <v>3308</v>
      </c>
      <c r="C8617" s="1" t="str">
        <f>"66298916279409"</f>
        <v>66298916279409</v>
      </c>
      <c r="D8617" s="1" t="str">
        <f>"59301-30810-000"</f>
        <v>59301-30810-000</v>
      </c>
      <c r="E8617" s="1" t="s">
        <v>4566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</row>
    <row r="8618" spans="1:11" ht="30" x14ac:dyDescent="0.2">
      <c r="A8618" s="1" t="s">
        <v>3192</v>
      </c>
      <c r="B8618" s="1" t="s">
        <v>3309</v>
      </c>
      <c r="C8618" s="1" t="str">
        <f>"66298916321472"</f>
        <v>66298916321472</v>
      </c>
      <c r="D8618" s="1" t="str">
        <f>"P10052"</f>
        <v>P10052</v>
      </c>
      <c r="E8618" s="1" t="s">
        <v>4566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</row>
    <row r="8619" spans="1:11" x14ac:dyDescent="0.2">
      <c r="A8619" s="1" t="s">
        <v>3192</v>
      </c>
      <c r="B8619" s="1" t="s">
        <v>3310</v>
      </c>
      <c r="C8619" s="1" t="str">
        <f>"66298916366391"</f>
        <v>66298916366391</v>
      </c>
      <c r="D8619" s="1" t="str">
        <f>"06455-KCC-841CM"</f>
        <v>06455-KCC-841CM</v>
      </c>
      <c r="E8619" s="1" t="s">
        <v>4566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</row>
    <row r="8620" spans="1:11" x14ac:dyDescent="0.2">
      <c r="A8620" s="1" t="s">
        <v>3192</v>
      </c>
      <c r="B8620" s="1" t="s">
        <v>3311</v>
      </c>
      <c r="C8620" s="1" t="str">
        <f>"59100-34880CM"</f>
        <v>59100-34880CM</v>
      </c>
      <c r="D8620" s="1" t="str">
        <f>"59100-34880CM"</f>
        <v>59100-34880CM</v>
      </c>
      <c r="E8620" s="1" t="s">
        <v>4566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</row>
    <row r="8621" spans="1:11" x14ac:dyDescent="0.2">
      <c r="A8621" s="1" t="s">
        <v>3192</v>
      </c>
      <c r="B8621" s="1" t="s">
        <v>3311</v>
      </c>
      <c r="C8621" s="1" t="str">
        <f>"06455-KCC-841SEMI"</f>
        <v>06455-KCC-841SEMI</v>
      </c>
      <c r="D8621" s="1" t="str">
        <f>"06455-KCC-841SEMI"</f>
        <v>06455-KCC-841SEMI</v>
      </c>
      <c r="E8621" s="1" t="s">
        <v>4566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</row>
    <row r="8622" spans="1:11" ht="30" x14ac:dyDescent="0.2">
      <c r="A8622" s="1" t="s">
        <v>3192</v>
      </c>
      <c r="B8622" s="1" t="s">
        <v>3312</v>
      </c>
      <c r="C8622" s="1" t="str">
        <f>"66298916411768"</f>
        <v>66298916411768</v>
      </c>
      <c r="D8622" s="1" t="str">
        <f>"400298"</f>
        <v>400298</v>
      </c>
      <c r="E8622" s="1" t="s">
        <v>4566</v>
      </c>
      <c r="F8622" s="1">
        <v>440</v>
      </c>
      <c r="G8622" s="1">
        <v>970</v>
      </c>
      <c r="H8622" s="1">
        <v>426800</v>
      </c>
      <c r="I8622" s="1">
        <v>0</v>
      </c>
      <c r="J8622" s="1">
        <v>440</v>
      </c>
      <c r="K8622" s="1">
        <v>0</v>
      </c>
    </row>
    <row r="8623" spans="1:11" ht="30" x14ac:dyDescent="0.2">
      <c r="A8623" s="1" t="s">
        <v>3192</v>
      </c>
      <c r="B8623" s="1" t="s">
        <v>3313</v>
      </c>
      <c r="C8623" s="1" t="str">
        <f>"06435-KSP-B01-CM"</f>
        <v>06435-KSP-B01-CM</v>
      </c>
      <c r="D8623" s="1" t="str">
        <f>"06435-KSP-B01-CM"</f>
        <v>06435-KSP-B01-CM</v>
      </c>
      <c r="E8623" s="1" t="s">
        <v>4566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</row>
    <row r="8624" spans="1:11" ht="30" x14ac:dyDescent="0.2">
      <c r="A8624" s="1" t="s">
        <v>3192</v>
      </c>
      <c r="B8624" s="1" t="s">
        <v>3313</v>
      </c>
      <c r="C8624" s="1" t="str">
        <f>"U040"</f>
        <v>U040</v>
      </c>
      <c r="D8624" s="1" t="str">
        <f>"U040"</f>
        <v>U040</v>
      </c>
      <c r="E8624" s="1" t="s">
        <v>4566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</row>
    <row r="8625" spans="1:11" ht="30" x14ac:dyDescent="0.2">
      <c r="A8625" s="1" t="s">
        <v>3192</v>
      </c>
      <c r="B8625" s="1" t="s">
        <v>3314</v>
      </c>
      <c r="C8625" s="1" t="str">
        <f>"66298917121260"</f>
        <v>66298917121260</v>
      </c>
      <c r="D8625" s="1" t="str">
        <f>"59100-41HAOJP"</f>
        <v>59100-41HAOJP</v>
      </c>
      <c r="E8625" s="1" t="s">
        <v>4566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</row>
    <row r="8626" spans="1:11" ht="30" x14ac:dyDescent="0.2">
      <c r="A8626" s="1" t="s">
        <v>3192</v>
      </c>
      <c r="B8626" s="1" t="s">
        <v>3314</v>
      </c>
      <c r="C8626" s="1" t="str">
        <f>"12889"</f>
        <v>12889</v>
      </c>
      <c r="D8626" s="1" t="str">
        <f>"12889"</f>
        <v>12889</v>
      </c>
      <c r="E8626" s="1" t="s">
        <v>4566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</row>
    <row r="8627" spans="1:11" x14ac:dyDescent="0.2">
      <c r="A8627" s="1" t="s">
        <v>3192</v>
      </c>
      <c r="B8627" s="1" t="s">
        <v>3315</v>
      </c>
      <c r="C8627" s="1" t="str">
        <f>"U045"</f>
        <v>U045</v>
      </c>
      <c r="D8627" s="1" t="str">
        <f>"U045"</f>
        <v>U045</v>
      </c>
      <c r="E8627" s="1" t="s">
        <v>4566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</row>
    <row r="8628" spans="1:11" ht="30" x14ac:dyDescent="0.2">
      <c r="A8628" s="1" t="s">
        <v>3192</v>
      </c>
      <c r="B8628" s="1" t="s">
        <v>3316</v>
      </c>
      <c r="C8628" s="1" t="str">
        <f>"66298916451659"</f>
        <v>66298916451659</v>
      </c>
      <c r="D8628" s="1" t="str">
        <f>"400299"</f>
        <v>400299</v>
      </c>
      <c r="E8628" s="1" t="s">
        <v>4566</v>
      </c>
      <c r="F8628" s="1">
        <v>190</v>
      </c>
      <c r="G8628" s="1">
        <v>953</v>
      </c>
      <c r="H8628" s="1">
        <v>181070</v>
      </c>
      <c r="I8628" s="1">
        <v>0</v>
      </c>
      <c r="J8628" s="1">
        <v>190</v>
      </c>
      <c r="K8628" s="1">
        <v>0</v>
      </c>
    </row>
    <row r="8629" spans="1:11" x14ac:dyDescent="0.2">
      <c r="A8629" s="1" t="s">
        <v>3192</v>
      </c>
      <c r="B8629" s="1" t="s">
        <v>3317</v>
      </c>
      <c r="C8629" s="1" t="str">
        <f>"3509"</f>
        <v>3509</v>
      </c>
      <c r="D8629" s="1" t="str">
        <f>"3509"</f>
        <v>3509</v>
      </c>
      <c r="E8629" s="1" t="s">
        <v>4566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</row>
    <row r="8630" spans="1:11" x14ac:dyDescent="0.2">
      <c r="A8630" s="1" t="s">
        <v>3192</v>
      </c>
      <c r="B8630" s="1" t="s">
        <v>3317</v>
      </c>
      <c r="C8630" s="1" t="str">
        <f>"12890"</f>
        <v>12890</v>
      </c>
      <c r="D8630" s="1" t="str">
        <f>"12890"</f>
        <v>12890</v>
      </c>
      <c r="E8630" s="1" t="s">
        <v>4566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</row>
    <row r="8631" spans="1:11" x14ac:dyDescent="0.2">
      <c r="A8631" s="1" t="s">
        <v>3192</v>
      </c>
      <c r="B8631" s="1" t="s">
        <v>3318</v>
      </c>
      <c r="C8631" s="1" t="str">
        <f>"12350"</f>
        <v>12350</v>
      </c>
      <c r="D8631" s="1" t="str">
        <f>"12350"</f>
        <v>12350</v>
      </c>
      <c r="E8631" s="1" t="s">
        <v>4566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</row>
    <row r="8632" spans="1:11" x14ac:dyDescent="0.2">
      <c r="A8632" s="1" t="s">
        <v>3192</v>
      </c>
      <c r="B8632" s="1" t="s">
        <v>3319</v>
      </c>
      <c r="C8632" s="1" t="str">
        <f>"66298916489440"</f>
        <v>66298916489440</v>
      </c>
      <c r="D8632" s="1" t="str">
        <f>"MBP-63HH"</f>
        <v>MBP-63HH</v>
      </c>
      <c r="E8632" s="1" t="s">
        <v>4566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</row>
    <row r="8633" spans="1:11" x14ac:dyDescent="0.2">
      <c r="A8633" s="1" t="s">
        <v>3192</v>
      </c>
      <c r="B8633" s="1" t="s">
        <v>3320</v>
      </c>
      <c r="C8633" s="1" t="str">
        <f>"66298916532785"</f>
        <v>66298916532785</v>
      </c>
      <c r="D8633" s="1" t="str">
        <f>"MBP-67HH"</f>
        <v>MBP-67HH</v>
      </c>
      <c r="E8633" s="1" t="s">
        <v>4566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</row>
    <row r="8634" spans="1:11" ht="30" x14ac:dyDescent="0.2">
      <c r="A8634" s="1" t="s">
        <v>3192</v>
      </c>
      <c r="B8634" s="1" t="s">
        <v>3321</v>
      </c>
      <c r="C8634" s="1" t="str">
        <f>"66298916573933"</f>
        <v>66298916573933</v>
      </c>
      <c r="D8634" s="1" t="str">
        <f>"MBP-228HH"</f>
        <v>MBP-228HH</v>
      </c>
      <c r="E8634" s="1" t="s">
        <v>4566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</row>
    <row r="8635" spans="1:11" x14ac:dyDescent="0.2">
      <c r="A8635" s="1" t="s">
        <v>3192</v>
      </c>
      <c r="B8635" s="1" t="s">
        <v>3322</v>
      </c>
      <c r="C8635" s="1" t="str">
        <f>"MBP-140HH"</f>
        <v>MBP-140HH</v>
      </c>
      <c r="D8635" s="1" t="str">
        <f>"MBP-140HH"</f>
        <v>MBP-140HH</v>
      </c>
      <c r="E8635" s="1" t="s">
        <v>4566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</row>
    <row r="8636" spans="1:11" x14ac:dyDescent="0.2">
      <c r="A8636" s="1" t="s">
        <v>3192</v>
      </c>
      <c r="B8636" s="1" t="s">
        <v>3323</v>
      </c>
      <c r="C8636" s="1" t="str">
        <f>"66298916616919"</f>
        <v>66298916616919</v>
      </c>
      <c r="D8636" s="1" t="str">
        <f>"MBP-158HH"</f>
        <v>MBP-158HH</v>
      </c>
      <c r="E8636" s="1" t="s">
        <v>4566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</row>
    <row r="8637" spans="1:11" x14ac:dyDescent="0.2">
      <c r="A8637" s="1" t="s">
        <v>3192</v>
      </c>
      <c r="B8637" s="1" t="s">
        <v>3324</v>
      </c>
      <c r="C8637" s="1" t="str">
        <f>"MBP-152HH"</f>
        <v>MBP-152HH</v>
      </c>
      <c r="D8637" s="1" t="str">
        <f>"MBP-152HH"</f>
        <v>MBP-152HH</v>
      </c>
      <c r="E8637" s="1" t="s">
        <v>4566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</row>
    <row r="8638" spans="1:11" x14ac:dyDescent="0.2">
      <c r="A8638" s="1" t="s">
        <v>3192</v>
      </c>
      <c r="B8638" s="1" t="s">
        <v>3325</v>
      </c>
      <c r="C8638" s="1" t="str">
        <f>"MBP-252HH"</f>
        <v>MBP-252HH</v>
      </c>
      <c r="D8638" s="1" t="str">
        <f>"MBP-252HH"</f>
        <v>MBP-252HH</v>
      </c>
      <c r="E8638" s="1" t="s">
        <v>4566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</row>
    <row r="8639" spans="1:11" ht="30" x14ac:dyDescent="0.2">
      <c r="A8639" s="1" t="s">
        <v>3192</v>
      </c>
      <c r="B8639" s="1" t="s">
        <v>3326</v>
      </c>
      <c r="C8639" s="1" t="str">
        <f>"66298916658253"</f>
        <v>66298916658253</v>
      </c>
      <c r="D8639" s="1" t="str">
        <f>"MBP-197HH"</f>
        <v>MBP-197HH</v>
      </c>
      <c r="E8639" s="1" t="s">
        <v>4566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</row>
    <row r="8640" spans="1:11" ht="30" x14ac:dyDescent="0.2">
      <c r="A8640" s="1" t="s">
        <v>3192</v>
      </c>
      <c r="B8640" s="1" t="s">
        <v>3327</v>
      </c>
      <c r="C8640" s="1" t="str">
        <f>"66298916697329"</f>
        <v>66298916697329</v>
      </c>
      <c r="D8640" s="1" t="str">
        <f>"MBP-165HH"</f>
        <v>MBP-165HH</v>
      </c>
      <c r="E8640" s="1" t="s">
        <v>4566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</row>
    <row r="8641" spans="1:11" ht="45" x14ac:dyDescent="0.2">
      <c r="A8641" s="1" t="s">
        <v>3192</v>
      </c>
      <c r="B8641" s="1" t="s">
        <v>3328</v>
      </c>
      <c r="C8641" s="1" t="str">
        <f>"66298916739928"</f>
        <v>66298916739928</v>
      </c>
      <c r="D8641" s="1" t="str">
        <f>"MBP-181HH"</f>
        <v>MBP-181HH</v>
      </c>
      <c r="E8641" s="1" t="s">
        <v>4566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</row>
    <row r="8642" spans="1:11" x14ac:dyDescent="0.2">
      <c r="A8642" s="1" t="s">
        <v>3192</v>
      </c>
      <c r="B8642" s="1" t="s">
        <v>3329</v>
      </c>
      <c r="C8642" s="1" t="str">
        <f>"66298916779919"</f>
        <v>66298916779919</v>
      </c>
      <c r="D8642" s="1" t="str">
        <f>"MBP-209HH"</f>
        <v>MBP-209HH</v>
      </c>
      <c r="E8642" s="1" t="s">
        <v>4566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</row>
    <row r="8643" spans="1:11" x14ac:dyDescent="0.2">
      <c r="A8643" s="1" t="s">
        <v>3192</v>
      </c>
      <c r="B8643" s="1" t="s">
        <v>3330</v>
      </c>
      <c r="C8643" s="1" t="str">
        <f>"66298916821775"</f>
        <v>66298916821775</v>
      </c>
      <c r="D8643" s="1" t="str">
        <f>"MBP-185HH"</f>
        <v>MBP-185HH</v>
      </c>
      <c r="E8643" s="1" t="s">
        <v>4566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</row>
    <row r="8644" spans="1:11" x14ac:dyDescent="0.2">
      <c r="A8644" s="1" t="s">
        <v>3192</v>
      </c>
      <c r="B8644" s="1" t="s">
        <v>3331</v>
      </c>
      <c r="C8644" s="1" t="str">
        <f>"66298916865961"</f>
        <v>66298916865961</v>
      </c>
      <c r="D8644" s="1" t="str">
        <f>"MBP-231HH"</f>
        <v>MBP-231HH</v>
      </c>
      <c r="E8644" s="1" t="s">
        <v>4566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</row>
    <row r="8645" spans="1:11" x14ac:dyDescent="0.2">
      <c r="A8645" s="1" t="s">
        <v>3192</v>
      </c>
      <c r="B8645" s="1" t="s">
        <v>3332</v>
      </c>
      <c r="C8645" s="1" t="str">
        <f>"66298916910960"</f>
        <v>66298916910960</v>
      </c>
      <c r="D8645" s="1" t="str">
        <f>"MBP-229HH"</f>
        <v>MBP-229HH</v>
      </c>
      <c r="E8645" s="1" t="s">
        <v>4566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</row>
    <row r="8646" spans="1:11" x14ac:dyDescent="0.2">
      <c r="A8646" s="1" t="s">
        <v>3192</v>
      </c>
      <c r="B8646" s="1" t="s">
        <v>3333</v>
      </c>
      <c r="C8646" s="1" t="str">
        <f>"66298916950787"</f>
        <v>66298916950787</v>
      </c>
      <c r="D8646" s="1" t="str">
        <f>"MBP-335HH"</f>
        <v>MBP-335HH</v>
      </c>
      <c r="E8646" s="1" t="s">
        <v>4566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</row>
    <row r="8647" spans="1:11" ht="30" x14ac:dyDescent="0.2">
      <c r="A8647" s="1" t="s">
        <v>3192</v>
      </c>
      <c r="B8647" s="1" t="s">
        <v>3334</v>
      </c>
      <c r="C8647" s="1" t="str">
        <f>"66298916991673"</f>
        <v>66298916991673</v>
      </c>
      <c r="D8647" s="1" t="str">
        <f>"MBP-388HH"</f>
        <v>MBP-388HH</v>
      </c>
      <c r="E8647" s="1" t="s">
        <v>4566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</row>
    <row r="8648" spans="1:11" x14ac:dyDescent="0.2">
      <c r="A8648" s="1" t="s">
        <v>3192</v>
      </c>
      <c r="B8648" s="1" t="s">
        <v>3335</v>
      </c>
      <c r="C8648" s="1" t="str">
        <f>"66298917035044"</f>
        <v>66298917035044</v>
      </c>
      <c r="D8648" s="1" t="str">
        <f>"MBP-419HH"</f>
        <v>MBP-419HH</v>
      </c>
      <c r="E8648" s="1" t="s">
        <v>4566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</row>
    <row r="8649" spans="1:11" ht="30" x14ac:dyDescent="0.2">
      <c r="A8649" s="1" t="s">
        <v>3192</v>
      </c>
      <c r="B8649" s="1" t="s">
        <v>3336</v>
      </c>
      <c r="C8649" s="1" t="str">
        <f>"MBP-629HH"</f>
        <v>MBP-629HH</v>
      </c>
      <c r="D8649" s="1" t="str">
        <f>"MBP-629HH"</f>
        <v>MBP-629HH</v>
      </c>
      <c r="E8649" s="1" t="s">
        <v>4566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</row>
    <row r="8650" spans="1:11" ht="30" x14ac:dyDescent="0.2">
      <c r="A8650" s="1" t="s">
        <v>3192</v>
      </c>
      <c r="B8650" s="1" t="s">
        <v>3337</v>
      </c>
      <c r="C8650" s="1" t="str">
        <f>"MBP-663HH"</f>
        <v>MBP-663HH</v>
      </c>
      <c r="D8650" s="1" t="str">
        <f>"MBP-663HH"</f>
        <v>MBP-663HH</v>
      </c>
      <c r="E8650" s="1" t="s">
        <v>4566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</row>
    <row r="8651" spans="1:11" ht="30" x14ac:dyDescent="0.2">
      <c r="A8651" s="1" t="s">
        <v>3192</v>
      </c>
      <c r="B8651" s="1" t="s">
        <v>3338</v>
      </c>
      <c r="C8651" s="1" t="str">
        <f>"MBP-662HH"</f>
        <v>MBP-662HH</v>
      </c>
      <c r="D8651" s="1" t="str">
        <f>"MBP-662HH"</f>
        <v>MBP-662HH</v>
      </c>
      <c r="E8651" s="1" t="s">
        <v>4566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</row>
    <row r="8652" spans="1:11" x14ac:dyDescent="0.2">
      <c r="A8652" s="1" t="s">
        <v>3192</v>
      </c>
      <c r="B8652" s="1" t="s">
        <v>3339</v>
      </c>
      <c r="C8652" s="1" t="str">
        <f>"10177100"</f>
        <v>10177100</v>
      </c>
      <c r="D8652" s="1" t="str">
        <f>"10177100"</f>
        <v>10177100</v>
      </c>
      <c r="E8652" s="1" t="s">
        <v>4566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</row>
    <row r="8653" spans="1:11" ht="30" x14ac:dyDescent="0.2">
      <c r="A8653" s="1" t="s">
        <v>3192</v>
      </c>
      <c r="B8653" s="1" t="s">
        <v>3340</v>
      </c>
      <c r="C8653" s="1" t="str">
        <f>"06455-KRF-H60JP"</f>
        <v>06455-KRF-H60JP</v>
      </c>
      <c r="D8653" s="1" t="str">
        <f>"06455-KRF-H60JP"</f>
        <v>06455-KRF-H60JP</v>
      </c>
      <c r="E8653" s="1" t="s">
        <v>4566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</row>
    <row r="8654" spans="1:11" ht="30" x14ac:dyDescent="0.2">
      <c r="A8654" s="1" t="s">
        <v>3192</v>
      </c>
      <c r="B8654" s="1" t="s">
        <v>3341</v>
      </c>
      <c r="C8654" s="1" t="str">
        <f>"66298917080486"</f>
        <v>66298917080486</v>
      </c>
      <c r="D8654" s="1" t="str">
        <f>"N9322240"</f>
        <v>N9322240</v>
      </c>
      <c r="E8654" s="1" t="s">
        <v>4566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</row>
    <row r="8655" spans="1:11" x14ac:dyDescent="0.2">
      <c r="A8655" s="1" t="s">
        <v>3192</v>
      </c>
      <c r="B8655" s="1" t="s">
        <v>3342</v>
      </c>
      <c r="C8655" s="1" t="str">
        <f>"3521"</f>
        <v>3521</v>
      </c>
      <c r="D8655" s="1" t="str">
        <f>"3521"</f>
        <v>3521</v>
      </c>
      <c r="E8655" s="1" t="s">
        <v>4566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</row>
    <row r="8656" spans="1:11" x14ac:dyDescent="0.2">
      <c r="A8656" s="1" t="s">
        <v>3192</v>
      </c>
      <c r="B8656" s="1" t="s">
        <v>3343</v>
      </c>
      <c r="C8656" s="1" t="str">
        <f>"3516"</f>
        <v>3516</v>
      </c>
      <c r="D8656" s="1" t="str">
        <f>"3516"</f>
        <v>3516</v>
      </c>
      <c r="E8656" s="1" t="s">
        <v>4566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</row>
    <row r="8657" spans="1:11" x14ac:dyDescent="0.2">
      <c r="A8657" s="1" t="s">
        <v>3192</v>
      </c>
      <c r="B8657" s="1" t="s">
        <v>3344</v>
      </c>
      <c r="C8657" s="1" t="str">
        <f>"66298917166806"</f>
        <v>66298917166806</v>
      </c>
      <c r="D8657" s="1" t="str">
        <f>"MBP-920"</f>
        <v>MBP-920</v>
      </c>
      <c r="E8657" s="1" t="s">
        <v>4566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</row>
    <row r="8658" spans="1:11" x14ac:dyDescent="0.2">
      <c r="A8658" s="1" t="s">
        <v>3192</v>
      </c>
      <c r="B8658" s="1" t="s">
        <v>3344</v>
      </c>
      <c r="C8658" s="1" t="str">
        <f>"U020P"</f>
        <v>U020P</v>
      </c>
      <c r="D8658" s="1" t="str">
        <f>"U020P"</f>
        <v>U020P</v>
      </c>
      <c r="E8658" s="1" t="s">
        <v>4566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</row>
    <row r="8659" spans="1:11" x14ac:dyDescent="0.2">
      <c r="A8659" s="1" t="s">
        <v>3192</v>
      </c>
      <c r="B8659" s="1" t="s">
        <v>3345</v>
      </c>
      <c r="C8659" s="1" t="str">
        <f>"66298917208977"</f>
        <v>66298917208977</v>
      </c>
      <c r="D8659" s="1" t="str">
        <f>"B06070002"</f>
        <v>B06070002</v>
      </c>
      <c r="E8659" s="1" t="s">
        <v>4566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</row>
    <row r="8660" spans="1:11" x14ac:dyDescent="0.2">
      <c r="A8660" s="1" t="s">
        <v>3192</v>
      </c>
      <c r="B8660" s="1" t="s">
        <v>3345</v>
      </c>
      <c r="C8660" s="1" t="str">
        <f>"U030P"</f>
        <v>U030P</v>
      </c>
      <c r="D8660" s="1" t="str">
        <f>"U030P"</f>
        <v>U030P</v>
      </c>
      <c r="E8660" s="1" t="s">
        <v>4566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</row>
    <row r="8661" spans="1:11" x14ac:dyDescent="0.2">
      <c r="A8661" s="1" t="s">
        <v>3192</v>
      </c>
      <c r="B8661" s="1" t="s">
        <v>3346</v>
      </c>
      <c r="C8661" s="1" t="str">
        <f>"66298917251809"</f>
        <v>66298917251809</v>
      </c>
      <c r="D8661" s="1" t="str">
        <f>"TK250-F8-15"</f>
        <v>TK250-F8-15</v>
      </c>
      <c r="E8661" s="1" t="s">
        <v>4566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</row>
    <row r="8662" spans="1:11" x14ac:dyDescent="0.2">
      <c r="A8662" s="1" t="s">
        <v>3192</v>
      </c>
      <c r="B8662" s="1" t="s">
        <v>3347</v>
      </c>
      <c r="C8662" s="1" t="str">
        <f>"66298917296300"</f>
        <v>66298917296300</v>
      </c>
      <c r="D8662" s="1" t="str">
        <f>"DSR2"</f>
        <v>DSR2</v>
      </c>
      <c r="E8662" s="1" t="s">
        <v>4566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</row>
    <row r="8663" spans="1:11" x14ac:dyDescent="0.2">
      <c r="A8663" s="1" t="s">
        <v>3348</v>
      </c>
      <c r="B8663" s="1" t="s">
        <v>3349</v>
      </c>
      <c r="C8663" s="1" t="str">
        <f>"42100H2C000H000"</f>
        <v>42100H2C000H000</v>
      </c>
      <c r="D8663" s="1" t="str">
        <f>"42100H2C000H000"</f>
        <v>42100H2C000H000</v>
      </c>
      <c r="E8663" s="1" t="s">
        <v>4566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</row>
    <row r="8664" spans="1:11" x14ac:dyDescent="0.2">
      <c r="A8664" s="1" t="s">
        <v>3348</v>
      </c>
      <c r="B8664" s="1" t="s">
        <v>3350</v>
      </c>
      <c r="C8664" s="1" t="str">
        <f>"G202"</f>
        <v>G202</v>
      </c>
      <c r="D8664" s="1" t="str">
        <f>"G202"</f>
        <v>G202</v>
      </c>
      <c r="E8664" s="1" t="s">
        <v>4566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</row>
    <row r="8665" spans="1:11" x14ac:dyDescent="0.2">
      <c r="A8665" s="1" t="s">
        <v>3348</v>
      </c>
      <c r="B8665" s="1" t="s">
        <v>3351</v>
      </c>
      <c r="C8665" s="1" t="str">
        <f>"G201"</f>
        <v>G201</v>
      </c>
      <c r="D8665" s="1" t="str">
        <f>"G201"</f>
        <v>G201</v>
      </c>
      <c r="E8665" s="1" t="s">
        <v>4566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</row>
    <row r="8666" spans="1:11" x14ac:dyDescent="0.2">
      <c r="A8666" s="1" t="s">
        <v>3348</v>
      </c>
      <c r="B8666" s="1" t="s">
        <v>3351</v>
      </c>
      <c r="C8666" s="1" t="str">
        <f>"PATA-LATERAL"</f>
        <v>PATA-LATERAL</v>
      </c>
      <c r="D8666" s="1" t="str">
        <f>"PATA-LATERAL"</f>
        <v>PATA-LATERAL</v>
      </c>
      <c r="E8666" s="1" t="s">
        <v>4566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</row>
    <row r="8667" spans="1:11" x14ac:dyDescent="0.2">
      <c r="A8667" s="1" t="s">
        <v>3348</v>
      </c>
      <c r="B8667" s="1" t="s">
        <v>3352</v>
      </c>
      <c r="C8667" s="1" t="str">
        <f>"21C-F7311-00"</f>
        <v>21C-F7311-00</v>
      </c>
      <c r="D8667" s="1" t="str">
        <f>"21C-F7311-00"</f>
        <v>21C-F7311-00</v>
      </c>
      <c r="E8667" s="1" t="s">
        <v>4566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</row>
    <row r="8668" spans="1:11" x14ac:dyDescent="0.2">
      <c r="A8668" s="1" t="s">
        <v>3348</v>
      </c>
      <c r="B8668" s="1" t="s">
        <v>3353</v>
      </c>
      <c r="C8668" s="1" t="str">
        <f>"66298917338655"</f>
        <v>66298917338655</v>
      </c>
      <c r="D8668" s="1" t="str">
        <f>"JC090-DORADO"</f>
        <v>JC090-DORADO</v>
      </c>
      <c r="E8668" s="1" t="s">
        <v>4566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</row>
    <row r="8669" spans="1:11" x14ac:dyDescent="0.2">
      <c r="A8669" s="1" t="s">
        <v>3348</v>
      </c>
      <c r="B8669" s="1" t="s">
        <v>3354</v>
      </c>
      <c r="C8669" s="1" t="str">
        <f>"66298917378434"</f>
        <v>66298917378434</v>
      </c>
      <c r="D8669" s="1" t="str">
        <f>"JC090-ROJO"</f>
        <v>JC090-ROJO</v>
      </c>
      <c r="E8669" s="1" t="s">
        <v>4566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</row>
    <row r="8670" spans="1:11" x14ac:dyDescent="0.2">
      <c r="A8670" s="1" t="s">
        <v>3348</v>
      </c>
      <c r="B8670" s="1" t="s">
        <v>3355</v>
      </c>
      <c r="C8670" s="1" t="str">
        <f>"BRCA62HP"</f>
        <v>BRCA62HP</v>
      </c>
      <c r="D8670" s="1" t="str">
        <f>"BRCA62HP"</f>
        <v>BRCA62HP</v>
      </c>
      <c r="E8670" s="1" t="s">
        <v>4566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</row>
    <row r="8671" spans="1:11" x14ac:dyDescent="0.2">
      <c r="A8671" s="1" t="s">
        <v>98</v>
      </c>
      <c r="B8671" s="1" t="s">
        <v>3356</v>
      </c>
      <c r="C8671" s="1" t="str">
        <f>"66298917418373"</f>
        <v>66298917418373</v>
      </c>
      <c r="D8671" s="1" t="str">
        <f>"22350-HKE-000"</f>
        <v>22350-HKE-000</v>
      </c>
      <c r="E8671" s="1" t="s">
        <v>4566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</row>
    <row r="8672" spans="1:11" x14ac:dyDescent="0.2">
      <c r="A8672" s="1" t="s">
        <v>3357</v>
      </c>
      <c r="B8672" s="1" t="s">
        <v>3358</v>
      </c>
      <c r="C8672" s="1" t="str">
        <f>"66298917457810"</f>
        <v>66298917457810</v>
      </c>
      <c r="D8672" s="1" t="str">
        <f>"3KG-W253E-00JP"</f>
        <v>3KG-W253E-00JP</v>
      </c>
      <c r="E8672" s="1" t="s">
        <v>4566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</row>
    <row r="8673" spans="1:11" x14ac:dyDescent="0.2">
      <c r="A8673" s="1" t="s">
        <v>3357</v>
      </c>
      <c r="B8673" s="1" t="s">
        <v>3359</v>
      </c>
      <c r="C8673" s="1" t="str">
        <f>"66298917495381"</f>
        <v>66298917495381</v>
      </c>
      <c r="D8673" s="1" t="str">
        <f>"843-AN125"</f>
        <v>843-AN125</v>
      </c>
      <c r="E8673" s="1" t="s">
        <v>4566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</row>
    <row r="8674" spans="1:11" x14ac:dyDescent="0.2">
      <c r="A8674" s="1" t="s">
        <v>3357</v>
      </c>
      <c r="B8674" s="1" t="s">
        <v>3360</v>
      </c>
      <c r="C8674" s="1" t="str">
        <f>"66298917536417"</f>
        <v>66298917536417</v>
      </c>
      <c r="D8674" s="1" t="str">
        <f>"400214"</f>
        <v>400214</v>
      </c>
      <c r="E8674" s="1" t="s">
        <v>4566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</row>
    <row r="8675" spans="1:11" x14ac:dyDescent="0.2">
      <c r="A8675" s="1" t="s">
        <v>3357</v>
      </c>
      <c r="B8675" s="1" t="s">
        <v>3361</v>
      </c>
      <c r="C8675" s="1" t="str">
        <f>"66298917575278"</f>
        <v>66298917575278</v>
      </c>
      <c r="D8675" s="1" t="str">
        <f>"41048-017JP"</f>
        <v>41048-017JP</v>
      </c>
      <c r="E8675" s="1" t="s">
        <v>4566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</row>
    <row r="8676" spans="1:11" x14ac:dyDescent="0.2">
      <c r="A8676" s="1" t="s">
        <v>3357</v>
      </c>
      <c r="B8676" s="1" t="s">
        <v>3362</v>
      </c>
      <c r="C8676" s="1" t="str">
        <f>"66298917615489"</f>
        <v>66298917615489</v>
      </c>
      <c r="D8676" s="1" t="str">
        <f>"31-1510-60-HT"</f>
        <v>31-1510-60-HT</v>
      </c>
      <c r="E8676" s="1" t="s">
        <v>4566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</row>
    <row r="8677" spans="1:11" x14ac:dyDescent="0.2">
      <c r="A8677" s="1" t="s">
        <v>3357</v>
      </c>
      <c r="B8677" s="1" t="s">
        <v>3363</v>
      </c>
      <c r="C8677" s="1" t="str">
        <f>"49CC50"</f>
        <v>49CC50</v>
      </c>
      <c r="D8677" s="1" t="str">
        <f>"49CC50"</f>
        <v>49CC50</v>
      </c>
      <c r="E8677" s="1" t="s">
        <v>4566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</row>
    <row r="8678" spans="1:11" x14ac:dyDescent="0.2">
      <c r="A8678" s="1" t="s">
        <v>3357</v>
      </c>
      <c r="B8678" s="1" t="s">
        <v>3364</v>
      </c>
      <c r="C8678" s="1" t="str">
        <f>"66298917655846"</f>
        <v>66298917655846</v>
      </c>
      <c r="D8678" s="1" t="str">
        <f>"U043"</f>
        <v>U043</v>
      </c>
      <c r="E8678" s="1" t="s">
        <v>4566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</row>
    <row r="8679" spans="1:11" ht="30" x14ac:dyDescent="0.2">
      <c r="A8679" s="1" t="s">
        <v>3357</v>
      </c>
      <c r="B8679" s="1" t="s">
        <v>3365</v>
      </c>
      <c r="C8679" s="1" t="str">
        <f>"66298917696223"</f>
        <v>66298917696223</v>
      </c>
      <c r="D8679" s="1" t="str">
        <f>"45125-KCC-900JP"</f>
        <v>45125-KCC-900JP</v>
      </c>
      <c r="E8679" s="1" t="s">
        <v>4566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</row>
    <row r="8680" spans="1:11" x14ac:dyDescent="0.2">
      <c r="A8680" s="1" t="s">
        <v>3357</v>
      </c>
      <c r="B8680" s="1" t="s">
        <v>3366</v>
      </c>
      <c r="C8680" s="1" t="str">
        <f>"66298917736483"</f>
        <v>66298917736483</v>
      </c>
      <c r="D8680" s="1" t="str">
        <f>"45120-096-652JP"</f>
        <v>45120-096-652JP</v>
      </c>
      <c r="E8680" s="1" t="s">
        <v>4566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</row>
    <row r="8681" spans="1:11" x14ac:dyDescent="0.2">
      <c r="A8681" s="1" t="s">
        <v>3357</v>
      </c>
      <c r="B8681" s="1" t="s">
        <v>3367</v>
      </c>
      <c r="C8681" s="1" t="str">
        <f>"9632"</f>
        <v>9632</v>
      </c>
      <c r="D8681" s="1" t="str">
        <f>"9632"</f>
        <v>9632</v>
      </c>
      <c r="E8681" s="1" t="s">
        <v>4566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</row>
    <row r="8682" spans="1:11" x14ac:dyDescent="0.2">
      <c r="A8682" s="1" t="s">
        <v>3357</v>
      </c>
      <c r="B8682" s="1" t="s">
        <v>3368</v>
      </c>
      <c r="C8682" s="1" t="str">
        <f>"U023"</f>
        <v>U023</v>
      </c>
      <c r="D8682" s="1" t="str">
        <f>"U023"</f>
        <v>U023</v>
      </c>
      <c r="E8682" s="1" t="s">
        <v>4566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</row>
    <row r="8683" spans="1:11" ht="30" x14ac:dyDescent="0.2">
      <c r="A8683" s="1" t="s">
        <v>3357</v>
      </c>
      <c r="B8683" s="1" t="s">
        <v>3369</v>
      </c>
      <c r="C8683" s="1" t="str">
        <f>"183-25330-00JP"</f>
        <v>183-25330-00JP</v>
      </c>
      <c r="D8683" s="1" t="str">
        <f>"183-25330-00JP"</f>
        <v>183-25330-00JP</v>
      </c>
      <c r="E8683" s="1" t="s">
        <v>4566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</row>
    <row r="8684" spans="1:11" x14ac:dyDescent="0.2">
      <c r="A8684" s="1" t="s">
        <v>3357</v>
      </c>
      <c r="B8684" s="1" t="s">
        <v>3370</v>
      </c>
      <c r="C8684" s="1" t="str">
        <f>"6380"</f>
        <v>6380</v>
      </c>
      <c r="D8684" s="1" t="str">
        <f>"6380"</f>
        <v>6380</v>
      </c>
      <c r="E8684" s="1" t="s">
        <v>4566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</row>
    <row r="8685" spans="1:11" x14ac:dyDescent="0.2">
      <c r="A8685" s="1" t="s">
        <v>3357</v>
      </c>
      <c r="B8685" s="1" t="s">
        <v>3371</v>
      </c>
      <c r="C8685" s="1" t="str">
        <f>"66298917777558"</f>
        <v>66298917777558</v>
      </c>
      <c r="D8685" s="1" t="str">
        <f>"54410-02410JP"</f>
        <v>54410-02410JP</v>
      </c>
      <c r="E8685" s="1" t="s">
        <v>4566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</row>
    <row r="8686" spans="1:11" x14ac:dyDescent="0.2">
      <c r="A8686" s="1" t="s">
        <v>3357</v>
      </c>
      <c r="B8686" s="1" t="s">
        <v>3372</v>
      </c>
      <c r="C8686" s="1" t="str">
        <f>"U026"</f>
        <v>U026</v>
      </c>
      <c r="D8686" s="1" t="str">
        <f>"U026"</f>
        <v>U026</v>
      </c>
      <c r="E8686" s="1" t="s">
        <v>4566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</row>
    <row r="8687" spans="1:11" ht="30" x14ac:dyDescent="0.2">
      <c r="A8687" s="1" t="s">
        <v>3357</v>
      </c>
      <c r="B8687" s="1" t="s">
        <v>3373</v>
      </c>
      <c r="C8687" s="1" t="str">
        <f>"66298917834645"</f>
        <v>66298917834645</v>
      </c>
      <c r="D8687" s="1" t="str">
        <f>"54400-07880JP"</f>
        <v>54400-07880JP</v>
      </c>
      <c r="E8687" s="1" t="s">
        <v>4566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</row>
    <row r="8688" spans="1:11" ht="30" x14ac:dyDescent="0.2">
      <c r="A8688" s="1" t="s">
        <v>3357</v>
      </c>
      <c r="B8688" s="1" t="s">
        <v>3373</v>
      </c>
      <c r="C8688" s="1" t="str">
        <f>"20905"</f>
        <v>20905</v>
      </c>
      <c r="D8688" s="1" t="str">
        <f>"20905"</f>
        <v>20905</v>
      </c>
      <c r="E8688" s="1" t="s">
        <v>4566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</row>
    <row r="8689" spans="1:11" ht="30" x14ac:dyDescent="0.2">
      <c r="A8689" s="1" t="s">
        <v>3357</v>
      </c>
      <c r="B8689" s="1" t="s">
        <v>3373</v>
      </c>
      <c r="C8689" s="1" t="str">
        <f>"PAT-GN125H"</f>
        <v>PAT-GN125H</v>
      </c>
      <c r="D8689" s="1" t="str">
        <f>"PAT-GN125H"</f>
        <v>PAT-GN125H</v>
      </c>
      <c r="E8689" s="1" t="s">
        <v>4566</v>
      </c>
      <c r="F8689" s="1">
        <v>20</v>
      </c>
      <c r="G8689" s="1">
        <v>1916.08</v>
      </c>
      <c r="H8689" s="1">
        <v>38322</v>
      </c>
      <c r="I8689" s="1">
        <v>0</v>
      </c>
      <c r="J8689" s="1">
        <v>20</v>
      </c>
      <c r="K8689" s="1">
        <v>0</v>
      </c>
    </row>
    <row r="8690" spans="1:11" x14ac:dyDescent="0.2">
      <c r="A8690" s="1" t="s">
        <v>3357</v>
      </c>
      <c r="B8690" s="1" t="s">
        <v>3374</v>
      </c>
      <c r="C8690" s="1" t="str">
        <f>"54400H22Y00H000"</f>
        <v>54400H22Y00H000</v>
      </c>
      <c r="D8690" s="1" t="str">
        <f>"54400H22Y00H000"</f>
        <v>54400H22Y00H000</v>
      </c>
      <c r="E8690" s="1" t="s">
        <v>4566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</row>
    <row r="8691" spans="1:11" ht="30" x14ac:dyDescent="0.2">
      <c r="A8691" s="1" t="s">
        <v>3357</v>
      </c>
      <c r="B8691" s="1" t="s">
        <v>3375</v>
      </c>
      <c r="C8691" s="1" t="str">
        <f>"66298917920238"</f>
        <v>66298917920238</v>
      </c>
      <c r="D8691" s="1" t="str">
        <f>"400387"</f>
        <v>400387</v>
      </c>
      <c r="E8691" s="1" t="s">
        <v>4566</v>
      </c>
      <c r="F8691" s="1">
        <v>385</v>
      </c>
      <c r="G8691" s="1">
        <v>1824</v>
      </c>
      <c r="H8691" s="1">
        <v>702240</v>
      </c>
      <c r="I8691" s="1">
        <v>0</v>
      </c>
      <c r="J8691" s="1">
        <v>385</v>
      </c>
      <c r="K8691" s="1">
        <v>0</v>
      </c>
    </row>
    <row r="8692" spans="1:11" x14ac:dyDescent="0.2">
      <c r="A8692" s="1" t="s">
        <v>3357</v>
      </c>
      <c r="B8692" s="1" t="s">
        <v>3376</v>
      </c>
      <c r="C8692" s="1" t="str">
        <f>"64410H40Y00H000"</f>
        <v>64410H40Y00H000</v>
      </c>
      <c r="D8692" s="1" t="str">
        <f>"64410H40Y00H000"</f>
        <v>64410H40Y00H000</v>
      </c>
      <c r="E8692" s="1" t="s">
        <v>4566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</row>
    <row r="8693" spans="1:11" x14ac:dyDescent="0.2">
      <c r="A8693" s="1" t="s">
        <v>3357</v>
      </c>
      <c r="B8693" s="1" t="s">
        <v>3377</v>
      </c>
      <c r="C8693" s="1" t="str">
        <f>"U021"</f>
        <v>U021</v>
      </c>
      <c r="D8693" s="1" t="str">
        <f>"U021"</f>
        <v>U021</v>
      </c>
      <c r="E8693" s="1" t="s">
        <v>4566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</row>
    <row r="8694" spans="1:11" x14ac:dyDescent="0.2">
      <c r="A8694" s="1" t="s">
        <v>3357</v>
      </c>
      <c r="B8694" s="1" t="s">
        <v>3378</v>
      </c>
      <c r="C8694" s="1" t="str">
        <f>"66298917875143"</f>
        <v>66298917875143</v>
      </c>
      <c r="D8694" s="1" t="str">
        <f>"18A-W2534-00JP"</f>
        <v>18A-W2534-00JP</v>
      </c>
      <c r="E8694" s="1" t="s">
        <v>4566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</row>
    <row r="8695" spans="1:11" x14ac:dyDescent="0.2">
      <c r="A8695" s="1" t="s">
        <v>3357</v>
      </c>
      <c r="B8695" s="1" t="s">
        <v>3379</v>
      </c>
      <c r="C8695" s="1" t="str">
        <f>"U027"</f>
        <v>U027</v>
      </c>
      <c r="D8695" s="1" t="str">
        <f>"U027"</f>
        <v>U027</v>
      </c>
      <c r="E8695" s="1" t="s">
        <v>4566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</row>
    <row r="8696" spans="1:11" x14ac:dyDescent="0.2">
      <c r="A8696" s="1" t="s">
        <v>3357</v>
      </c>
      <c r="B8696" s="1" t="s">
        <v>3380</v>
      </c>
      <c r="C8696" s="1" t="str">
        <f>"66298917965048"</f>
        <v>66298917965048</v>
      </c>
      <c r="D8696" s="1" t="str">
        <f>"M150"</f>
        <v>M150</v>
      </c>
      <c r="E8696" s="1" t="s">
        <v>4566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</row>
    <row r="8697" spans="1:11" x14ac:dyDescent="0.2">
      <c r="A8697" s="1" t="s">
        <v>3357</v>
      </c>
      <c r="B8697" s="1" t="s">
        <v>3381</v>
      </c>
      <c r="C8697" s="1" t="str">
        <f>"66298918049957"</f>
        <v>66298918049957</v>
      </c>
      <c r="D8697" s="1" t="str">
        <f>"400217"</f>
        <v>400217</v>
      </c>
      <c r="E8697" s="1" t="s">
        <v>4566</v>
      </c>
      <c r="F8697" s="1">
        <v>54</v>
      </c>
      <c r="G8697" s="1">
        <v>1023</v>
      </c>
      <c r="H8697" s="1">
        <v>55242</v>
      </c>
      <c r="I8697" s="1">
        <v>0</v>
      </c>
      <c r="J8697" s="1">
        <v>54</v>
      </c>
      <c r="K8697" s="1">
        <v>0</v>
      </c>
    </row>
    <row r="8698" spans="1:11" x14ac:dyDescent="0.2">
      <c r="A8698" s="1" t="s">
        <v>3357</v>
      </c>
      <c r="B8698" s="1" t="s">
        <v>3382</v>
      </c>
      <c r="C8698" s="1" t="str">
        <f>"66298918091277"</f>
        <v>66298918091277</v>
      </c>
      <c r="D8698" s="1" t="str">
        <f>"43120-362-000JP"</f>
        <v>43120-362-000JP</v>
      </c>
      <c r="E8698" s="1" t="s">
        <v>4566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</row>
    <row r="8699" spans="1:11" x14ac:dyDescent="0.2">
      <c r="A8699" s="1" t="s">
        <v>3357</v>
      </c>
      <c r="B8699" s="1" t="s">
        <v>3383</v>
      </c>
      <c r="C8699" s="1" t="str">
        <f>"66298918010544"</f>
        <v>66298918010544</v>
      </c>
      <c r="D8699" s="1" t="str">
        <f>"06430-KBR-003JP"</f>
        <v>06430-KBR-003JP</v>
      </c>
      <c r="E8699" s="1" t="s">
        <v>4566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</row>
    <row r="8700" spans="1:11" x14ac:dyDescent="0.2">
      <c r="A8700" s="1" t="s">
        <v>3357</v>
      </c>
      <c r="B8700" s="1" t="s">
        <v>3384</v>
      </c>
      <c r="C8700" s="1" t="str">
        <f>"66298918133675"</f>
        <v>66298918133675</v>
      </c>
      <c r="D8700" s="1" t="str">
        <f>"400218"</f>
        <v>400218</v>
      </c>
      <c r="E8700" s="1" t="s">
        <v>4566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</row>
    <row r="8701" spans="1:11" x14ac:dyDescent="0.2">
      <c r="A8701" s="1" t="s">
        <v>3357</v>
      </c>
      <c r="B8701" s="1" t="s">
        <v>3385</v>
      </c>
      <c r="C8701" s="1" t="str">
        <f>"66298918176747"</f>
        <v>66298918176747</v>
      </c>
      <c r="D8701" s="1" t="str">
        <f>"5ML-XF533-00"</f>
        <v>5ML-XF533-00</v>
      </c>
      <c r="E8701" s="1" t="s">
        <v>4566</v>
      </c>
      <c r="F8701" s="1">
        <v>11</v>
      </c>
      <c r="G8701" s="1">
        <v>7407</v>
      </c>
      <c r="H8701" s="1">
        <v>81477</v>
      </c>
      <c r="I8701" s="1">
        <v>0</v>
      </c>
      <c r="J8701" s="1">
        <v>11</v>
      </c>
      <c r="K8701" s="1">
        <v>0</v>
      </c>
    </row>
    <row r="8702" spans="1:11" x14ac:dyDescent="0.2">
      <c r="A8702" s="1" t="s">
        <v>3386</v>
      </c>
      <c r="B8702" s="1" t="s">
        <v>3387</v>
      </c>
      <c r="C8702" s="1" t="str">
        <f>"66298918217029"</f>
        <v>66298918217029</v>
      </c>
      <c r="D8702" s="1" t="str">
        <f>"400548"</f>
        <v>400548</v>
      </c>
      <c r="E8702" s="1" t="s">
        <v>4566</v>
      </c>
      <c r="F8702" s="1">
        <v>30</v>
      </c>
      <c r="G8702" s="1">
        <v>2418</v>
      </c>
      <c r="H8702" s="1">
        <v>72540</v>
      </c>
      <c r="I8702" s="1">
        <v>0</v>
      </c>
      <c r="J8702" s="1">
        <v>30</v>
      </c>
      <c r="K8702" s="1">
        <v>1</v>
      </c>
    </row>
    <row r="8703" spans="1:11" x14ac:dyDescent="0.2">
      <c r="A8703" s="1" t="s">
        <v>3386</v>
      </c>
      <c r="B8703" s="1" t="s">
        <v>3388</v>
      </c>
      <c r="C8703" s="1" t="str">
        <f>"66298918257659"</f>
        <v>66298918257659</v>
      </c>
      <c r="D8703" s="1" t="str">
        <f>"GB015"</f>
        <v>GB015</v>
      </c>
      <c r="E8703" s="1" t="s">
        <v>4566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</row>
    <row r="8704" spans="1:11" x14ac:dyDescent="0.2">
      <c r="A8704" s="1" t="s">
        <v>3386</v>
      </c>
      <c r="B8704" s="1" t="s">
        <v>3389</v>
      </c>
      <c r="C8704" s="1" t="str">
        <f>"66298918341354"</f>
        <v>66298918341354</v>
      </c>
      <c r="D8704" s="1" t="str">
        <f>"83157"</f>
        <v>83157</v>
      </c>
      <c r="E8704" s="1" t="s">
        <v>4566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</row>
    <row r="8705" spans="1:11" x14ac:dyDescent="0.2">
      <c r="A8705" s="1" t="s">
        <v>3386</v>
      </c>
      <c r="B8705" s="1" t="s">
        <v>3390</v>
      </c>
      <c r="C8705" s="1" t="str">
        <f>"66298918302384"</f>
        <v>66298918302384</v>
      </c>
      <c r="D8705" s="1" t="str">
        <f>"JPC-1801-107"</f>
        <v>JPC-1801-107</v>
      </c>
      <c r="E8705" s="1" t="s">
        <v>4566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</row>
    <row r="8706" spans="1:11" x14ac:dyDescent="0.2">
      <c r="A8706" s="1" t="s">
        <v>3386</v>
      </c>
      <c r="B8706" s="1" t="s">
        <v>3391</v>
      </c>
      <c r="C8706" s="1" t="str">
        <f>"66298918427187"</f>
        <v>66298918427187</v>
      </c>
      <c r="D8706" s="1" t="str">
        <f>"401029"</f>
        <v>401029</v>
      </c>
      <c r="E8706" s="1" t="s">
        <v>4566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</row>
    <row r="8707" spans="1:11" x14ac:dyDescent="0.2">
      <c r="A8707" s="1" t="s">
        <v>3386</v>
      </c>
      <c r="B8707" s="1" t="s">
        <v>3392</v>
      </c>
      <c r="C8707" s="1" t="str">
        <f>"66298918381775"</f>
        <v>66298918381775</v>
      </c>
      <c r="D8707" s="1" t="str">
        <f>"GB002"</f>
        <v>GB002</v>
      </c>
      <c r="E8707" s="1" t="s">
        <v>4566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</row>
    <row r="8708" spans="1:11" x14ac:dyDescent="0.2">
      <c r="A8708" s="1" t="s">
        <v>3386</v>
      </c>
      <c r="B8708" s="1" t="s">
        <v>3393</v>
      </c>
      <c r="C8708" s="1" t="str">
        <f>"66298918467729"</f>
        <v>66298918467729</v>
      </c>
      <c r="D8708" s="1" t="str">
        <f>"24653"</f>
        <v>24653</v>
      </c>
      <c r="E8708" s="1" t="s">
        <v>4566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</row>
    <row r="8709" spans="1:11" x14ac:dyDescent="0.2">
      <c r="A8709" s="1" t="s">
        <v>3386</v>
      </c>
      <c r="B8709" s="1" t="s">
        <v>3394</v>
      </c>
      <c r="C8709" s="1" t="str">
        <f>"66298918510768"</f>
        <v>66298918510768</v>
      </c>
      <c r="D8709" s="1" t="str">
        <f>"GB001"</f>
        <v>GB001</v>
      </c>
      <c r="E8709" s="1" t="s">
        <v>4566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1</v>
      </c>
    </row>
    <row r="8710" spans="1:11" x14ac:dyDescent="0.2">
      <c r="A8710" s="1" t="s">
        <v>3386</v>
      </c>
      <c r="B8710" s="1" t="s">
        <v>3395</v>
      </c>
      <c r="C8710" s="1" t="str">
        <f>"66298918557448"</f>
        <v>66298918557448</v>
      </c>
      <c r="D8710" s="1" t="str">
        <f>"GB003"</f>
        <v>GB003</v>
      </c>
      <c r="E8710" s="1" t="s">
        <v>4566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1</v>
      </c>
    </row>
    <row r="8711" spans="1:11" x14ac:dyDescent="0.2">
      <c r="A8711" s="1" t="s">
        <v>3386</v>
      </c>
      <c r="B8711" s="1" t="s">
        <v>3396</v>
      </c>
      <c r="C8711" s="1" t="str">
        <f>"GB004"</f>
        <v>GB004</v>
      </c>
      <c r="D8711" s="1" t="str">
        <f>"GB004"</f>
        <v>GB004</v>
      </c>
      <c r="E8711" s="1" t="s">
        <v>4566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1</v>
      </c>
    </row>
    <row r="8712" spans="1:11" x14ac:dyDescent="0.2">
      <c r="A8712" s="1" t="s">
        <v>3386</v>
      </c>
      <c r="B8712" s="1" t="s">
        <v>3397</v>
      </c>
      <c r="C8712" s="1" t="str">
        <f>"66298918596754"</f>
        <v>66298918596754</v>
      </c>
      <c r="D8712" s="1" t="str">
        <f>"400437"</f>
        <v>400437</v>
      </c>
      <c r="E8712" s="1" t="s">
        <v>4566</v>
      </c>
      <c r="F8712" s="1">
        <v>14</v>
      </c>
      <c r="G8712" s="1">
        <v>843</v>
      </c>
      <c r="H8712" s="1">
        <v>11802</v>
      </c>
      <c r="I8712" s="1">
        <v>0</v>
      </c>
      <c r="J8712" s="1">
        <v>14</v>
      </c>
      <c r="K8712" s="1">
        <v>1</v>
      </c>
    </row>
    <row r="8713" spans="1:11" x14ac:dyDescent="0.2">
      <c r="A8713" s="1" t="s">
        <v>3386</v>
      </c>
      <c r="B8713" s="1" t="s">
        <v>3398</v>
      </c>
      <c r="C8713" s="1" t="str">
        <f>"GB006"</f>
        <v>GB006</v>
      </c>
      <c r="D8713" s="1" t="str">
        <f>"GB006"</f>
        <v>GB006</v>
      </c>
      <c r="E8713" s="1" t="s">
        <v>4566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</row>
    <row r="8714" spans="1:11" x14ac:dyDescent="0.2">
      <c r="A8714" s="1" t="s">
        <v>3386</v>
      </c>
      <c r="B8714" s="1" t="s">
        <v>3399</v>
      </c>
      <c r="C8714" s="1" t="str">
        <f>"66298918637269"</f>
        <v>66298918637269</v>
      </c>
      <c r="D8714" s="1" t="str">
        <f>"400010"</f>
        <v>400010</v>
      </c>
      <c r="E8714" s="1" t="s">
        <v>4566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</row>
    <row r="8715" spans="1:11" x14ac:dyDescent="0.2">
      <c r="A8715" s="1" t="s">
        <v>3386</v>
      </c>
      <c r="B8715" s="1" t="s">
        <v>3400</v>
      </c>
      <c r="C8715" s="1" t="str">
        <f>"66298918680060"</f>
        <v>66298918680060</v>
      </c>
      <c r="D8715" s="1" t="str">
        <f>"25600H2C000H000"</f>
        <v>25600H2C000H000</v>
      </c>
      <c r="E8715" s="1" t="s">
        <v>4566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</row>
    <row r="8716" spans="1:11" x14ac:dyDescent="0.2">
      <c r="A8716" s="1" t="s">
        <v>3386</v>
      </c>
      <c r="B8716" s="1" t="s">
        <v>3401</v>
      </c>
      <c r="C8716" s="1" t="str">
        <f>"66298918723487"</f>
        <v>66298918723487</v>
      </c>
      <c r="D8716" s="1" t="str">
        <f>"25600H40100H000"</f>
        <v>25600H40100H000</v>
      </c>
      <c r="E8716" s="1" t="s">
        <v>4566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</row>
    <row r="8717" spans="1:11" x14ac:dyDescent="0.2">
      <c r="A8717" s="1" t="s">
        <v>3386</v>
      </c>
      <c r="B8717" s="1" t="s">
        <v>3402</v>
      </c>
      <c r="C8717" s="1" t="str">
        <f>"66298918811092"</f>
        <v>66298918811092</v>
      </c>
      <c r="D8717" s="1" t="str">
        <f>"400229"</f>
        <v>400229</v>
      </c>
      <c r="E8717" s="1" t="s">
        <v>4566</v>
      </c>
      <c r="F8717" s="1">
        <v>150</v>
      </c>
      <c r="G8717" s="1">
        <v>736</v>
      </c>
      <c r="H8717" s="1">
        <v>110400</v>
      </c>
      <c r="I8717" s="1">
        <v>0</v>
      </c>
      <c r="J8717" s="1">
        <v>150</v>
      </c>
      <c r="K8717" s="1">
        <v>1</v>
      </c>
    </row>
    <row r="8718" spans="1:11" x14ac:dyDescent="0.2">
      <c r="A8718" s="1" t="s">
        <v>3386</v>
      </c>
      <c r="B8718" s="1" t="s">
        <v>3403</v>
      </c>
      <c r="C8718" s="1" t="str">
        <f>"66298918767415"</f>
        <v>66298918767415</v>
      </c>
      <c r="D8718" s="1" t="str">
        <f>"PED-CAM-NXR"</f>
        <v>PED-CAM-NXR</v>
      </c>
      <c r="E8718" s="1" t="s">
        <v>4566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</row>
    <row r="8719" spans="1:11" x14ac:dyDescent="0.2">
      <c r="A8719" s="1" t="s">
        <v>3386</v>
      </c>
      <c r="B8719" s="1" t="s">
        <v>3404</v>
      </c>
      <c r="C8719" s="1" t="str">
        <f>"66298918852235"</f>
        <v>66298918852235</v>
      </c>
      <c r="D8719" s="1" t="str">
        <f>"400444"</f>
        <v>400444</v>
      </c>
      <c r="E8719" s="1" t="s">
        <v>4566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</row>
    <row r="8720" spans="1:11" x14ac:dyDescent="0.2">
      <c r="A8720" s="1" t="s">
        <v>3386</v>
      </c>
      <c r="B8720" s="1" t="s">
        <v>3405</v>
      </c>
      <c r="C8720" s="1" t="str">
        <f>"66298918894612"</f>
        <v>66298918894612</v>
      </c>
      <c r="D8720" s="1" t="str">
        <f>"400440"</f>
        <v>400440</v>
      </c>
      <c r="E8720" s="1" t="s">
        <v>4566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</row>
    <row r="8721" spans="1:11" x14ac:dyDescent="0.2">
      <c r="A8721" s="1" t="s">
        <v>3386</v>
      </c>
      <c r="B8721" s="1" t="s">
        <v>3406</v>
      </c>
      <c r="C8721" s="1" t="str">
        <f>"66298918935840"</f>
        <v>66298918935840</v>
      </c>
      <c r="D8721" s="1" t="str">
        <f>"400441"</f>
        <v>400441</v>
      </c>
      <c r="E8721" s="1" t="s">
        <v>4566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1</v>
      </c>
    </row>
    <row r="8722" spans="1:11" x14ac:dyDescent="0.2">
      <c r="A8722" s="1" t="s">
        <v>3386</v>
      </c>
      <c r="B8722" s="1" t="s">
        <v>3407</v>
      </c>
      <c r="C8722" s="1" t="str">
        <f>"66298918977564"</f>
        <v>66298918977564</v>
      </c>
      <c r="D8722" s="1" t="str">
        <f>"25600H37210H000"</f>
        <v>25600H37210H000</v>
      </c>
      <c r="E8722" s="1" t="s">
        <v>4566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</row>
    <row r="8723" spans="1:11" x14ac:dyDescent="0.2">
      <c r="A8723" s="1" t="s">
        <v>3386</v>
      </c>
      <c r="B8723" s="1" t="s">
        <v>3408</v>
      </c>
      <c r="C8723" s="1" t="str">
        <f>"66298919020223"</f>
        <v>66298919020223</v>
      </c>
      <c r="D8723" s="1" t="str">
        <f>"400442"</f>
        <v>400442</v>
      </c>
      <c r="E8723" s="1" t="s">
        <v>4566</v>
      </c>
      <c r="F8723" s="1">
        <v>30</v>
      </c>
      <c r="G8723" s="1">
        <v>2629</v>
      </c>
      <c r="H8723" s="1">
        <v>78870</v>
      </c>
      <c r="I8723" s="1">
        <v>0</v>
      </c>
      <c r="J8723" s="1">
        <v>30</v>
      </c>
      <c r="K8723" s="1">
        <v>1</v>
      </c>
    </row>
    <row r="8724" spans="1:11" x14ac:dyDescent="0.2">
      <c r="A8724" s="1" t="s">
        <v>3386</v>
      </c>
      <c r="B8724" s="1" t="s">
        <v>3409</v>
      </c>
      <c r="C8724" s="1" t="str">
        <f>"66298919061798"</f>
        <v>66298919061798</v>
      </c>
      <c r="D8724" s="1" t="str">
        <f>"400438"</f>
        <v>400438</v>
      </c>
      <c r="E8724" s="1" t="s">
        <v>4566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</row>
    <row r="8725" spans="1:11" x14ac:dyDescent="0.2">
      <c r="A8725" s="1" t="s">
        <v>3386</v>
      </c>
      <c r="B8725" s="1" t="s">
        <v>3410</v>
      </c>
      <c r="C8725" s="1" t="str">
        <f>"66298919103237"</f>
        <v>66298919103237</v>
      </c>
      <c r="D8725" s="1" t="str">
        <f>"20PWE811100"</f>
        <v>20PWE811100</v>
      </c>
      <c r="E8725" s="1" t="s">
        <v>4566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1</v>
      </c>
    </row>
    <row r="8726" spans="1:11" x14ac:dyDescent="0.2">
      <c r="A8726" s="1" t="s">
        <v>3386</v>
      </c>
      <c r="B8726" s="1" t="s">
        <v>3411</v>
      </c>
      <c r="C8726" s="1" t="str">
        <f>"B070"</f>
        <v>B070</v>
      </c>
      <c r="D8726" s="1" t="str">
        <f>"B070"</f>
        <v>B070</v>
      </c>
      <c r="E8726" s="1" t="s">
        <v>4566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</row>
    <row r="8727" spans="1:11" x14ac:dyDescent="0.2">
      <c r="A8727" s="1" t="s">
        <v>3386</v>
      </c>
      <c r="B8727" s="1" t="s">
        <v>3412</v>
      </c>
      <c r="C8727" s="1" t="str">
        <f>"66298919141626"</f>
        <v>66298919141626</v>
      </c>
      <c r="D8727" s="1" t="str">
        <f>"588006"</f>
        <v>588006</v>
      </c>
      <c r="E8727" s="1" t="s">
        <v>4566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</row>
    <row r="8728" spans="1:11" x14ac:dyDescent="0.2">
      <c r="A8728" s="1" t="s">
        <v>3386</v>
      </c>
      <c r="B8728" s="1" t="s">
        <v>3413</v>
      </c>
      <c r="C8728" s="1" t="str">
        <f>"66298919180117"</f>
        <v>66298919180117</v>
      </c>
      <c r="D8728" s="1" t="str">
        <f>"400457"</f>
        <v>400457</v>
      </c>
      <c r="E8728" s="1" t="s">
        <v>4566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</row>
    <row r="8729" spans="1:11" x14ac:dyDescent="0.2">
      <c r="A8729" s="1" t="s">
        <v>3386</v>
      </c>
      <c r="B8729" s="1" t="s">
        <v>3414</v>
      </c>
      <c r="C8729" s="1" t="str">
        <f>"66298919218508"</f>
        <v>66298919218508</v>
      </c>
      <c r="D8729" s="1" t="str">
        <f>"GC003"</f>
        <v>GC003</v>
      </c>
      <c r="E8729" s="1" t="s">
        <v>4566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</row>
    <row r="8730" spans="1:11" x14ac:dyDescent="0.2">
      <c r="A8730" s="1" t="s">
        <v>3386</v>
      </c>
      <c r="B8730" s="1" t="s">
        <v>3415</v>
      </c>
      <c r="C8730" s="1" t="str">
        <f>"66298919256418"</f>
        <v>66298919256418</v>
      </c>
      <c r="D8730" s="1" t="str">
        <f>"PED-PART-CG100"</f>
        <v>PED-PART-CG100</v>
      </c>
      <c r="E8730" s="1" t="s">
        <v>4566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1</v>
      </c>
    </row>
    <row r="8731" spans="1:11" x14ac:dyDescent="0.2">
      <c r="A8731" s="1" t="s">
        <v>3386</v>
      </c>
      <c r="B8731" s="1" t="s">
        <v>3416</v>
      </c>
      <c r="C8731" s="1" t="str">
        <f>"66298919346472"</f>
        <v>66298919346472</v>
      </c>
      <c r="D8731" s="1" t="str">
        <f>"400473"</f>
        <v>400473</v>
      </c>
      <c r="E8731" s="1" t="s">
        <v>4566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</row>
    <row r="8732" spans="1:11" x14ac:dyDescent="0.2">
      <c r="A8732" s="1" t="s">
        <v>3386</v>
      </c>
      <c r="B8732" s="1" t="s">
        <v>3417</v>
      </c>
      <c r="C8732" s="1" t="str">
        <f>"66298919389219"</f>
        <v>66298919389219</v>
      </c>
      <c r="D8732" s="1" t="str">
        <f>"GA008"</f>
        <v>GA008</v>
      </c>
      <c r="E8732" s="1" t="s">
        <v>4566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</row>
    <row r="8733" spans="1:11" x14ac:dyDescent="0.2">
      <c r="A8733" s="1" t="s">
        <v>3386</v>
      </c>
      <c r="B8733" s="1" t="s">
        <v>3418</v>
      </c>
      <c r="C8733" s="1" t="str">
        <f>"66298919430830"</f>
        <v>66298919430830</v>
      </c>
      <c r="D8733" s="1" t="str">
        <f>"2063"</f>
        <v>2063</v>
      </c>
      <c r="E8733" s="1" t="s">
        <v>4566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</row>
    <row r="8734" spans="1:11" x14ac:dyDescent="0.2">
      <c r="A8734" s="1" t="s">
        <v>3386</v>
      </c>
      <c r="B8734" s="1" t="s">
        <v>3419</v>
      </c>
      <c r="C8734" s="1" t="str">
        <f>"66298919298152"</f>
        <v>66298919298152</v>
      </c>
      <c r="D8734" s="1" t="str">
        <f>"GA006"</f>
        <v>GA006</v>
      </c>
      <c r="E8734" s="1" t="s">
        <v>4566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</row>
    <row r="8735" spans="1:11" x14ac:dyDescent="0.2">
      <c r="A8735" s="1" t="s">
        <v>3386</v>
      </c>
      <c r="B8735" s="1" t="s">
        <v>3419</v>
      </c>
      <c r="C8735" s="1" t="str">
        <f>"B071"</f>
        <v>B071</v>
      </c>
      <c r="D8735" s="1" t="str">
        <f>"B071"</f>
        <v>B071</v>
      </c>
      <c r="E8735" s="1" t="s">
        <v>4566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</row>
    <row r="8736" spans="1:11" x14ac:dyDescent="0.2">
      <c r="A8736" s="1" t="s">
        <v>3386</v>
      </c>
      <c r="B8736" s="1" t="s">
        <v>3420</v>
      </c>
      <c r="C8736" s="1" t="str">
        <f>"66298919607747"</f>
        <v>66298919607747</v>
      </c>
      <c r="D8736" s="1" t="str">
        <f>"GA001"</f>
        <v>GA001</v>
      </c>
      <c r="E8736" s="1" t="s">
        <v>4566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1</v>
      </c>
    </row>
    <row r="8737" spans="1:11" x14ac:dyDescent="0.2">
      <c r="A8737" s="1" t="s">
        <v>3386</v>
      </c>
      <c r="B8737" s="1" t="s">
        <v>3421</v>
      </c>
      <c r="C8737" s="1" t="str">
        <f>"66298919566376"</f>
        <v>66298919566376</v>
      </c>
      <c r="D8737" s="1" t="str">
        <f>"400233"</f>
        <v>400233</v>
      </c>
      <c r="E8737" s="1" t="s">
        <v>4566</v>
      </c>
      <c r="F8737" s="1">
        <v>87</v>
      </c>
      <c r="G8737" s="1">
        <v>1683</v>
      </c>
      <c r="H8737" s="1">
        <v>146421</v>
      </c>
      <c r="I8737" s="1">
        <v>0</v>
      </c>
      <c r="J8737" s="1">
        <v>87</v>
      </c>
      <c r="K8737" s="1">
        <v>1</v>
      </c>
    </row>
    <row r="8738" spans="1:11" x14ac:dyDescent="0.2">
      <c r="A8738" s="1" t="s">
        <v>3386</v>
      </c>
      <c r="B8738" s="1" t="s">
        <v>3422</v>
      </c>
      <c r="C8738" s="1" t="str">
        <f>"66298919470820"</f>
        <v>66298919470820</v>
      </c>
      <c r="D8738" s="1" t="str">
        <f>"625"</f>
        <v>625</v>
      </c>
      <c r="E8738" s="1" t="s">
        <v>4566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</row>
    <row r="8739" spans="1:11" x14ac:dyDescent="0.2">
      <c r="A8739" s="1" t="s">
        <v>3386</v>
      </c>
      <c r="B8739" s="1" t="s">
        <v>3422</v>
      </c>
      <c r="C8739" s="1" t="str">
        <f>"66298919521712"</f>
        <v>66298919521712</v>
      </c>
      <c r="D8739" s="1" t="str">
        <f>"GA009"</f>
        <v>GA009</v>
      </c>
      <c r="E8739" s="1" t="s">
        <v>4566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</row>
    <row r="8740" spans="1:11" x14ac:dyDescent="0.2">
      <c r="A8740" s="1" t="s">
        <v>3386</v>
      </c>
      <c r="B8740" s="1" t="s">
        <v>3423</v>
      </c>
      <c r="C8740" s="1" t="str">
        <f>"66298919652638"</f>
        <v>66298919652638</v>
      </c>
      <c r="D8740" s="1" t="str">
        <f>"GA011"</f>
        <v>GA011</v>
      </c>
      <c r="E8740" s="1" t="s">
        <v>4566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1</v>
      </c>
    </row>
    <row r="8741" spans="1:11" x14ac:dyDescent="0.2">
      <c r="A8741" s="1" t="s">
        <v>3386</v>
      </c>
      <c r="B8741" s="1" t="s">
        <v>3424</v>
      </c>
      <c r="C8741" s="1" t="str">
        <f>"66298919694313"</f>
        <v>66298919694313</v>
      </c>
      <c r="D8741" s="1" t="str">
        <f>"400470"</f>
        <v>400470</v>
      </c>
      <c r="E8741" s="1" t="s">
        <v>4566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1</v>
      </c>
    </row>
    <row r="8742" spans="1:11" x14ac:dyDescent="0.2">
      <c r="A8742" s="1" t="s">
        <v>3386</v>
      </c>
      <c r="B8742" s="1" t="s">
        <v>3425</v>
      </c>
      <c r="C8742" s="1" t="str">
        <f>"66298919733595"</f>
        <v>66298919733595</v>
      </c>
      <c r="D8742" s="1" t="str">
        <f>"588005"</f>
        <v>588005</v>
      </c>
      <c r="E8742" s="1" t="s">
        <v>4566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1</v>
      </c>
    </row>
    <row r="8743" spans="1:11" x14ac:dyDescent="0.2">
      <c r="A8743" s="1" t="s">
        <v>3386</v>
      </c>
      <c r="B8743" s="1" t="s">
        <v>3426</v>
      </c>
      <c r="C8743" s="1" t="str">
        <f>"66298919777684"</f>
        <v>66298919777684</v>
      </c>
      <c r="D8743" s="1" t="str">
        <f>"GA003"</f>
        <v>GA003</v>
      </c>
      <c r="E8743" s="1" t="s">
        <v>4566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</row>
    <row r="8744" spans="1:11" x14ac:dyDescent="0.2">
      <c r="A8744" s="1" t="s">
        <v>3386</v>
      </c>
      <c r="B8744" s="1" t="s">
        <v>3427</v>
      </c>
      <c r="C8744" s="1" t="str">
        <f>"66298919819333"</f>
        <v>66298919819333</v>
      </c>
      <c r="D8744" s="1" t="str">
        <f>"1573"</f>
        <v>1573</v>
      </c>
      <c r="E8744" s="1" t="s">
        <v>4566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</row>
    <row r="8745" spans="1:11" x14ac:dyDescent="0.2">
      <c r="A8745" s="1" t="s">
        <v>3386</v>
      </c>
      <c r="B8745" s="1" t="s">
        <v>3427</v>
      </c>
      <c r="C8745" s="1" t="str">
        <f>"66298919877975"</f>
        <v>66298919877975</v>
      </c>
      <c r="D8745" s="1" t="str">
        <f>"82639"</f>
        <v>82639</v>
      </c>
      <c r="E8745" s="1" t="s">
        <v>4566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1</v>
      </c>
    </row>
    <row r="8746" spans="1:11" x14ac:dyDescent="0.2">
      <c r="A8746" s="1" t="s">
        <v>3386</v>
      </c>
      <c r="B8746" s="1" t="s">
        <v>3428</v>
      </c>
      <c r="C8746" s="1" t="str">
        <f>"66298919917960"</f>
        <v>66298919917960</v>
      </c>
      <c r="D8746" s="1" t="str">
        <f>"400472"</f>
        <v>400472</v>
      </c>
      <c r="E8746" s="1" t="s">
        <v>4566</v>
      </c>
      <c r="F8746" s="1">
        <v>25</v>
      </c>
      <c r="G8746" s="1">
        <v>2097</v>
      </c>
      <c r="H8746" s="1">
        <v>52425</v>
      </c>
      <c r="I8746" s="1">
        <v>0</v>
      </c>
      <c r="J8746" s="1">
        <v>25</v>
      </c>
      <c r="K8746" s="1">
        <v>1</v>
      </c>
    </row>
    <row r="8747" spans="1:11" x14ac:dyDescent="0.2">
      <c r="A8747" s="1" t="s">
        <v>3386</v>
      </c>
      <c r="B8747" s="1" t="s">
        <v>3429</v>
      </c>
      <c r="C8747" s="1" t="str">
        <f>"66298919960157"</f>
        <v>66298919960157</v>
      </c>
      <c r="D8747" s="1" t="str">
        <f>"C066"</f>
        <v>C066</v>
      </c>
      <c r="E8747" s="1" t="s">
        <v>4566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1</v>
      </c>
    </row>
    <row r="8748" spans="1:11" x14ac:dyDescent="0.2">
      <c r="A8748" s="1" t="s">
        <v>3386</v>
      </c>
      <c r="B8748" s="1" t="s">
        <v>3430</v>
      </c>
      <c r="C8748" s="1" t="str">
        <f>"66298920005016"</f>
        <v>66298920005016</v>
      </c>
      <c r="D8748" s="1" t="str">
        <f>"13519"</f>
        <v>13519</v>
      </c>
      <c r="E8748" s="1" t="s">
        <v>4566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1</v>
      </c>
    </row>
    <row r="8749" spans="1:11" x14ac:dyDescent="0.2">
      <c r="A8749" s="1" t="s">
        <v>3386</v>
      </c>
      <c r="B8749" s="1" t="s">
        <v>3431</v>
      </c>
      <c r="C8749" s="1" t="str">
        <f>"66298920050410"</f>
        <v>66298920050410</v>
      </c>
      <c r="D8749" s="1" t="str">
        <f>"400474"</f>
        <v>400474</v>
      </c>
      <c r="E8749" s="1" t="s">
        <v>4566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</row>
    <row r="8750" spans="1:11" x14ac:dyDescent="0.2">
      <c r="A8750" s="1" t="s">
        <v>3386</v>
      </c>
      <c r="B8750" s="1" t="s">
        <v>3432</v>
      </c>
      <c r="C8750" s="1" t="str">
        <f>"H2119"</f>
        <v>H2119</v>
      </c>
      <c r="D8750" s="1" t="str">
        <f>"H2119"</f>
        <v>H2119</v>
      </c>
      <c r="E8750" s="1" t="s">
        <v>4566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</row>
    <row r="8751" spans="1:11" x14ac:dyDescent="0.2">
      <c r="A8751" s="1" t="s">
        <v>3386</v>
      </c>
      <c r="B8751" s="1" t="s">
        <v>3432</v>
      </c>
      <c r="C8751" s="1" t="str">
        <f>"GA005"</f>
        <v>GA005</v>
      </c>
      <c r="D8751" s="1" t="str">
        <f>"GA005"</f>
        <v>GA005</v>
      </c>
      <c r="E8751" s="1" t="s">
        <v>4566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</row>
    <row r="8752" spans="1:11" x14ac:dyDescent="0.2">
      <c r="A8752" s="1" t="s">
        <v>3386</v>
      </c>
      <c r="B8752" s="1" t="s">
        <v>3433</v>
      </c>
      <c r="C8752" s="1" t="str">
        <f>"GA007"</f>
        <v>GA007</v>
      </c>
      <c r="D8752" s="1" t="str">
        <f>"GA007"</f>
        <v>GA007</v>
      </c>
      <c r="E8752" s="1" t="s">
        <v>4566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</row>
    <row r="8753" spans="1:11" x14ac:dyDescent="0.2">
      <c r="A8753" s="1" t="s">
        <v>3386</v>
      </c>
      <c r="B8753" s="1" t="s">
        <v>3434</v>
      </c>
      <c r="C8753" s="1" t="str">
        <f>"66298920154455"</f>
        <v>66298920154455</v>
      </c>
      <c r="D8753" s="1" t="str">
        <f>"PP-CG125"</f>
        <v>PP-CG125</v>
      </c>
      <c r="E8753" s="1" t="s">
        <v>4566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1</v>
      </c>
    </row>
    <row r="8754" spans="1:11" x14ac:dyDescent="0.2">
      <c r="A8754" s="1" t="s">
        <v>3386</v>
      </c>
      <c r="B8754" s="1" t="s">
        <v>3435</v>
      </c>
      <c r="C8754" s="1" t="str">
        <f>"66298920114873"</f>
        <v>66298920114873</v>
      </c>
      <c r="D8754" s="1" t="str">
        <f>"81003"</f>
        <v>81003</v>
      </c>
      <c r="E8754" s="1" t="s">
        <v>4566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1</v>
      </c>
    </row>
    <row r="8755" spans="1:11" x14ac:dyDescent="0.2">
      <c r="A8755" s="1" t="s">
        <v>3386</v>
      </c>
      <c r="B8755" s="1" t="s">
        <v>3436</v>
      </c>
      <c r="C8755" s="1" t="str">
        <f>"GA002"</f>
        <v>GA002</v>
      </c>
      <c r="D8755" s="1" t="str">
        <f>"GA002"</f>
        <v>GA002</v>
      </c>
      <c r="E8755" s="1" t="s">
        <v>4566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</row>
    <row r="8756" spans="1:11" x14ac:dyDescent="0.2">
      <c r="A8756" s="1" t="s">
        <v>3386</v>
      </c>
      <c r="B8756" s="1" t="s">
        <v>3437</v>
      </c>
      <c r="C8756" s="1" t="str">
        <f>"66298920194394"</f>
        <v>66298920194394</v>
      </c>
      <c r="D8756" s="1" t="str">
        <f>"82616"</f>
        <v>82616</v>
      </c>
      <c r="E8756" s="1" t="s">
        <v>4566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</row>
    <row r="8757" spans="1:11" x14ac:dyDescent="0.2">
      <c r="A8757" s="1" t="s">
        <v>3386</v>
      </c>
      <c r="B8757" s="1" t="s">
        <v>3438</v>
      </c>
      <c r="C8757" s="1" t="str">
        <f>"66298920276463"</f>
        <v>66298920276463</v>
      </c>
      <c r="D8757" s="1" t="str">
        <f>"400471"</f>
        <v>400471</v>
      </c>
      <c r="E8757" s="1" t="s">
        <v>4566</v>
      </c>
      <c r="F8757" s="1">
        <v>75</v>
      </c>
      <c r="G8757" s="1">
        <v>2093</v>
      </c>
      <c r="H8757" s="1">
        <v>156975</v>
      </c>
      <c r="I8757" s="1">
        <v>0</v>
      </c>
      <c r="J8757" s="1">
        <v>75</v>
      </c>
      <c r="K8757" s="1">
        <v>1</v>
      </c>
    </row>
    <row r="8758" spans="1:11" x14ac:dyDescent="0.2">
      <c r="A8758" s="1" t="s">
        <v>3386</v>
      </c>
      <c r="B8758" s="1" t="s">
        <v>3439</v>
      </c>
      <c r="C8758" s="1" t="str">
        <f>"66298920234269"</f>
        <v>66298920234269</v>
      </c>
      <c r="D8758" s="1" t="str">
        <f>"81004"</f>
        <v>81004</v>
      </c>
      <c r="E8758" s="1" t="s">
        <v>4566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1</v>
      </c>
    </row>
    <row r="8759" spans="1:11" x14ac:dyDescent="0.2">
      <c r="A8759" s="1" t="s">
        <v>3386</v>
      </c>
      <c r="B8759" s="1" t="s">
        <v>3440</v>
      </c>
      <c r="C8759" s="1" t="str">
        <f>"G203"</f>
        <v>G203</v>
      </c>
      <c r="D8759" s="1" t="str">
        <f>"G203"</f>
        <v>G203</v>
      </c>
      <c r="E8759" s="1" t="s">
        <v>4566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</row>
    <row r="8760" spans="1:11" x14ac:dyDescent="0.2">
      <c r="A8760" s="1" t="s">
        <v>3441</v>
      </c>
      <c r="B8760" s="1" t="s">
        <v>3442</v>
      </c>
      <c r="C8760" s="1" t="str">
        <f>"GAA001-FZ-IZQ"</f>
        <v>GAA001-FZ-IZQ</v>
      </c>
      <c r="D8760" s="1" t="str">
        <f>"GAA001-FZ-IZQ"</f>
        <v>GAA001-FZ-IZQ</v>
      </c>
      <c r="E8760" s="1" t="s">
        <v>4566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</row>
    <row r="8761" spans="1:11" x14ac:dyDescent="0.2">
      <c r="A8761" s="1" t="s">
        <v>3441</v>
      </c>
      <c r="B8761" s="1" t="s">
        <v>3443</v>
      </c>
      <c r="C8761" s="1" t="str">
        <f>"66298920318640"</f>
        <v>66298920318640</v>
      </c>
      <c r="D8761" s="1" t="str">
        <f>"43501H2C000H000"</f>
        <v>43501H2C000H000</v>
      </c>
      <c r="E8761" s="1" t="s">
        <v>4566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1</v>
      </c>
    </row>
    <row r="8762" spans="1:11" x14ac:dyDescent="0.2">
      <c r="A8762" s="1" t="s">
        <v>3441</v>
      </c>
      <c r="B8762" s="1" t="s">
        <v>3444</v>
      </c>
      <c r="C8762" s="1" t="str">
        <f>"20P-F7461-00"</f>
        <v>20P-F7461-00</v>
      </c>
      <c r="D8762" s="1" t="str">
        <f>"20P-F7461-00"</f>
        <v>20P-F7461-00</v>
      </c>
      <c r="E8762" s="1" t="s">
        <v>4566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</row>
    <row r="8763" spans="1:11" x14ac:dyDescent="0.2">
      <c r="A8763" s="1" t="s">
        <v>3441</v>
      </c>
      <c r="B8763" s="1" t="s">
        <v>3445</v>
      </c>
      <c r="C8763" s="1" t="str">
        <f>"20P-F7451-00"</f>
        <v>20P-F7451-00</v>
      </c>
      <c r="D8763" s="1" t="str">
        <f>"20P-F7451-00"</f>
        <v>20P-F7451-00</v>
      </c>
      <c r="E8763" s="1" t="s">
        <v>4566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</row>
    <row r="8764" spans="1:11" x14ac:dyDescent="0.2">
      <c r="A8764" s="1" t="s">
        <v>3441</v>
      </c>
      <c r="B8764" s="1" t="s">
        <v>3446</v>
      </c>
      <c r="C8764" s="1" t="str">
        <f>"66298920359834"</f>
        <v>66298920359834</v>
      </c>
      <c r="D8764" s="1" t="str">
        <f>"43700H2C000H000"</f>
        <v>43700H2C000H000</v>
      </c>
      <c r="E8764" s="1" t="s">
        <v>4566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</row>
    <row r="8765" spans="1:11" x14ac:dyDescent="0.2">
      <c r="A8765" s="1" t="s">
        <v>3441</v>
      </c>
      <c r="B8765" s="1" t="s">
        <v>3447</v>
      </c>
      <c r="C8765" s="1" t="str">
        <f>"GAA049"</f>
        <v>GAA049</v>
      </c>
      <c r="D8765" s="1" t="str">
        <f>"GAA049"</f>
        <v>GAA049</v>
      </c>
      <c r="E8765" s="1" t="s">
        <v>4566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</row>
    <row r="8766" spans="1:11" x14ac:dyDescent="0.2">
      <c r="A8766" s="1" t="s">
        <v>3441</v>
      </c>
      <c r="B8766" s="1" t="s">
        <v>3448</v>
      </c>
      <c r="C8766" s="1" t="str">
        <f>"66298920401352"</f>
        <v>66298920401352</v>
      </c>
      <c r="D8766" s="1" t="str">
        <f>"GAA009"</f>
        <v>GAA009</v>
      </c>
      <c r="E8766" s="1" t="s">
        <v>4566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</row>
    <row r="8767" spans="1:11" x14ac:dyDescent="0.2">
      <c r="A8767" s="1" t="s">
        <v>3441</v>
      </c>
      <c r="B8767" s="1" t="s">
        <v>3449</v>
      </c>
      <c r="C8767" s="1" t="str">
        <f>"66298920444917"</f>
        <v>66298920444917</v>
      </c>
      <c r="D8767" s="1" t="str">
        <f>"GAA014"</f>
        <v>GAA014</v>
      </c>
      <c r="E8767" s="1" t="s">
        <v>4566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</row>
    <row r="8768" spans="1:11" x14ac:dyDescent="0.2">
      <c r="A8768" s="1" t="s">
        <v>3441</v>
      </c>
      <c r="B8768" s="1" t="s">
        <v>3450</v>
      </c>
      <c r="C8768" s="1" t="str">
        <f>"66298920486875"</f>
        <v>66298920486875</v>
      </c>
      <c r="D8768" s="1" t="str">
        <f>"GAA006"</f>
        <v>GAA006</v>
      </c>
      <c r="E8768" s="1" t="s">
        <v>4566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</row>
    <row r="8769" spans="1:11" x14ac:dyDescent="0.2">
      <c r="A8769" s="1" t="s">
        <v>3441</v>
      </c>
      <c r="B8769" s="1" t="s">
        <v>3451</v>
      </c>
      <c r="C8769" s="1" t="str">
        <f>"GAA001-FZ"</f>
        <v>GAA001-FZ</v>
      </c>
      <c r="D8769" s="1" t="str">
        <f>"GAA001-FZ"</f>
        <v>GAA001-FZ</v>
      </c>
      <c r="E8769" s="1" t="s">
        <v>4566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</row>
    <row r="8770" spans="1:11" x14ac:dyDescent="0.2">
      <c r="A8770" s="1" t="s">
        <v>3441</v>
      </c>
      <c r="B8770" s="1" t="s">
        <v>3451</v>
      </c>
      <c r="C8770" s="1" t="str">
        <f>"7817"</f>
        <v>7817</v>
      </c>
      <c r="D8770" s="1" t="str">
        <f>"7817"</f>
        <v>7817</v>
      </c>
      <c r="E8770" s="1" t="s">
        <v>4566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</row>
    <row r="8771" spans="1:11" x14ac:dyDescent="0.2">
      <c r="A8771" s="1" t="s">
        <v>3441</v>
      </c>
      <c r="B8771" s="1" t="s">
        <v>3452</v>
      </c>
      <c r="C8771" s="1" t="str">
        <f>"125773"</f>
        <v>125773</v>
      </c>
      <c r="D8771" s="1" t="str">
        <f>"125773"</f>
        <v>125773</v>
      </c>
      <c r="E8771" s="1" t="s">
        <v>4566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</row>
    <row r="8772" spans="1:11" x14ac:dyDescent="0.2">
      <c r="A8772" s="1" t="s">
        <v>3441</v>
      </c>
      <c r="B8772" s="1" t="s">
        <v>3453</v>
      </c>
      <c r="C8772" s="1" t="str">
        <f>"GAA048"</f>
        <v>GAA048</v>
      </c>
      <c r="D8772" s="1" t="str">
        <f>"GAA048"</f>
        <v>GAA048</v>
      </c>
      <c r="E8772" s="1" t="s">
        <v>4566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</row>
    <row r="8773" spans="1:11" x14ac:dyDescent="0.2">
      <c r="A8773" s="1" t="s">
        <v>3441</v>
      </c>
      <c r="B8773" s="1" t="s">
        <v>3454</v>
      </c>
      <c r="C8773" s="1" t="str">
        <f>"66298920528922"</f>
        <v>66298920528922</v>
      </c>
      <c r="D8773" s="1" t="str">
        <f>"SS209"</f>
        <v>SS209</v>
      </c>
      <c r="E8773" s="1" t="s">
        <v>4566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</row>
    <row r="8774" spans="1:11" x14ac:dyDescent="0.2">
      <c r="A8774" s="1" t="s">
        <v>3386</v>
      </c>
      <c r="B8774" s="1" t="s">
        <v>3455</v>
      </c>
      <c r="C8774" s="1" t="str">
        <f>"GAA004"</f>
        <v>GAA004</v>
      </c>
      <c r="D8774" s="1" t="str">
        <f>"GAA004"</f>
        <v>GAA004</v>
      </c>
      <c r="E8774" s="1" t="s">
        <v>4566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</row>
    <row r="8775" spans="1:11" x14ac:dyDescent="0.2">
      <c r="A8775" s="1" t="s">
        <v>3441</v>
      </c>
      <c r="B8775" s="1" t="s">
        <v>3456</v>
      </c>
      <c r="C8775" s="1" t="str">
        <f>"66298920568294"</f>
        <v>66298920568294</v>
      </c>
      <c r="D8775" s="1" t="str">
        <f>"80500"</f>
        <v>80500</v>
      </c>
      <c r="E8775" s="1" t="s">
        <v>4566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</row>
    <row r="8776" spans="1:11" x14ac:dyDescent="0.2">
      <c r="A8776" s="1" t="s">
        <v>3441</v>
      </c>
      <c r="B8776" s="1" t="s">
        <v>3457</v>
      </c>
      <c r="C8776" s="1" t="str">
        <f>"66298920607195"</f>
        <v>66298920607195</v>
      </c>
      <c r="D8776" s="1" t="str">
        <f>"GAA005"</f>
        <v>GAA005</v>
      </c>
      <c r="E8776" s="1" t="s">
        <v>4566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</row>
    <row r="8777" spans="1:11" x14ac:dyDescent="0.2">
      <c r="A8777" s="1" t="s">
        <v>3441</v>
      </c>
      <c r="B8777" s="1" t="s">
        <v>3458</v>
      </c>
      <c r="C8777" s="1" t="str">
        <f>"GAA016"</f>
        <v>GAA016</v>
      </c>
      <c r="D8777" s="1" t="str">
        <f>"GAA016"</f>
        <v>GAA016</v>
      </c>
      <c r="E8777" s="1" t="s">
        <v>4566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</row>
    <row r="8778" spans="1:11" x14ac:dyDescent="0.2">
      <c r="A8778" s="1" t="s">
        <v>3441</v>
      </c>
      <c r="B8778" s="1" t="s">
        <v>3459</v>
      </c>
      <c r="C8778" s="1" t="str">
        <f>"66298920648187"</f>
        <v>66298920648187</v>
      </c>
      <c r="D8778" s="1" t="str">
        <f>"80502"</f>
        <v>80502</v>
      </c>
      <c r="E8778" s="1" t="s">
        <v>4566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</row>
    <row r="8779" spans="1:11" x14ac:dyDescent="0.2">
      <c r="A8779" s="1" t="s">
        <v>3441</v>
      </c>
      <c r="B8779" s="1" t="s">
        <v>3460</v>
      </c>
      <c r="C8779" s="1" t="str">
        <f>"66298920692400"</f>
        <v>66298920692400</v>
      </c>
      <c r="D8779" s="1" t="str">
        <f>"GAA003"</f>
        <v>GAA003</v>
      </c>
      <c r="E8779" s="1" t="s">
        <v>4566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</row>
    <row r="8780" spans="1:11" x14ac:dyDescent="0.2">
      <c r="A8780" s="1" t="s">
        <v>3441</v>
      </c>
      <c r="B8780" s="1" t="s">
        <v>3461</v>
      </c>
      <c r="C8780" s="1" t="str">
        <f>"66298920732298"</f>
        <v>66298920732298</v>
      </c>
      <c r="D8780" s="1" t="str">
        <f>"H060"</f>
        <v>H060</v>
      </c>
      <c r="E8780" s="1" t="s">
        <v>4566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</row>
    <row r="8781" spans="1:11" x14ac:dyDescent="0.2">
      <c r="A8781" s="1" t="s">
        <v>3441</v>
      </c>
      <c r="B8781" s="1" t="s">
        <v>3462</v>
      </c>
      <c r="C8781" s="1" t="str">
        <f>"66298920771691"</f>
        <v>66298920771691</v>
      </c>
      <c r="D8781" s="1" t="str">
        <f>"GAA046"</f>
        <v>GAA046</v>
      </c>
      <c r="E8781" s="1" t="s">
        <v>4566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</row>
    <row r="8782" spans="1:11" x14ac:dyDescent="0.2">
      <c r="A8782" s="1" t="s">
        <v>3441</v>
      </c>
      <c r="B8782" s="1" t="s">
        <v>3463</v>
      </c>
      <c r="C8782" s="1" t="str">
        <f>"66298920814102"</f>
        <v>66298920814102</v>
      </c>
      <c r="D8782" s="1" t="str">
        <f>"GAA047"</f>
        <v>GAA047</v>
      </c>
      <c r="E8782" s="1" t="s">
        <v>4566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</row>
    <row r="8783" spans="1:11" x14ac:dyDescent="0.2">
      <c r="A8783" s="1" t="s">
        <v>3441</v>
      </c>
      <c r="B8783" s="1" t="s">
        <v>3464</v>
      </c>
      <c r="C8783" s="1" t="str">
        <f>"66298920856574"</f>
        <v>66298920856574</v>
      </c>
      <c r="D8783" s="1" t="str">
        <f>"80501"</f>
        <v>80501</v>
      </c>
      <c r="E8783" s="1" t="s">
        <v>4566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</row>
    <row r="8784" spans="1:11" x14ac:dyDescent="0.2">
      <c r="A8784" s="1" t="s">
        <v>3441</v>
      </c>
      <c r="B8784" s="1" t="s">
        <v>3465</v>
      </c>
      <c r="C8784" s="1" t="str">
        <f>"GAA044"</f>
        <v>GAA044</v>
      </c>
      <c r="D8784" s="1" t="str">
        <f>"GAA044"</f>
        <v>GAA044</v>
      </c>
      <c r="E8784" s="1" t="s">
        <v>4566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</row>
    <row r="8785" spans="1:11" x14ac:dyDescent="0.2">
      <c r="A8785" s="1" t="s">
        <v>3466</v>
      </c>
      <c r="B8785" s="1" t="s">
        <v>3467</v>
      </c>
      <c r="C8785" s="1" t="str">
        <f>"66298920891562"</f>
        <v>66298920891562</v>
      </c>
      <c r="D8785" s="1" t="str">
        <f>"90109-08056"</f>
        <v>90109-08056</v>
      </c>
      <c r="E8785" s="1" t="s">
        <v>4566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</row>
    <row r="8786" spans="1:11" x14ac:dyDescent="0.2">
      <c r="A8786" s="1" t="s">
        <v>3466</v>
      </c>
      <c r="B8786" s="1" t="s">
        <v>3468</v>
      </c>
      <c r="C8786" s="1" t="str">
        <f>"66298920933832"</f>
        <v>66298920933832</v>
      </c>
      <c r="D8786" s="1" t="str">
        <f>"ZZZ059"</f>
        <v>ZZZ059</v>
      </c>
      <c r="E8786" s="1" t="s">
        <v>4566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</row>
    <row r="8787" spans="1:11" x14ac:dyDescent="0.2">
      <c r="A8787" s="1" t="s">
        <v>3466</v>
      </c>
      <c r="B8787" s="1" t="s">
        <v>3469</v>
      </c>
      <c r="C8787" s="1" t="str">
        <f>"66298920977190"</f>
        <v>66298920977190</v>
      </c>
      <c r="D8787" s="1" t="str">
        <f>"ZZZ056"</f>
        <v>ZZZ056</v>
      </c>
      <c r="E8787" s="1" t="s">
        <v>4566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</row>
    <row r="8788" spans="1:11" x14ac:dyDescent="0.2">
      <c r="A8788" s="1" t="s">
        <v>3466</v>
      </c>
      <c r="B8788" s="1" t="s">
        <v>3470</v>
      </c>
      <c r="C8788" s="1" t="str">
        <f>"66298921024325"</f>
        <v>66298921024325</v>
      </c>
      <c r="D8788" s="1" t="str">
        <f>"ZZZ057"</f>
        <v>ZZZ057</v>
      </c>
      <c r="E8788" s="1" t="s">
        <v>4566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</row>
    <row r="8789" spans="1:11" x14ac:dyDescent="0.2">
      <c r="A8789" s="1" t="s">
        <v>3466</v>
      </c>
      <c r="B8789" s="1" t="s">
        <v>3471</v>
      </c>
      <c r="C8789" s="1" t="str">
        <f>"66298921063028"</f>
        <v>66298921063028</v>
      </c>
      <c r="D8789" s="1" t="str">
        <f>"ZZZ058"</f>
        <v>ZZZ058</v>
      </c>
      <c r="E8789" s="1" t="s">
        <v>4566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</row>
    <row r="8790" spans="1:11" x14ac:dyDescent="0.2">
      <c r="A8790" s="1" t="s">
        <v>3466</v>
      </c>
      <c r="B8790" s="1" t="s">
        <v>3472</v>
      </c>
      <c r="C8790" s="1" t="str">
        <f>"66298921100802"</f>
        <v>66298921100802</v>
      </c>
      <c r="D8790" s="1" t="str">
        <f>"ZZZ064"</f>
        <v>ZZZ064</v>
      </c>
      <c r="E8790" s="1" t="s">
        <v>4566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</row>
    <row r="8791" spans="1:11" x14ac:dyDescent="0.2">
      <c r="A8791" s="1" t="s">
        <v>3466</v>
      </c>
      <c r="B8791" s="1" t="s">
        <v>3473</v>
      </c>
      <c r="C8791" s="1" t="str">
        <f>"66298921142541"</f>
        <v>66298921142541</v>
      </c>
      <c r="D8791" s="1" t="str">
        <f>"ZZZ065"</f>
        <v>ZZZ065</v>
      </c>
      <c r="E8791" s="1" t="s">
        <v>4566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</row>
    <row r="8792" spans="1:11" x14ac:dyDescent="0.2">
      <c r="A8792" s="1" t="s">
        <v>3466</v>
      </c>
      <c r="B8792" s="1" t="s">
        <v>3474</v>
      </c>
      <c r="C8792" s="1" t="str">
        <f>"66298921182214"</f>
        <v>66298921182214</v>
      </c>
      <c r="D8792" s="1" t="str">
        <f>"ZZZ067"</f>
        <v>ZZZ067</v>
      </c>
      <c r="E8792" s="1" t="s">
        <v>4566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</row>
    <row r="8793" spans="1:11" x14ac:dyDescent="0.2">
      <c r="A8793" s="1" t="s">
        <v>3466</v>
      </c>
      <c r="B8793" s="1" t="s">
        <v>3475</v>
      </c>
      <c r="C8793" s="1" t="str">
        <f>"66298921222631"</f>
        <v>66298921222631</v>
      </c>
      <c r="D8793" s="1" t="str">
        <f>"QQ002"</f>
        <v>QQ002</v>
      </c>
      <c r="E8793" s="1" t="s">
        <v>4566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</row>
    <row r="8794" spans="1:11" x14ac:dyDescent="0.2">
      <c r="A8794" s="1" t="s">
        <v>3466</v>
      </c>
      <c r="B8794" s="1" t="s">
        <v>3476</v>
      </c>
      <c r="C8794" s="1" t="str">
        <f>"66298921261652"</f>
        <v>66298921261652</v>
      </c>
      <c r="D8794" s="1" t="str">
        <f>"DM-P-00033"</f>
        <v>DM-P-00033</v>
      </c>
      <c r="E8794" s="1" t="s">
        <v>4566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</row>
    <row r="8795" spans="1:11" x14ac:dyDescent="0.2">
      <c r="A8795" s="1" t="s">
        <v>3466</v>
      </c>
      <c r="B8795" s="1" t="s">
        <v>3477</v>
      </c>
      <c r="C8795" s="1" t="str">
        <f>"ZZA003"</f>
        <v>ZZA003</v>
      </c>
      <c r="D8795" s="1" t="str">
        <f>"ZZA003"</f>
        <v>ZZA003</v>
      </c>
      <c r="E8795" s="1" t="s">
        <v>4566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</row>
    <row r="8796" spans="1:11" x14ac:dyDescent="0.2">
      <c r="A8796" s="1" t="s">
        <v>3466</v>
      </c>
      <c r="B8796" s="1" t="s">
        <v>3478</v>
      </c>
      <c r="C8796" s="1" t="str">
        <f>"66298921301831"</f>
        <v>66298921301831</v>
      </c>
      <c r="D8796" s="1" t="str">
        <f>"400303"</f>
        <v>400303</v>
      </c>
      <c r="E8796" s="1" t="s">
        <v>4566</v>
      </c>
      <c r="F8796" s="1">
        <v>1750</v>
      </c>
      <c r="G8796" s="1">
        <v>315</v>
      </c>
      <c r="H8796" s="1">
        <v>551250</v>
      </c>
      <c r="I8796" s="1">
        <v>0</v>
      </c>
      <c r="J8796" s="1">
        <v>1750</v>
      </c>
      <c r="K8796" s="1">
        <v>0</v>
      </c>
    </row>
    <row r="8797" spans="1:11" x14ac:dyDescent="0.2">
      <c r="A8797" s="1" t="s">
        <v>3466</v>
      </c>
      <c r="B8797" s="1" t="s">
        <v>3479</v>
      </c>
      <c r="C8797" s="1" t="str">
        <f>"66298921341234"</f>
        <v>66298921341234</v>
      </c>
      <c r="D8797" s="1" t="str">
        <f>"82833"</f>
        <v>82833</v>
      </c>
      <c r="E8797" s="1" t="s">
        <v>4566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</row>
    <row r="8798" spans="1:11" x14ac:dyDescent="0.2">
      <c r="A8798" s="1" t="s">
        <v>3466</v>
      </c>
      <c r="B8798" s="1" t="s">
        <v>3480</v>
      </c>
      <c r="C8798" s="1" t="str">
        <f>"66298921383011"</f>
        <v>66298921383011</v>
      </c>
      <c r="D8798" s="1" t="str">
        <f>"ZZA009"</f>
        <v>ZZA009</v>
      </c>
      <c r="E8798" s="1" t="s">
        <v>4566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</row>
    <row r="8799" spans="1:11" ht="30" x14ac:dyDescent="0.2">
      <c r="A8799" s="1" t="s">
        <v>3466</v>
      </c>
      <c r="B8799" s="1" t="s">
        <v>3481</v>
      </c>
      <c r="C8799" s="1" t="str">
        <f>"66298921421528"</f>
        <v>66298921421528</v>
      </c>
      <c r="D8799" s="1" t="str">
        <f>"400304"</f>
        <v>400304</v>
      </c>
      <c r="E8799" s="1" t="s">
        <v>4566</v>
      </c>
      <c r="F8799" s="1">
        <v>2400</v>
      </c>
      <c r="G8799" s="1">
        <v>305</v>
      </c>
      <c r="H8799" s="1">
        <v>732000</v>
      </c>
      <c r="I8799" s="1">
        <v>0</v>
      </c>
      <c r="J8799" s="1">
        <v>2400</v>
      </c>
      <c r="K8799" s="1">
        <v>0</v>
      </c>
    </row>
    <row r="8800" spans="1:11" x14ac:dyDescent="0.2">
      <c r="A8800" s="1" t="s">
        <v>3466</v>
      </c>
      <c r="B8800" s="1" t="s">
        <v>3482</v>
      </c>
      <c r="C8800" s="1" t="str">
        <f>"66298921460962"</f>
        <v>66298921460962</v>
      </c>
      <c r="D8800" s="1" t="str">
        <f>"425004"</f>
        <v>425004</v>
      </c>
      <c r="E8800" s="1" t="s">
        <v>4566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</row>
    <row r="8801" spans="1:11" x14ac:dyDescent="0.2">
      <c r="A8801" s="1" t="s">
        <v>3466</v>
      </c>
      <c r="B8801" s="1" t="s">
        <v>3483</v>
      </c>
      <c r="C8801" s="1" t="str">
        <f>"66298921508165"</f>
        <v>66298921508165</v>
      </c>
      <c r="D8801" s="1" t="str">
        <f>"ZZA002"</f>
        <v>ZZA002</v>
      </c>
      <c r="E8801" s="1" t="s">
        <v>4566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</row>
    <row r="8802" spans="1:11" x14ac:dyDescent="0.2">
      <c r="A8802" s="1" t="s">
        <v>98</v>
      </c>
      <c r="B8802" s="1" t="s">
        <v>3484</v>
      </c>
      <c r="C8802" s="1" t="str">
        <f>"66298921548387"</f>
        <v>66298921548387</v>
      </c>
      <c r="D8802" s="1" t="str">
        <f>"GBH001"</f>
        <v>GBH001</v>
      </c>
      <c r="E8802" s="1" t="s">
        <v>4566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</row>
    <row r="8803" spans="1:11" x14ac:dyDescent="0.2">
      <c r="A8803" s="1" t="s">
        <v>98</v>
      </c>
      <c r="B8803" s="1" t="s">
        <v>3485</v>
      </c>
      <c r="C8803" s="1" t="str">
        <f>"66298921593191"</f>
        <v>66298921593191</v>
      </c>
      <c r="D8803" s="1" t="str">
        <f>"10-5006"</f>
        <v>10-5006</v>
      </c>
      <c r="E8803" s="1" t="s">
        <v>4566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</row>
    <row r="8804" spans="1:11" x14ac:dyDescent="0.2">
      <c r="A8804" s="1" t="s">
        <v>3486</v>
      </c>
      <c r="B8804" s="1" t="s">
        <v>3487</v>
      </c>
      <c r="C8804" s="1" t="str">
        <f>"10000025138"</f>
        <v>10000025138</v>
      </c>
      <c r="D8804" s="1" t="str">
        <f>"10000025138"</f>
        <v>10000025138</v>
      </c>
      <c r="E8804" s="1" t="s">
        <v>4566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</row>
    <row r="8805" spans="1:11" x14ac:dyDescent="0.2">
      <c r="A8805" s="1" t="s">
        <v>3486</v>
      </c>
      <c r="B8805" s="1" t="s">
        <v>3488</v>
      </c>
      <c r="C8805" s="1" t="str">
        <f>"66298921715124"</f>
        <v>66298921715124</v>
      </c>
      <c r="D8805" s="1" t="str">
        <f>"XM-30418-000"</f>
        <v>XM-30418-000</v>
      </c>
      <c r="E8805" s="1" t="s">
        <v>4566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</row>
    <row r="8806" spans="1:11" x14ac:dyDescent="0.2">
      <c r="A8806" s="1" t="s">
        <v>3486</v>
      </c>
      <c r="B8806" s="1" t="s">
        <v>3489</v>
      </c>
      <c r="C8806" s="1" t="str">
        <f>"66298921756386"</f>
        <v>66298921756386</v>
      </c>
      <c r="D8806" s="1" t="str">
        <f>"20021"</f>
        <v>20021</v>
      </c>
      <c r="E8806" s="1" t="s">
        <v>4566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</row>
    <row r="8807" spans="1:11" x14ac:dyDescent="0.2">
      <c r="A8807" s="1" t="s">
        <v>3486</v>
      </c>
      <c r="B8807" s="1" t="s">
        <v>3490</v>
      </c>
      <c r="C8807" s="1" t="str">
        <f>"66298921793169"</f>
        <v>66298921793169</v>
      </c>
      <c r="D8807" s="1" t="str">
        <f>"23801-KSR-A00VA"</f>
        <v>23801-KSR-A00VA</v>
      </c>
      <c r="E8807" s="1" t="s">
        <v>4566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</row>
    <row r="8808" spans="1:11" x14ac:dyDescent="0.2">
      <c r="A8808" s="1" t="s">
        <v>3486</v>
      </c>
      <c r="B8808" s="1" t="s">
        <v>3492</v>
      </c>
      <c r="C8808" s="1" t="str">
        <f>"66298921875308"</f>
        <v>66298921875308</v>
      </c>
      <c r="D8808" s="1" t="str">
        <f>"23800-KBK-900VA"</f>
        <v>23800-KBK-900VA</v>
      </c>
      <c r="E8808" s="1" t="s">
        <v>4566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</row>
    <row r="8809" spans="1:11" x14ac:dyDescent="0.2">
      <c r="A8809" s="1" t="s">
        <v>3486</v>
      </c>
      <c r="B8809" s="1" t="s">
        <v>3493</v>
      </c>
      <c r="C8809" s="1" t="str">
        <f>"66298921915580"</f>
        <v>66298921915580</v>
      </c>
      <c r="D8809" s="1" t="str">
        <f>"4B4-17460-00JP"</f>
        <v>4B4-17460-00JP</v>
      </c>
      <c r="E8809" s="1" t="s">
        <v>4566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</row>
    <row r="8810" spans="1:11" x14ac:dyDescent="0.2">
      <c r="A8810" s="1" t="s">
        <v>3486</v>
      </c>
      <c r="B8810" s="1" t="s">
        <v>3494</v>
      </c>
      <c r="C8810" s="1" t="str">
        <f>"10000026594"</f>
        <v>10000026594</v>
      </c>
      <c r="D8810" s="1" t="str">
        <f>"10000026594"</f>
        <v>10000026594</v>
      </c>
      <c r="E8810" s="1" t="s">
        <v>4566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</row>
    <row r="8811" spans="1:11" x14ac:dyDescent="0.2">
      <c r="A8811" s="1" t="s">
        <v>3486</v>
      </c>
      <c r="B8811" s="1" t="s">
        <v>3496</v>
      </c>
      <c r="C8811" s="1" t="str">
        <f>"49CC70"</f>
        <v>49CC70</v>
      </c>
      <c r="D8811" s="1" t="str">
        <f>"49CC70"</f>
        <v>49CC70</v>
      </c>
      <c r="E8811" s="1" t="s">
        <v>4566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</row>
    <row r="8812" spans="1:11" x14ac:dyDescent="0.2">
      <c r="A8812" s="1" t="s">
        <v>3486</v>
      </c>
      <c r="B8812" s="1" t="s">
        <v>3496</v>
      </c>
      <c r="C8812" s="1" t="str">
        <f>"PIÑON-BICIMOTO14"</f>
        <v>PIÑON-BICIMOTO14</v>
      </c>
      <c r="D8812" s="1" t="str">
        <f>"PIÑON-BICIMOTO14"</f>
        <v>PIÑON-BICIMOTO14</v>
      </c>
      <c r="E8812" s="1" t="s">
        <v>4566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</row>
    <row r="8813" spans="1:11" x14ac:dyDescent="0.2">
      <c r="A8813" s="1" t="s">
        <v>3486</v>
      </c>
      <c r="B8813" s="1" t="s">
        <v>3496</v>
      </c>
      <c r="C8813" s="1" t="str">
        <f>"N031JP"</f>
        <v>N031JP</v>
      </c>
      <c r="D8813" s="1" t="str">
        <f>"N031JP"</f>
        <v>N031JP</v>
      </c>
      <c r="E8813" s="1" t="s">
        <v>4566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</row>
    <row r="8814" spans="1:11" x14ac:dyDescent="0.2">
      <c r="A8814" s="1" t="s">
        <v>3486</v>
      </c>
      <c r="B8814" s="1" t="s">
        <v>3497</v>
      </c>
      <c r="C8814" s="1" t="str">
        <f>"10000025132"</f>
        <v>10000025132</v>
      </c>
      <c r="D8814" s="1" t="str">
        <f>"10000025132"</f>
        <v>10000025132</v>
      </c>
      <c r="E8814" s="1" t="s">
        <v>4566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</row>
    <row r="8815" spans="1:11" x14ac:dyDescent="0.2">
      <c r="A8815" s="1" t="s">
        <v>3486</v>
      </c>
      <c r="B8815" s="1" t="s">
        <v>3498</v>
      </c>
      <c r="C8815" s="1" t="str">
        <f>"23801-KTC-900JP"</f>
        <v>23801-KTC-900JP</v>
      </c>
      <c r="D8815" s="1" t="str">
        <f>"23801-KTC-900JP"</f>
        <v>23801-KTC-900JP</v>
      </c>
      <c r="E8815" s="1" t="s">
        <v>4566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</row>
    <row r="8816" spans="1:11" x14ac:dyDescent="0.2">
      <c r="A8816" s="1" t="s">
        <v>3486</v>
      </c>
      <c r="B8816" s="1" t="s">
        <v>3499</v>
      </c>
      <c r="C8816" s="1" t="str">
        <f>"66298922048140"</f>
        <v>66298922048140</v>
      </c>
      <c r="D8816" s="1" t="str">
        <f>"23801-KYJ-900HB"</f>
        <v>23801-KYJ-900HB</v>
      </c>
      <c r="E8816" s="1" t="s">
        <v>4566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</row>
    <row r="8817" spans="1:11" x14ac:dyDescent="0.2">
      <c r="A8817" s="1" t="s">
        <v>3486</v>
      </c>
      <c r="B8817" s="1" t="s">
        <v>3500</v>
      </c>
      <c r="C8817" s="1" t="str">
        <f>"N011"</f>
        <v>N011</v>
      </c>
      <c r="D8817" s="1" t="str">
        <f>"N011"</f>
        <v>N011</v>
      </c>
      <c r="E8817" s="1" t="s">
        <v>4566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</row>
    <row r="8818" spans="1:11" x14ac:dyDescent="0.2">
      <c r="A8818" s="1" t="s">
        <v>3486</v>
      </c>
      <c r="B8818" s="1" t="s">
        <v>3500</v>
      </c>
      <c r="C8818" s="1" t="str">
        <f>"10000025002"</f>
        <v>10000025002</v>
      </c>
      <c r="D8818" s="1" t="str">
        <f>"10000025002"</f>
        <v>10000025002</v>
      </c>
      <c r="E8818" s="1" t="s">
        <v>4566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</row>
    <row r="8819" spans="1:11" x14ac:dyDescent="0.2">
      <c r="A8819" s="1" t="s">
        <v>3486</v>
      </c>
      <c r="B8819" s="1" t="s">
        <v>3501</v>
      </c>
      <c r="C8819" s="1" t="str">
        <f>"10000026571"</f>
        <v>10000026571</v>
      </c>
      <c r="D8819" s="1" t="str">
        <f>"10000026571"</f>
        <v>10000026571</v>
      </c>
      <c r="E8819" s="1" t="s">
        <v>4566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</row>
    <row r="8820" spans="1:11" x14ac:dyDescent="0.2">
      <c r="A8820" s="1" t="s">
        <v>3486</v>
      </c>
      <c r="B8820" s="1" t="s">
        <v>3502</v>
      </c>
      <c r="C8820" s="1" t="str">
        <f>"66298922089860"</f>
        <v>66298922089860</v>
      </c>
      <c r="D8820" s="1" t="str">
        <f>"27511-41310JP"</f>
        <v>27511-41310JP</v>
      </c>
      <c r="E8820" s="1" t="s">
        <v>4566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</row>
    <row r="8821" spans="1:11" x14ac:dyDescent="0.2">
      <c r="A8821" s="1" t="s">
        <v>3486</v>
      </c>
      <c r="B8821" s="1" t="s">
        <v>3503</v>
      </c>
      <c r="C8821" s="1" t="str">
        <f>"27511-30H01-000"</f>
        <v>27511-30H01-000</v>
      </c>
      <c r="D8821" s="1" t="str">
        <f>"27511-30H01-000"</f>
        <v>27511-30H01-000</v>
      </c>
      <c r="E8821" s="1" t="s">
        <v>4566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</row>
    <row r="8822" spans="1:11" x14ac:dyDescent="0.2">
      <c r="A8822" s="1" t="s">
        <v>3486</v>
      </c>
      <c r="B8822" s="1" t="s">
        <v>3504</v>
      </c>
      <c r="C8822" s="1" t="str">
        <f>"66298922130555"</f>
        <v>66298922130555</v>
      </c>
      <c r="D8822" s="1" t="str">
        <f>"27510-32C00VA"</f>
        <v>27510-32C00VA</v>
      </c>
      <c r="E8822" s="1" t="s">
        <v>4566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</row>
    <row r="8823" spans="1:11" x14ac:dyDescent="0.2">
      <c r="A8823" s="1" t="s">
        <v>3486</v>
      </c>
      <c r="B8823" s="1" t="s">
        <v>3505</v>
      </c>
      <c r="C8823" s="1" t="str">
        <f>"66298922186677"</f>
        <v>66298922186677</v>
      </c>
      <c r="D8823" s="1" t="str">
        <f>"ZL26"</f>
        <v>ZL26</v>
      </c>
      <c r="E8823" s="1" t="s">
        <v>4566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</row>
    <row r="8824" spans="1:11" x14ac:dyDescent="0.2">
      <c r="A8824" s="1" t="s">
        <v>3486</v>
      </c>
      <c r="B8824" s="1" t="s">
        <v>3506</v>
      </c>
      <c r="C8824" s="1" t="str">
        <f>"66298922248709"</f>
        <v>66298922248709</v>
      </c>
      <c r="D8824" s="1" t="str">
        <f>"DV-1010-48JP"</f>
        <v>DV-1010-48JP</v>
      </c>
      <c r="E8824" s="1" t="s">
        <v>4566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</row>
    <row r="8825" spans="1:11" x14ac:dyDescent="0.2">
      <c r="A8825" s="1" t="s">
        <v>3486</v>
      </c>
      <c r="B8825" s="1" t="s">
        <v>3507</v>
      </c>
      <c r="C8825" s="1" t="str">
        <f>"66298921955086"</f>
        <v>66298921955086</v>
      </c>
      <c r="D8825" s="1" t="str">
        <f>"13518"</f>
        <v>13518</v>
      </c>
      <c r="E8825" s="1" t="s">
        <v>4566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</row>
    <row r="8826" spans="1:11" x14ac:dyDescent="0.2">
      <c r="A8826" s="1" t="s">
        <v>3486</v>
      </c>
      <c r="B8826" s="1" t="s">
        <v>3508</v>
      </c>
      <c r="C8826" s="1" t="str">
        <f>"66298922299727"</f>
        <v>66298922299727</v>
      </c>
      <c r="D8826" s="1" t="str">
        <f>"23801-429-010VA"</f>
        <v>23801-429-010VA</v>
      </c>
      <c r="E8826" s="1" t="s">
        <v>4566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</row>
    <row r="8827" spans="1:11" x14ac:dyDescent="0.2">
      <c r="A8827" s="1" t="s">
        <v>3486</v>
      </c>
      <c r="B8827" s="1" t="s">
        <v>3509</v>
      </c>
      <c r="C8827" s="1" t="str">
        <f>"10000025037"</f>
        <v>10000025037</v>
      </c>
      <c r="D8827" s="1" t="str">
        <f>"10000025037"</f>
        <v>10000025037</v>
      </c>
      <c r="E8827" s="1" t="s">
        <v>4566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</row>
    <row r="8828" spans="1:11" x14ac:dyDescent="0.2">
      <c r="A8828" s="1" t="s">
        <v>3486</v>
      </c>
      <c r="B8828" s="1" t="s">
        <v>3510</v>
      </c>
      <c r="C8828" s="1" t="str">
        <f>"66298922344655"</f>
        <v>66298922344655</v>
      </c>
      <c r="D8828" s="1" t="str">
        <f>"23801-MN1-680VA"</f>
        <v>23801-MN1-680VA</v>
      </c>
      <c r="E8828" s="1" t="s">
        <v>4566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</row>
    <row r="8829" spans="1:11" x14ac:dyDescent="0.2">
      <c r="A8829" s="1" t="s">
        <v>3486</v>
      </c>
      <c r="B8829" s="1" t="s">
        <v>3511</v>
      </c>
      <c r="C8829" s="1" t="str">
        <f>"66298922391182"</f>
        <v>66298922391182</v>
      </c>
      <c r="D8829" s="1" t="str">
        <f>"23801-MBN-670VA"</f>
        <v>23801-MBN-670VA</v>
      </c>
      <c r="E8829" s="1" t="s">
        <v>4566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</row>
    <row r="8830" spans="1:11" x14ac:dyDescent="0.2">
      <c r="A8830" s="1" t="s">
        <v>3486</v>
      </c>
      <c r="B8830" s="1" t="s">
        <v>3513</v>
      </c>
      <c r="C8830" s="1" t="str">
        <f>"10000025111"</f>
        <v>10000025111</v>
      </c>
      <c r="D8830" s="1" t="str">
        <f>"10000025111"</f>
        <v>10000025111</v>
      </c>
      <c r="E8830" s="1" t="s">
        <v>4566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</row>
    <row r="8831" spans="1:11" x14ac:dyDescent="0.2">
      <c r="A8831" s="1" t="s">
        <v>3486</v>
      </c>
      <c r="B8831" s="1" t="s">
        <v>3514</v>
      </c>
      <c r="C8831" s="1" t="str">
        <f>"66298922476935"</f>
        <v>66298922476935</v>
      </c>
      <c r="D8831" s="1" t="str">
        <f>"23801-KY2-000VA"</f>
        <v>23801-KY2-000VA</v>
      </c>
      <c r="E8831" s="1" t="s">
        <v>4566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</row>
    <row r="8832" spans="1:11" ht="30" x14ac:dyDescent="0.2">
      <c r="A8832" s="1" t="s">
        <v>3486</v>
      </c>
      <c r="B8832" s="1" t="s">
        <v>3515</v>
      </c>
      <c r="C8832" s="1" t="str">
        <f>"JTF1381.15RB"</f>
        <v>JTF1381.15RB</v>
      </c>
      <c r="D8832" s="1" t="str">
        <f>"JTF1381.15RB"</f>
        <v>JTF1381.15RB</v>
      </c>
      <c r="E8832" s="1" t="s">
        <v>4566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</row>
    <row r="8833" spans="1:11" x14ac:dyDescent="0.2">
      <c r="A8833" s="1" t="s">
        <v>3486</v>
      </c>
      <c r="B8833" s="1" t="s">
        <v>3516</v>
      </c>
      <c r="C8833" s="1" t="str">
        <f>"83380"</f>
        <v>83380</v>
      </c>
      <c r="D8833" s="1" t="str">
        <f>"83380"</f>
        <v>83380</v>
      </c>
      <c r="E8833" s="1" t="s">
        <v>4566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</row>
    <row r="8834" spans="1:11" x14ac:dyDescent="0.2">
      <c r="A8834" s="1" t="s">
        <v>3486</v>
      </c>
      <c r="B8834" s="1" t="s">
        <v>3516</v>
      </c>
      <c r="C8834" s="1" t="str">
        <f>"10000025003"</f>
        <v>10000025003</v>
      </c>
      <c r="D8834" s="1" t="str">
        <f>"10000025003"</f>
        <v>10000025003</v>
      </c>
      <c r="E8834" s="1" t="s">
        <v>4566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</row>
    <row r="8835" spans="1:11" x14ac:dyDescent="0.2">
      <c r="A8835" s="1" t="s">
        <v>3486</v>
      </c>
      <c r="B8835" s="1" t="s">
        <v>3517</v>
      </c>
      <c r="C8835" s="1" t="str">
        <f>"66298922515882"</f>
        <v>66298922515882</v>
      </c>
      <c r="D8835" s="1" t="str">
        <f>"27510-42A10JP"</f>
        <v>27510-42A10JP</v>
      </c>
      <c r="E8835" s="1" t="s">
        <v>4566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</row>
    <row r="8836" spans="1:11" x14ac:dyDescent="0.2">
      <c r="A8836" s="1" t="s">
        <v>3486</v>
      </c>
      <c r="B8836" s="1" t="s">
        <v>3518</v>
      </c>
      <c r="C8836" s="1" t="str">
        <f>"10000033106"</f>
        <v>10000033106</v>
      </c>
      <c r="D8836" s="1" t="str">
        <f>"10000033106"</f>
        <v>10000033106</v>
      </c>
      <c r="E8836" s="1" t="s">
        <v>4566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</row>
    <row r="8837" spans="1:11" x14ac:dyDescent="0.2">
      <c r="A8837" s="1" t="s">
        <v>3486</v>
      </c>
      <c r="B8837" s="1" t="s">
        <v>3519</v>
      </c>
      <c r="C8837" s="1" t="str">
        <f>"10000026548"</f>
        <v>10000026548</v>
      </c>
      <c r="D8837" s="1" t="str">
        <f>"10000026548"</f>
        <v>10000026548</v>
      </c>
      <c r="E8837" s="1" t="s">
        <v>4566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</row>
    <row r="8838" spans="1:11" x14ac:dyDescent="0.2">
      <c r="A8838" s="1" t="s">
        <v>3486</v>
      </c>
      <c r="B8838" s="1" t="s">
        <v>3520</v>
      </c>
      <c r="C8838" s="1" t="str">
        <f>"66298922558492"</f>
        <v>66298922558492</v>
      </c>
      <c r="D8838" s="1" t="str">
        <f>"27511-41315JP"</f>
        <v>27511-41315JP</v>
      </c>
      <c r="E8838" s="1" t="s">
        <v>4566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</row>
    <row r="8839" spans="1:11" x14ac:dyDescent="0.2">
      <c r="A8839" s="1" t="s">
        <v>3486</v>
      </c>
      <c r="B8839" s="1" t="s">
        <v>3521</v>
      </c>
      <c r="C8839" s="1" t="str">
        <f>"10000028042"</f>
        <v>10000028042</v>
      </c>
      <c r="D8839" s="1" t="str">
        <f>"10000028042"</f>
        <v>10000028042</v>
      </c>
      <c r="E8839" s="1" t="s">
        <v>4566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</row>
    <row r="8840" spans="1:11" x14ac:dyDescent="0.2">
      <c r="A8840" s="1" t="s">
        <v>3486</v>
      </c>
      <c r="B8840" s="1" t="s">
        <v>3522</v>
      </c>
      <c r="C8840" s="1" t="str">
        <f>"13144-1122VA"</f>
        <v>13144-1122VA</v>
      </c>
      <c r="D8840" s="1" t="str">
        <f>"13144-1122VA"</f>
        <v>13144-1122VA</v>
      </c>
      <c r="E8840" s="1" t="s">
        <v>4566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</row>
    <row r="8841" spans="1:11" x14ac:dyDescent="0.2">
      <c r="A8841" s="1" t="s">
        <v>3486</v>
      </c>
      <c r="B8841" s="1" t="s">
        <v>3523</v>
      </c>
      <c r="C8841" s="1" t="str">
        <f>"EMHJ52034"</f>
        <v>EMHJ52034</v>
      </c>
      <c r="D8841" s="1" t="str">
        <f>"EMHJ52034"</f>
        <v>EMHJ52034</v>
      </c>
      <c r="E8841" s="1" t="s">
        <v>4566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</row>
    <row r="8842" spans="1:11" x14ac:dyDescent="0.2">
      <c r="A8842" s="1" t="s">
        <v>3486</v>
      </c>
      <c r="B8842" s="1" t="s">
        <v>3525</v>
      </c>
      <c r="C8842" s="1" t="str">
        <f>"66298922642818"</f>
        <v>66298922642818</v>
      </c>
      <c r="D8842" s="1" t="str">
        <f>"23801-ML0-730VA"</f>
        <v>23801-ML0-730VA</v>
      </c>
      <c r="E8842" s="1" t="s">
        <v>4566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</row>
    <row r="8843" spans="1:11" x14ac:dyDescent="0.2">
      <c r="A8843" s="1" t="s">
        <v>3486</v>
      </c>
      <c r="B8843" s="1" t="s">
        <v>3526</v>
      </c>
      <c r="C8843" s="1" t="str">
        <f>"66298922684293"</f>
        <v>66298922684293</v>
      </c>
      <c r="D8843" s="1" t="str">
        <f>"23801-MN9-000VA"</f>
        <v>23801-MN9-000VA</v>
      </c>
      <c r="E8843" s="1" t="s">
        <v>4566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</row>
    <row r="8844" spans="1:11" x14ac:dyDescent="0.2">
      <c r="A8844" s="1" t="s">
        <v>3486</v>
      </c>
      <c r="B8844" s="1" t="s">
        <v>3527</v>
      </c>
      <c r="C8844" s="1" t="str">
        <f>"66298922724444"</f>
        <v>66298922724444</v>
      </c>
      <c r="D8844" s="1" t="str">
        <f>"5VK-E7460-10JP"</f>
        <v>5VK-E7460-10JP</v>
      </c>
      <c r="E8844" s="1" t="s">
        <v>4566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</row>
    <row r="8845" spans="1:11" x14ac:dyDescent="0.2">
      <c r="A8845" s="1" t="s">
        <v>3486</v>
      </c>
      <c r="B8845" s="1" t="s">
        <v>3529</v>
      </c>
      <c r="C8845" s="1" t="str">
        <f>"66298922769187"</f>
        <v>66298922769187</v>
      </c>
      <c r="D8845" s="1" t="str">
        <f>"5XT-17460-00JP"</f>
        <v>5XT-17460-00JP</v>
      </c>
      <c r="E8845" s="1" t="s">
        <v>4566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</row>
    <row r="8846" spans="1:11" x14ac:dyDescent="0.2">
      <c r="A8846" s="1" t="s">
        <v>3486</v>
      </c>
      <c r="B8846" s="1" t="s">
        <v>3530</v>
      </c>
      <c r="C8846" s="1" t="str">
        <f>"JTF1591.16RB"</f>
        <v>JTF1591.16RB</v>
      </c>
      <c r="D8846" s="1" t="str">
        <f>"JTF1591.16RB"</f>
        <v>JTF1591.16RB</v>
      </c>
      <c r="E8846" s="1" t="s">
        <v>4566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</row>
    <row r="8847" spans="1:11" x14ac:dyDescent="0.2">
      <c r="A8847" s="1" t="s">
        <v>3486</v>
      </c>
      <c r="B8847" s="1" t="s">
        <v>3531</v>
      </c>
      <c r="C8847" s="1" t="str">
        <f>"66298922849331"</f>
        <v>66298922849331</v>
      </c>
      <c r="D8847" s="1" t="str">
        <f>"400060"</f>
        <v>400060</v>
      </c>
      <c r="E8847" s="1" t="s">
        <v>4566</v>
      </c>
      <c r="F8847" s="1">
        <v>168</v>
      </c>
      <c r="G8847" s="1">
        <v>504</v>
      </c>
      <c r="H8847" s="1">
        <v>84672</v>
      </c>
      <c r="I8847" s="1">
        <v>0</v>
      </c>
      <c r="J8847" s="1">
        <v>168</v>
      </c>
      <c r="K8847" s="1">
        <v>0</v>
      </c>
    </row>
    <row r="8848" spans="1:11" x14ac:dyDescent="0.2">
      <c r="A8848" s="1" t="s">
        <v>3486</v>
      </c>
      <c r="B8848" s="1" t="s">
        <v>3532</v>
      </c>
      <c r="C8848" s="1" t="str">
        <f>"66298922892773"</f>
        <v>66298922892773</v>
      </c>
      <c r="D8848" s="1" t="str">
        <f>"27511-01D01JP"</f>
        <v>27511-01D01JP</v>
      </c>
      <c r="E8848" s="1" t="s">
        <v>4566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</row>
    <row r="8849" spans="1:11" x14ac:dyDescent="0.2">
      <c r="A8849" s="1" t="s">
        <v>3486</v>
      </c>
      <c r="B8849" s="1" t="s">
        <v>3533</v>
      </c>
      <c r="C8849" s="1" t="str">
        <f>"66298922936710"</f>
        <v>66298922936710</v>
      </c>
      <c r="D8849" s="1" t="str">
        <f>"27511-04706"</f>
        <v>27511-04706</v>
      </c>
      <c r="E8849" s="1" t="s">
        <v>4566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</row>
    <row r="8850" spans="1:11" x14ac:dyDescent="0.2">
      <c r="A8850" s="1" t="s">
        <v>3486</v>
      </c>
      <c r="B8850" s="1" t="s">
        <v>3534</v>
      </c>
      <c r="C8850" s="1" t="str">
        <f>"1000025122"</f>
        <v>1000025122</v>
      </c>
      <c r="D8850" s="1" t="str">
        <f>"10000025122"</f>
        <v>10000025122</v>
      </c>
      <c r="E8850" s="1" t="s">
        <v>4566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</row>
    <row r="8851" spans="1:11" x14ac:dyDescent="0.2">
      <c r="A8851" s="1" t="s">
        <v>3486</v>
      </c>
      <c r="B8851" s="1" t="s">
        <v>3535</v>
      </c>
      <c r="C8851" s="1" t="str">
        <f>"66298922978981"</f>
        <v>66298922978981</v>
      </c>
      <c r="D8851" s="1" t="str">
        <f>"3LD-17460-00VA"</f>
        <v>3LD-17460-00VA</v>
      </c>
      <c r="E8851" s="1" t="s">
        <v>4566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</row>
    <row r="8852" spans="1:11" x14ac:dyDescent="0.2">
      <c r="A8852" s="1" t="s">
        <v>3486</v>
      </c>
      <c r="B8852" s="1" t="s">
        <v>3536</v>
      </c>
      <c r="C8852" s="1" t="str">
        <f>"66298923020298"</f>
        <v>66298923020298</v>
      </c>
      <c r="D8852" s="1" t="str">
        <f>"29080"</f>
        <v>29080</v>
      </c>
      <c r="E8852" s="1" t="s">
        <v>4566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</row>
    <row r="8853" spans="1:11" x14ac:dyDescent="0.2">
      <c r="A8853" s="1" t="s">
        <v>3486</v>
      </c>
      <c r="B8853" s="1" t="s">
        <v>3538</v>
      </c>
      <c r="C8853" s="1" t="str">
        <f>"10000025005"</f>
        <v>10000025005</v>
      </c>
      <c r="D8853" s="1" t="str">
        <f>"10000025005"</f>
        <v>10000025005</v>
      </c>
      <c r="E8853" s="1" t="s">
        <v>4566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</row>
    <row r="8854" spans="1:11" ht="30" x14ac:dyDescent="0.2">
      <c r="A8854" s="1" t="s">
        <v>3486</v>
      </c>
      <c r="B8854" s="1" t="s">
        <v>3539</v>
      </c>
      <c r="C8854" s="1" t="str">
        <f>"66298923100931"</f>
        <v>66298923100931</v>
      </c>
      <c r="D8854" s="1" t="str">
        <f>"23801-KRH-000"</f>
        <v>23801-KRH-000</v>
      </c>
      <c r="E8854" s="1" t="s">
        <v>4566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</row>
    <row r="8855" spans="1:11" x14ac:dyDescent="0.2">
      <c r="A8855" s="1" t="s">
        <v>3486</v>
      </c>
      <c r="B8855" s="1" t="s">
        <v>3540</v>
      </c>
      <c r="C8855" s="1" t="str">
        <f>"66298923144054"</f>
        <v>66298923144054</v>
      </c>
      <c r="D8855" s="1" t="str">
        <f>"81010"</f>
        <v>81010</v>
      </c>
      <c r="E8855" s="1" t="s">
        <v>4566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</row>
    <row r="8856" spans="1:11" x14ac:dyDescent="0.2">
      <c r="A8856" s="1" t="s">
        <v>3486</v>
      </c>
      <c r="B8856" s="1" t="s">
        <v>3541</v>
      </c>
      <c r="C8856" s="1" t="str">
        <f>"66298923184773"</f>
        <v>66298923184773</v>
      </c>
      <c r="D8856" s="1" t="str">
        <f>"01838"</f>
        <v>01838</v>
      </c>
      <c r="E8856" s="1" t="s">
        <v>4566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</row>
    <row r="8857" spans="1:11" x14ac:dyDescent="0.2">
      <c r="A8857" s="1" t="s">
        <v>3486</v>
      </c>
      <c r="B8857" s="1" t="s">
        <v>3542</v>
      </c>
      <c r="C8857" s="1" t="str">
        <f>"66298923227603"</f>
        <v>66298923227603</v>
      </c>
      <c r="D8857" s="1" t="str">
        <f>"81014"</f>
        <v>81014</v>
      </c>
      <c r="E8857" s="1" t="s">
        <v>4566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</row>
    <row r="8858" spans="1:11" x14ac:dyDescent="0.2">
      <c r="A8858" s="1" t="s">
        <v>3486</v>
      </c>
      <c r="B8858" s="1" t="s">
        <v>3543</v>
      </c>
      <c r="C8858" s="1" t="str">
        <f>"66298923266127"</f>
        <v>66298923266127</v>
      </c>
      <c r="D8858" s="1" t="str">
        <f>"CH002"</f>
        <v>CH002</v>
      </c>
      <c r="E8858" s="1" t="s">
        <v>4566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</row>
    <row r="8859" spans="1:11" x14ac:dyDescent="0.2">
      <c r="A8859" s="1" t="s">
        <v>3486</v>
      </c>
      <c r="B8859" s="1" t="s">
        <v>3544</v>
      </c>
      <c r="C8859" s="1" t="str">
        <f>"66298923306528"</f>
        <v>66298923306528</v>
      </c>
      <c r="D8859" s="1" t="str">
        <f>"5YY-E2176-00JP"</f>
        <v>5YY-E2176-00JP</v>
      </c>
      <c r="E8859" s="1" t="s">
        <v>4566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</row>
    <row r="8860" spans="1:11" x14ac:dyDescent="0.2">
      <c r="A8860" s="1" t="s">
        <v>3486</v>
      </c>
      <c r="B8860" s="1" t="s">
        <v>3545</v>
      </c>
      <c r="C8860" s="1" t="str">
        <f>"66298923347310"</f>
        <v>66298923347310</v>
      </c>
      <c r="D8860" s="1" t="str">
        <f>"400696"</f>
        <v>400696</v>
      </c>
      <c r="E8860" s="1" t="s">
        <v>4566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</row>
    <row r="8861" spans="1:11" x14ac:dyDescent="0.2">
      <c r="A8861" s="1" t="s">
        <v>3486</v>
      </c>
      <c r="B8861" s="1" t="s">
        <v>3546</v>
      </c>
      <c r="C8861" s="1" t="str">
        <f>"66298923396161"</f>
        <v>66298923396161</v>
      </c>
      <c r="D8861" s="1" t="str">
        <f>"CQ003"</f>
        <v>CQ003</v>
      </c>
      <c r="E8861" s="1" t="s">
        <v>4566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</row>
    <row r="8862" spans="1:11" x14ac:dyDescent="0.2">
      <c r="A8862" s="1" t="s">
        <v>3486</v>
      </c>
      <c r="B8862" s="1" t="s">
        <v>3547</v>
      </c>
      <c r="C8862" s="1" t="str">
        <f>"66298923437621"</f>
        <v>66298923437621</v>
      </c>
      <c r="D8862" s="1" t="str">
        <f>"JL1257-E10-12"</f>
        <v>JL1257-E10-12</v>
      </c>
      <c r="E8862" s="1" t="s">
        <v>4566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</row>
    <row r="8863" spans="1:11" x14ac:dyDescent="0.2">
      <c r="A8863" s="1" t="s">
        <v>3486</v>
      </c>
      <c r="B8863" s="1" t="s">
        <v>3548</v>
      </c>
      <c r="C8863" s="1" t="str">
        <f>"66298923478951"</f>
        <v>66298923478951</v>
      </c>
      <c r="D8863" s="1" t="str">
        <f>"11502"</f>
        <v>11502</v>
      </c>
      <c r="E8863" s="1" t="s">
        <v>4566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</row>
    <row r="8864" spans="1:11" x14ac:dyDescent="0.2">
      <c r="A8864" s="1" t="s">
        <v>3486</v>
      </c>
      <c r="B8864" s="1" t="s">
        <v>3549</v>
      </c>
      <c r="C8864" s="1" t="str">
        <f>"66298923516288"</f>
        <v>66298923516288</v>
      </c>
      <c r="D8864" s="1" t="str">
        <f>"11503"</f>
        <v>11503</v>
      </c>
      <c r="E8864" s="1" t="s">
        <v>4566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</row>
    <row r="8865" spans="1:11" x14ac:dyDescent="0.2">
      <c r="A8865" s="1" t="s">
        <v>3486</v>
      </c>
      <c r="B8865" s="1" t="s">
        <v>3550</v>
      </c>
      <c r="C8865" s="1" t="str">
        <f>"66298923552672"</f>
        <v>66298923552672</v>
      </c>
      <c r="D8865" s="1" t="str">
        <f>"E13020002"</f>
        <v>E13020002</v>
      </c>
      <c r="E8865" s="1" t="s">
        <v>4566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</row>
    <row r="8866" spans="1:11" x14ac:dyDescent="0.2">
      <c r="A8866" s="1" t="s">
        <v>3486</v>
      </c>
      <c r="B8866" s="1" t="s">
        <v>3551</v>
      </c>
      <c r="C8866" s="1" t="str">
        <f>"66298923590659"</f>
        <v>66298923590659</v>
      </c>
      <c r="D8866" s="1" t="str">
        <f>"81016"</f>
        <v>81016</v>
      </c>
      <c r="E8866" s="1" t="s">
        <v>4566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</row>
    <row r="8867" spans="1:11" x14ac:dyDescent="0.2">
      <c r="A8867" s="1" t="s">
        <v>3486</v>
      </c>
      <c r="B8867" s="1" t="s">
        <v>3552</v>
      </c>
      <c r="C8867" s="1" t="str">
        <f>"66298923628543"</f>
        <v>66298923628543</v>
      </c>
      <c r="D8867" s="1" t="str">
        <f>"81011"</f>
        <v>81011</v>
      </c>
      <c r="E8867" s="1" t="s">
        <v>4566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</row>
    <row r="8868" spans="1:11" ht="30" x14ac:dyDescent="0.2">
      <c r="A8868" s="1" t="s">
        <v>3486</v>
      </c>
      <c r="B8868" s="1" t="s">
        <v>3553</v>
      </c>
      <c r="C8868" s="1" t="str">
        <f>"66298923667756"</f>
        <v>66298923667756</v>
      </c>
      <c r="D8868" s="1" t="str">
        <f>"84088"</f>
        <v>84088</v>
      </c>
      <c r="E8868" s="1" t="s">
        <v>4566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</row>
    <row r="8869" spans="1:11" x14ac:dyDescent="0.2">
      <c r="A8869" s="1" t="s">
        <v>3486</v>
      </c>
      <c r="B8869" s="1" t="s">
        <v>3554</v>
      </c>
      <c r="C8869" s="1" t="str">
        <f>"66298923708019"</f>
        <v>66298923708019</v>
      </c>
      <c r="D8869" s="1" t="str">
        <f>"81015"</f>
        <v>81015</v>
      </c>
      <c r="E8869" s="1" t="s">
        <v>4566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</row>
    <row r="8870" spans="1:11" x14ac:dyDescent="0.2">
      <c r="A8870" s="1" t="s">
        <v>3486</v>
      </c>
      <c r="B8870" s="1" t="s">
        <v>3555</v>
      </c>
      <c r="C8870" s="1" t="str">
        <f>"66298923751440"</f>
        <v>66298923751440</v>
      </c>
      <c r="D8870" s="1" t="str">
        <f>"81008"</f>
        <v>81008</v>
      </c>
      <c r="E8870" s="1" t="s">
        <v>4566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</row>
    <row r="8871" spans="1:11" x14ac:dyDescent="0.2">
      <c r="A8871" s="1" t="s">
        <v>3486</v>
      </c>
      <c r="B8871" s="1" t="s">
        <v>3556</v>
      </c>
      <c r="C8871" s="1" t="str">
        <f>"66298923792298"</f>
        <v>66298923792298</v>
      </c>
      <c r="D8871" s="1" t="str">
        <f>"81012"</f>
        <v>81012</v>
      </c>
      <c r="E8871" s="1" t="s">
        <v>4566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</row>
    <row r="8872" spans="1:11" x14ac:dyDescent="0.2">
      <c r="A8872" s="1" t="s">
        <v>3486</v>
      </c>
      <c r="B8872" s="1" t="s">
        <v>3557</v>
      </c>
      <c r="C8872" s="1" t="str">
        <f>"66298923831546"</f>
        <v>66298923831546</v>
      </c>
      <c r="D8872" s="1" t="str">
        <f>"BA002"</f>
        <v>BA002</v>
      </c>
      <c r="E8872" s="1" t="s">
        <v>4566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</row>
    <row r="8873" spans="1:11" x14ac:dyDescent="0.2">
      <c r="A8873" s="1" t="s">
        <v>3486</v>
      </c>
      <c r="B8873" s="1" t="s">
        <v>3558</v>
      </c>
      <c r="C8873" s="1" t="str">
        <f>"66298923869004"</f>
        <v>66298923869004</v>
      </c>
      <c r="D8873" s="1" t="str">
        <f>"BA010"</f>
        <v>BA010</v>
      </c>
      <c r="E8873" s="1" t="s">
        <v>4566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</row>
    <row r="8874" spans="1:11" x14ac:dyDescent="0.2">
      <c r="A8874" s="1" t="s">
        <v>3486</v>
      </c>
      <c r="B8874" s="1" t="s">
        <v>3559</v>
      </c>
      <c r="C8874" s="1" t="str">
        <f>"66298923910140"</f>
        <v>66298923910140</v>
      </c>
      <c r="D8874" s="1" t="str">
        <f>"BA004"</f>
        <v>BA004</v>
      </c>
      <c r="E8874" s="1" t="s">
        <v>4566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</row>
    <row r="8875" spans="1:11" x14ac:dyDescent="0.2">
      <c r="A8875" s="1" t="s">
        <v>3486</v>
      </c>
      <c r="B8875" s="1" t="s">
        <v>3560</v>
      </c>
      <c r="C8875" s="1" t="str">
        <f>"66298923949339"</f>
        <v>66298923949339</v>
      </c>
      <c r="D8875" s="1" t="str">
        <f>"BA001"</f>
        <v>BA001</v>
      </c>
      <c r="E8875" s="1" t="s">
        <v>4566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</row>
    <row r="8876" spans="1:11" x14ac:dyDescent="0.2">
      <c r="A8876" s="1" t="s">
        <v>3486</v>
      </c>
      <c r="B8876" s="1" t="s">
        <v>3561</v>
      </c>
      <c r="C8876" s="1" t="str">
        <f>"66298923989658"</f>
        <v>66298923989658</v>
      </c>
      <c r="D8876" s="1" t="str">
        <f>"JL200GY2-F7-SET"</f>
        <v>JL200GY2-F7-SET</v>
      </c>
      <c r="E8876" s="1" t="s">
        <v>4566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</row>
    <row r="8877" spans="1:11" x14ac:dyDescent="0.2">
      <c r="A8877" s="1" t="s">
        <v>3486</v>
      </c>
      <c r="B8877" s="1" t="s">
        <v>3562</v>
      </c>
      <c r="C8877" s="1" t="str">
        <f>"66298924036428"</f>
        <v>66298924036428</v>
      </c>
      <c r="D8877" s="1" t="str">
        <f>"49CC52"</f>
        <v>49CC52</v>
      </c>
      <c r="E8877" s="1" t="s">
        <v>4566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</row>
    <row r="8878" spans="1:11" x14ac:dyDescent="0.2">
      <c r="A8878" s="1" t="s">
        <v>3486</v>
      </c>
      <c r="B8878" s="1" t="s">
        <v>3563</v>
      </c>
      <c r="C8878" s="1" t="str">
        <f>"11876"</f>
        <v>11876</v>
      </c>
      <c r="D8878" s="1" t="str">
        <f>"11876"</f>
        <v>11876</v>
      </c>
      <c r="E8878" s="1" t="s">
        <v>4566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</row>
    <row r="8879" spans="1:11" x14ac:dyDescent="0.2">
      <c r="A8879" s="1" t="s">
        <v>3486</v>
      </c>
      <c r="B8879" s="1" t="s">
        <v>3564</v>
      </c>
      <c r="C8879" s="1" t="str">
        <f>"66298924083859"</f>
        <v>66298924083859</v>
      </c>
      <c r="D8879" s="1" t="str">
        <f>"BA003"</f>
        <v>BA003</v>
      </c>
      <c r="E8879" s="1" t="s">
        <v>4566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</row>
    <row r="8880" spans="1:11" x14ac:dyDescent="0.2">
      <c r="A8880" s="1" t="s">
        <v>3486</v>
      </c>
      <c r="B8880" s="1" t="s">
        <v>3564</v>
      </c>
      <c r="C8880" s="1" t="str">
        <f>"66298924123803"</f>
        <v>66298924123803</v>
      </c>
      <c r="D8880" s="1" t="str">
        <f>"BA009"</f>
        <v>BA009</v>
      </c>
      <c r="E8880" s="1" t="s">
        <v>4566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</row>
    <row r="8881" spans="1:11" x14ac:dyDescent="0.2">
      <c r="A8881" s="1" t="s">
        <v>3486</v>
      </c>
      <c r="B8881" s="1" t="s">
        <v>3565</v>
      </c>
      <c r="C8881" s="1" t="str">
        <f>"66298924167524"</f>
        <v>66298924167524</v>
      </c>
      <c r="D8881" s="1" t="str">
        <f>"85068"</f>
        <v>85068</v>
      </c>
      <c r="E8881" s="1" t="s">
        <v>4566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</row>
    <row r="8882" spans="1:11" x14ac:dyDescent="0.2">
      <c r="A8882" s="1" t="s">
        <v>3486</v>
      </c>
      <c r="B8882" s="1" t="s">
        <v>3566</v>
      </c>
      <c r="C8882" s="1" t="str">
        <f>"66298924205575"</f>
        <v>66298924205575</v>
      </c>
      <c r="D8882" s="1" t="str">
        <f>"BA006"</f>
        <v>BA006</v>
      </c>
      <c r="E8882" s="1" t="s">
        <v>4566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</row>
    <row r="8883" spans="1:11" x14ac:dyDescent="0.2">
      <c r="A8883" s="1" t="s">
        <v>3486</v>
      </c>
      <c r="B8883" s="1" t="s">
        <v>3567</v>
      </c>
      <c r="C8883" s="1" t="str">
        <f>"66298924247598"</f>
        <v>66298924247598</v>
      </c>
      <c r="D8883" s="1" t="str">
        <f>"BA008"</f>
        <v>BA008</v>
      </c>
      <c r="E8883" s="1" t="s">
        <v>4566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</row>
    <row r="8884" spans="1:11" x14ac:dyDescent="0.2">
      <c r="A8884" s="1" t="s">
        <v>3486</v>
      </c>
      <c r="B8884" s="1" t="s">
        <v>3568</v>
      </c>
      <c r="C8884" s="1" t="str">
        <f>"66298924286334"</f>
        <v>66298924286334</v>
      </c>
      <c r="D8884" s="1" t="str">
        <f>"PP-30120-001JP"</f>
        <v>PP-30120-001JP</v>
      </c>
      <c r="E8884" s="1" t="s">
        <v>4566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</row>
    <row r="8885" spans="1:11" x14ac:dyDescent="0.2">
      <c r="A8885" s="1" t="s">
        <v>3486</v>
      </c>
      <c r="B8885" s="1" t="s">
        <v>3569</v>
      </c>
      <c r="C8885" s="1" t="str">
        <f>"66298924331946"</f>
        <v>66298924331946</v>
      </c>
      <c r="D8885" s="1" t="str">
        <f>"337"</f>
        <v>337</v>
      </c>
      <c r="E8885" s="1" t="s">
        <v>4566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</row>
    <row r="8886" spans="1:11" x14ac:dyDescent="0.2">
      <c r="A8886" s="1" t="s">
        <v>3486</v>
      </c>
      <c r="B8886" s="1" t="s">
        <v>3569</v>
      </c>
      <c r="C8886" s="1" t="str">
        <f>"66298924338407"</f>
        <v>66298924338407</v>
      </c>
      <c r="D8886" s="1" t="str">
        <f>"DE005"</f>
        <v>DE005</v>
      </c>
      <c r="E8886" s="1" t="s">
        <v>4566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</row>
    <row r="8887" spans="1:11" x14ac:dyDescent="0.2">
      <c r="A8887" s="1" t="s">
        <v>3486</v>
      </c>
      <c r="B8887" s="1" t="s">
        <v>3569</v>
      </c>
      <c r="C8887" s="1" t="str">
        <f>"66298924391545"</f>
        <v>66298924391545</v>
      </c>
      <c r="D8887" s="1" t="str">
        <f>"B079"</f>
        <v>B079</v>
      </c>
      <c r="E8887" s="1" t="s">
        <v>4566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</row>
    <row r="8888" spans="1:11" ht="30" x14ac:dyDescent="0.2">
      <c r="A8888" s="1" t="s">
        <v>3486</v>
      </c>
      <c r="B8888" s="1" t="s">
        <v>3570</v>
      </c>
      <c r="C8888" s="1" t="str">
        <f>"66298924432504"</f>
        <v>66298924432504</v>
      </c>
      <c r="D8888" s="1" t="str">
        <f>"401007"</f>
        <v>401007</v>
      </c>
      <c r="E8888" s="1" t="s">
        <v>4566</v>
      </c>
      <c r="F8888" s="1">
        <v>55</v>
      </c>
      <c r="G8888" s="1">
        <v>4081</v>
      </c>
      <c r="H8888" s="1">
        <v>224455</v>
      </c>
      <c r="I8888" s="1">
        <v>0</v>
      </c>
      <c r="J8888" s="1">
        <v>55</v>
      </c>
      <c r="K8888" s="1">
        <v>0</v>
      </c>
    </row>
    <row r="8889" spans="1:11" x14ac:dyDescent="0.2">
      <c r="A8889" s="1" t="s">
        <v>3486</v>
      </c>
      <c r="B8889" s="1" t="s">
        <v>3571</v>
      </c>
      <c r="C8889" s="1" t="str">
        <f>"66298924474273"</f>
        <v>66298924474273</v>
      </c>
      <c r="D8889" s="1" t="str">
        <f>"14100-KGA-900JP"</f>
        <v>14100-KGA-900JP</v>
      </c>
      <c r="E8889" s="1" t="s">
        <v>4566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</row>
    <row r="8890" spans="1:11" x14ac:dyDescent="0.2">
      <c r="A8890" s="1" t="s">
        <v>3486</v>
      </c>
      <c r="B8890" s="1" t="s">
        <v>3572</v>
      </c>
      <c r="C8890" s="1" t="str">
        <f>"66298924535319"</f>
        <v>66298924535319</v>
      </c>
      <c r="D8890" s="1" t="str">
        <f>"CQ001"</f>
        <v>CQ001</v>
      </c>
      <c r="E8890" s="1" t="s">
        <v>4566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</row>
    <row r="8891" spans="1:11" x14ac:dyDescent="0.2">
      <c r="A8891" s="1" t="s">
        <v>3486</v>
      </c>
      <c r="B8891" s="1" t="s">
        <v>3573</v>
      </c>
      <c r="C8891" s="1" t="str">
        <f>"66298924593135"</f>
        <v>66298924593135</v>
      </c>
      <c r="D8891" s="1" t="str">
        <f>"B101"</f>
        <v>B101</v>
      </c>
      <c r="E8891" s="1" t="s">
        <v>4566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</row>
    <row r="8892" spans="1:11" x14ac:dyDescent="0.2">
      <c r="A8892" s="1" t="s">
        <v>98</v>
      </c>
      <c r="B8892" s="1" t="s">
        <v>3574</v>
      </c>
      <c r="C8892" s="1" t="str">
        <f>"66298921632359"</f>
        <v>66298921632359</v>
      </c>
      <c r="D8892" s="1" t="str">
        <f>"H095"</f>
        <v>H095</v>
      </c>
      <c r="E8892" s="1" t="s">
        <v>4566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</row>
    <row r="8893" spans="1:11" x14ac:dyDescent="0.2">
      <c r="A8893" s="1" t="s">
        <v>98</v>
      </c>
      <c r="B8893" s="1" t="s">
        <v>3575</v>
      </c>
      <c r="C8893" s="1" t="str">
        <f>"66298921672677"</f>
        <v>66298921672677</v>
      </c>
      <c r="D8893" s="1" t="str">
        <f>"H094"</f>
        <v>H094</v>
      </c>
      <c r="E8893" s="1" t="s">
        <v>4566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</row>
    <row r="8894" spans="1:11" x14ac:dyDescent="0.2">
      <c r="A8894" s="1" t="s">
        <v>3576</v>
      </c>
      <c r="B8894" s="1" t="s">
        <v>3577</v>
      </c>
      <c r="C8894" s="1" t="str">
        <f>"66298924633993"</f>
        <v>66298924633993</v>
      </c>
      <c r="D8894" s="1" t="str">
        <f>"81989"</f>
        <v>81989</v>
      </c>
      <c r="E8894" s="1" t="s">
        <v>4566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</row>
    <row r="8895" spans="1:11" x14ac:dyDescent="0.2">
      <c r="A8895" s="1" t="s">
        <v>3576</v>
      </c>
      <c r="B8895" s="1" t="s">
        <v>3578</v>
      </c>
      <c r="C8895" s="1" t="str">
        <f>"66298924671714"</f>
        <v>66298924671714</v>
      </c>
      <c r="D8895" s="1" t="str">
        <f>"DK101328"</f>
        <v>DK101328</v>
      </c>
      <c r="E8895" s="1" t="s">
        <v>4566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</row>
    <row r="8896" spans="1:11" x14ac:dyDescent="0.2">
      <c r="A8896" s="1" t="s">
        <v>3576</v>
      </c>
      <c r="B8896" s="1" t="s">
        <v>3579</v>
      </c>
      <c r="C8896" s="1" t="str">
        <f>"66298924711717"</f>
        <v>66298924711717</v>
      </c>
      <c r="D8896" s="1" t="str">
        <f>"DB011"</f>
        <v>DB011</v>
      </c>
      <c r="E8896" s="1" t="s">
        <v>4566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</row>
    <row r="8897" spans="1:11" x14ac:dyDescent="0.2">
      <c r="A8897" s="1" t="s">
        <v>3576</v>
      </c>
      <c r="B8897" s="1" t="s">
        <v>3580</v>
      </c>
      <c r="C8897" s="1" t="str">
        <f>"66298924750314"</f>
        <v>66298924750314</v>
      </c>
      <c r="D8897" s="1" t="str">
        <f>"DB012"</f>
        <v>DB012</v>
      </c>
      <c r="E8897" s="1" t="s">
        <v>4566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</row>
    <row r="8898" spans="1:11" x14ac:dyDescent="0.2">
      <c r="A8898" s="1" t="s">
        <v>3576</v>
      </c>
      <c r="B8898" s="1" t="s">
        <v>3581</v>
      </c>
      <c r="C8898" s="1" t="str">
        <f>"66298924788091"</f>
        <v>66298924788091</v>
      </c>
      <c r="D8898" s="1" t="str">
        <f>"KXN-30206-SJP"</f>
        <v>KXN-30206-SJP</v>
      </c>
      <c r="E8898" s="1" t="s">
        <v>4566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</row>
    <row r="8899" spans="1:11" x14ac:dyDescent="0.2">
      <c r="A8899" s="1" t="s">
        <v>3576</v>
      </c>
      <c r="B8899" s="1" t="s">
        <v>3582</v>
      </c>
      <c r="C8899" s="1" t="str">
        <f>"66298924829742"</f>
        <v>66298924829742</v>
      </c>
      <c r="D8899" s="1" t="str">
        <f>"DB024"</f>
        <v>DB024</v>
      </c>
      <c r="E8899" s="1" t="s">
        <v>4566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</row>
    <row r="8900" spans="1:11" x14ac:dyDescent="0.2">
      <c r="A8900" s="1" t="s">
        <v>3576</v>
      </c>
      <c r="B8900" s="1" t="s">
        <v>3583</v>
      </c>
      <c r="C8900" s="1" t="str">
        <f>"66298924872215"</f>
        <v>66298924872215</v>
      </c>
      <c r="D8900" s="1" t="str">
        <f>"DB037"</f>
        <v>DB037</v>
      </c>
      <c r="E8900" s="1" t="s">
        <v>4566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</row>
    <row r="8901" spans="1:11" x14ac:dyDescent="0.2">
      <c r="A8901" s="1" t="s">
        <v>3576</v>
      </c>
      <c r="B8901" s="1" t="s">
        <v>3584</v>
      </c>
      <c r="C8901" s="1" t="str">
        <f>"66298924913185"</f>
        <v>66298924913185</v>
      </c>
      <c r="D8901" s="1" t="str">
        <f>"06133-KTE-000BR"</f>
        <v>06133-KTE-000BR</v>
      </c>
      <c r="E8901" s="1" t="s">
        <v>4566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</row>
    <row r="8902" spans="1:11" x14ac:dyDescent="0.2">
      <c r="A8902" s="1" t="s">
        <v>3576</v>
      </c>
      <c r="B8902" s="1" t="s">
        <v>3585</v>
      </c>
      <c r="C8902" s="1" t="str">
        <f>"66298924954071"</f>
        <v>66298924954071</v>
      </c>
      <c r="D8902" s="1" t="str">
        <f>"06135-KTE-000BR"</f>
        <v>06135-KTE-000BR</v>
      </c>
      <c r="E8902" s="1" t="s">
        <v>4566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</row>
    <row r="8903" spans="1:11" x14ac:dyDescent="0.2">
      <c r="A8903" s="1" t="s">
        <v>3576</v>
      </c>
      <c r="B8903" s="1" t="s">
        <v>3586</v>
      </c>
      <c r="C8903" s="1" t="str">
        <f>"66298924992003"</f>
        <v>66298924992003</v>
      </c>
      <c r="D8903" s="1" t="str">
        <f>"DB026"</f>
        <v>DB026</v>
      </c>
      <c r="E8903" s="1" t="s">
        <v>4566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</row>
    <row r="8904" spans="1:11" x14ac:dyDescent="0.2">
      <c r="A8904" s="1" t="s">
        <v>3576</v>
      </c>
      <c r="B8904" s="1" t="s">
        <v>3587</v>
      </c>
      <c r="C8904" s="1" t="str">
        <f>"66298925033733"</f>
        <v>66298925033733</v>
      </c>
      <c r="D8904" s="1" t="str">
        <f>"06133-GF6-000JP"</f>
        <v>06133-GF6-000JP</v>
      </c>
      <c r="E8904" s="1" t="s">
        <v>4566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</row>
    <row r="8905" spans="1:11" x14ac:dyDescent="0.2">
      <c r="A8905" s="1" t="s">
        <v>3576</v>
      </c>
      <c r="B8905" s="1" t="s">
        <v>3588</v>
      </c>
      <c r="C8905" s="1" t="str">
        <f>"66298925074043"</f>
        <v>66298925074043</v>
      </c>
      <c r="D8905" s="1" t="str">
        <f>"DB009"</f>
        <v>DB009</v>
      </c>
      <c r="E8905" s="1" t="s">
        <v>4566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</row>
    <row r="8906" spans="1:11" x14ac:dyDescent="0.2">
      <c r="A8906" s="1" t="s">
        <v>3576</v>
      </c>
      <c r="B8906" s="1" t="s">
        <v>3589</v>
      </c>
      <c r="C8906" s="1" t="str">
        <f>"66298925114004"</f>
        <v>66298925114004</v>
      </c>
      <c r="D8906" s="1" t="str">
        <f>"DB010"</f>
        <v>DB010</v>
      </c>
      <c r="E8906" s="1" t="s">
        <v>4566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</row>
    <row r="8907" spans="1:11" x14ac:dyDescent="0.2">
      <c r="A8907" s="1" t="s">
        <v>3576</v>
      </c>
      <c r="B8907" s="1" t="s">
        <v>3590</v>
      </c>
      <c r="C8907" s="1" t="str">
        <f>"66298925161140"</f>
        <v>66298925161140</v>
      </c>
      <c r="D8907" s="1" t="str">
        <f>"81992"</f>
        <v>81992</v>
      </c>
      <c r="E8907" s="1" t="s">
        <v>4566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</row>
    <row r="8908" spans="1:11" x14ac:dyDescent="0.2">
      <c r="A8908" s="1" t="s">
        <v>3576</v>
      </c>
      <c r="B8908" s="1" t="s">
        <v>3591</v>
      </c>
      <c r="C8908" s="1" t="str">
        <f>"66298925200962"</f>
        <v>66298925200962</v>
      </c>
      <c r="D8908" s="1" t="str">
        <f>"KSM-30206-050JP"</f>
        <v>KSM-30206-050JP</v>
      </c>
      <c r="E8908" s="1" t="s">
        <v>4566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</row>
    <row r="8909" spans="1:11" x14ac:dyDescent="0.2">
      <c r="A8909" s="1" t="s">
        <v>3576</v>
      </c>
      <c r="B8909" s="1" t="s">
        <v>3592</v>
      </c>
      <c r="C8909" s="1" t="str">
        <f>"66298925242494"</f>
        <v>66298925242494</v>
      </c>
      <c r="D8909" s="1" t="str">
        <f>"KSM-30206-100JP"</f>
        <v>KSM-30206-100JP</v>
      </c>
      <c r="E8909" s="1" t="s">
        <v>4566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</row>
    <row r="8910" spans="1:11" x14ac:dyDescent="0.2">
      <c r="A8910" s="1" t="s">
        <v>3576</v>
      </c>
      <c r="B8910" s="1" t="s">
        <v>3593</v>
      </c>
      <c r="C8910" s="1" t="str">
        <f>"66298925283829"</f>
        <v>66298925283829</v>
      </c>
      <c r="D8910" s="1" t="str">
        <f>"2A7-11630-20JP"</f>
        <v>2A7-11630-20JP</v>
      </c>
      <c r="E8910" s="1" t="s">
        <v>4566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</row>
    <row r="8911" spans="1:11" x14ac:dyDescent="0.2">
      <c r="A8911" s="1" t="s">
        <v>3576</v>
      </c>
      <c r="B8911" s="1" t="s">
        <v>3594</v>
      </c>
      <c r="C8911" s="1" t="str">
        <f>"66298925325830"</f>
        <v>66298925325830</v>
      </c>
      <c r="D8911" s="1" t="str">
        <f>"2A7-11630-40JP"</f>
        <v>2A7-11630-40JP</v>
      </c>
      <c r="E8911" s="1" t="s">
        <v>4566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</row>
    <row r="8912" spans="1:11" x14ac:dyDescent="0.2">
      <c r="A8912" s="1" t="s">
        <v>3576</v>
      </c>
      <c r="B8912" s="1" t="s">
        <v>3595</v>
      </c>
      <c r="C8912" s="1" t="str">
        <f>"10630"</f>
        <v>10630</v>
      </c>
      <c r="D8912" s="1" t="str">
        <f>"10630"</f>
        <v>10630</v>
      </c>
      <c r="E8912" s="1" t="s">
        <v>4566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</row>
    <row r="8913" spans="1:11" x14ac:dyDescent="0.2">
      <c r="A8913" s="1" t="s">
        <v>3576</v>
      </c>
      <c r="B8913" s="1" t="s">
        <v>3596</v>
      </c>
      <c r="C8913" s="1" t="str">
        <f>"66298925364574"</f>
        <v>66298925364574</v>
      </c>
      <c r="D8913" s="1" t="str">
        <f>"DB006"</f>
        <v>DB006</v>
      </c>
      <c r="E8913" s="1" t="s">
        <v>4566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</row>
    <row r="8914" spans="1:11" x14ac:dyDescent="0.2">
      <c r="A8914" s="1" t="s">
        <v>3576</v>
      </c>
      <c r="B8914" s="1" t="s">
        <v>3597</v>
      </c>
      <c r="C8914" s="1" t="str">
        <f>"66298925401811"</f>
        <v>66298925401811</v>
      </c>
      <c r="D8914" s="1" t="str">
        <f>"DB007"</f>
        <v>DB007</v>
      </c>
      <c r="E8914" s="1" t="s">
        <v>4566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</row>
    <row r="8915" spans="1:11" x14ac:dyDescent="0.2">
      <c r="A8915" s="1" t="s">
        <v>3576</v>
      </c>
      <c r="B8915" s="1" t="s">
        <v>3598</v>
      </c>
      <c r="C8915" s="1" t="str">
        <f>"66298925443180"</f>
        <v>66298925443180</v>
      </c>
      <c r="D8915" s="1" t="str">
        <f>"DB001"</f>
        <v>DB001</v>
      </c>
      <c r="E8915" s="1" t="s">
        <v>4566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</row>
    <row r="8916" spans="1:11" x14ac:dyDescent="0.2">
      <c r="A8916" s="1" t="s">
        <v>3576</v>
      </c>
      <c r="B8916" s="1" t="s">
        <v>3599</v>
      </c>
      <c r="C8916" s="1" t="str">
        <f>"66298925485162"</f>
        <v>66298925485162</v>
      </c>
      <c r="D8916" s="1" t="str">
        <f>"DB002"</f>
        <v>DB002</v>
      </c>
      <c r="E8916" s="1" t="s">
        <v>4566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</row>
    <row r="8917" spans="1:11" ht="30" x14ac:dyDescent="0.2">
      <c r="A8917" s="1" t="s">
        <v>3576</v>
      </c>
      <c r="B8917" s="1" t="s">
        <v>3600</v>
      </c>
      <c r="C8917" s="1" t="str">
        <f>"12111-42A10-100JP"</f>
        <v>12111-42A10-100JP</v>
      </c>
      <c r="D8917" s="1" t="str">
        <f>"12111-42A10-100JP"</f>
        <v>12111-42A10-100JP</v>
      </c>
      <c r="E8917" s="1" t="s">
        <v>4566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</row>
    <row r="8918" spans="1:11" x14ac:dyDescent="0.2">
      <c r="A8918" s="1" t="s">
        <v>3576</v>
      </c>
      <c r="B8918" s="1" t="s">
        <v>3601</v>
      </c>
      <c r="C8918" s="1" t="str">
        <f>"66298925523570"</f>
        <v>66298925523570</v>
      </c>
      <c r="D8918" s="1" t="str">
        <f>"80281"</f>
        <v>80281</v>
      </c>
      <c r="E8918" s="1" t="s">
        <v>4566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</row>
    <row r="8919" spans="1:11" x14ac:dyDescent="0.2">
      <c r="A8919" s="1" t="s">
        <v>3576</v>
      </c>
      <c r="B8919" s="1" t="s">
        <v>3602</v>
      </c>
      <c r="C8919" s="1" t="str">
        <f>"66298925567647"</f>
        <v>66298925567647</v>
      </c>
      <c r="D8919" s="1" t="str">
        <f>"80282"</f>
        <v>80282</v>
      </c>
      <c r="E8919" s="1" t="s">
        <v>4566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</row>
    <row r="8920" spans="1:11" x14ac:dyDescent="0.2">
      <c r="A8920" s="1" t="s">
        <v>3576</v>
      </c>
      <c r="B8920" s="1" t="s">
        <v>3603</v>
      </c>
      <c r="C8920" s="1" t="str">
        <f>"66298925610233"</f>
        <v>66298925610233</v>
      </c>
      <c r="D8920" s="1" t="str">
        <f>"31-1010-13-050"</f>
        <v>31-1010-13-050</v>
      </c>
      <c r="E8920" s="1" t="s">
        <v>4566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</row>
    <row r="8921" spans="1:11" x14ac:dyDescent="0.2">
      <c r="A8921" s="1" t="s">
        <v>3576</v>
      </c>
      <c r="B8921" s="1" t="s">
        <v>3604</v>
      </c>
      <c r="C8921" s="1" t="str">
        <f>"66298925647658"</f>
        <v>66298925647658</v>
      </c>
      <c r="D8921" s="1" t="str">
        <f>"31-1010-13-100"</f>
        <v>31-1010-13-100</v>
      </c>
      <c r="E8921" s="1" t="s">
        <v>4566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</row>
    <row r="8922" spans="1:11" x14ac:dyDescent="0.2">
      <c r="A8922" s="1" t="s">
        <v>3576</v>
      </c>
      <c r="B8922" s="1" t="s">
        <v>3605</v>
      </c>
      <c r="C8922" s="1" t="str">
        <f>"66298925688493"</f>
        <v>66298925688493</v>
      </c>
      <c r="D8922" s="1" t="str">
        <f>"31-1010-13-STD"</f>
        <v>31-1010-13-STD</v>
      </c>
      <c r="E8922" s="1" t="s">
        <v>4566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</row>
    <row r="8923" spans="1:11" x14ac:dyDescent="0.2">
      <c r="A8923" s="1" t="s">
        <v>3576</v>
      </c>
      <c r="B8923" s="1" t="s">
        <v>3606</v>
      </c>
      <c r="C8923" s="1" t="str">
        <f>"66298925728977"</f>
        <v>66298925728977</v>
      </c>
      <c r="D8923" s="1" t="str">
        <f>"JC-1010-12-050JP"</f>
        <v>JC-1010-12-050JP</v>
      </c>
      <c r="E8923" s="1" t="s">
        <v>4566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</row>
    <row r="8924" spans="1:11" x14ac:dyDescent="0.2">
      <c r="A8924" s="1" t="s">
        <v>3576</v>
      </c>
      <c r="B8924" s="1" t="s">
        <v>3607</v>
      </c>
      <c r="C8924" s="1" t="str">
        <f>"66298925770760"</f>
        <v>66298925770760</v>
      </c>
      <c r="D8924" s="1" t="str">
        <f>"JC-1010-12-100JP"</f>
        <v>JC-1010-12-100JP</v>
      </c>
      <c r="E8924" s="1" t="s">
        <v>4566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</row>
    <row r="8925" spans="1:11" x14ac:dyDescent="0.2">
      <c r="A8925" s="1" t="s">
        <v>3576</v>
      </c>
      <c r="B8925" s="1" t="s">
        <v>3608</v>
      </c>
      <c r="C8925" s="1" t="str">
        <f>"66298925810509"</f>
        <v>66298925810509</v>
      </c>
      <c r="D8925" s="1" t="str">
        <f>"DK-1010-92-050JP"</f>
        <v>DK-1010-92-050JP</v>
      </c>
      <c r="E8925" s="1" t="s">
        <v>4566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</row>
    <row r="8926" spans="1:11" x14ac:dyDescent="0.2">
      <c r="A8926" s="1" t="s">
        <v>3576</v>
      </c>
      <c r="B8926" s="1" t="s">
        <v>3609</v>
      </c>
      <c r="C8926" s="1" t="str">
        <f>"66298925848337"</f>
        <v>66298925848337</v>
      </c>
      <c r="D8926" s="1" t="str">
        <f>"82320"</f>
        <v>82320</v>
      </c>
      <c r="E8926" s="1" t="s">
        <v>4566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</row>
    <row r="8927" spans="1:11" x14ac:dyDescent="0.2">
      <c r="A8927" s="1" t="s">
        <v>3576</v>
      </c>
      <c r="B8927" s="1" t="s">
        <v>3610</v>
      </c>
      <c r="C8927" s="1" t="str">
        <f>"66298925889689"</f>
        <v>66298925889689</v>
      </c>
      <c r="D8927" s="1" t="str">
        <f>"82321"</f>
        <v>82321</v>
      </c>
      <c r="E8927" s="1" t="s">
        <v>4566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</row>
    <row r="8928" spans="1:11" x14ac:dyDescent="0.2">
      <c r="A8928" s="1" t="s">
        <v>3576</v>
      </c>
      <c r="B8928" s="1" t="s">
        <v>3610</v>
      </c>
      <c r="C8928" s="1" t="str">
        <f>"66298925897683"</f>
        <v>66298925897683</v>
      </c>
      <c r="D8928" s="1" t="str">
        <f>"DB034"</f>
        <v>DB034</v>
      </c>
      <c r="E8928" s="1" t="s">
        <v>4566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</row>
    <row r="8929" spans="1:11" x14ac:dyDescent="0.2">
      <c r="A8929" s="1" t="s">
        <v>3576</v>
      </c>
      <c r="B8929" s="1" t="s">
        <v>3611</v>
      </c>
      <c r="C8929" s="1" t="str">
        <f>"66298925948899"</f>
        <v>66298925948899</v>
      </c>
      <c r="D8929" s="1" t="str">
        <f>"13101-KFB7-050JP"</f>
        <v>13101-KFB7-050JP</v>
      </c>
      <c r="E8929" s="1" t="s">
        <v>4566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</row>
    <row r="8930" spans="1:11" x14ac:dyDescent="0.2">
      <c r="A8930" s="1" t="s">
        <v>3576</v>
      </c>
      <c r="B8930" s="1" t="s">
        <v>3612</v>
      </c>
      <c r="C8930" s="1" t="str">
        <f>"66298925986897"</f>
        <v>66298925986897</v>
      </c>
      <c r="D8930" s="1" t="str">
        <f>"13101-KFB7-100JP"</f>
        <v>13101-KFB7-100JP</v>
      </c>
      <c r="E8930" s="1" t="s">
        <v>4566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</row>
    <row r="8931" spans="1:11" x14ac:dyDescent="0.2">
      <c r="A8931" s="1" t="s">
        <v>3576</v>
      </c>
      <c r="B8931" s="1" t="s">
        <v>3613</v>
      </c>
      <c r="C8931" s="1" t="str">
        <f>"66298926027176"</f>
        <v>66298926027176</v>
      </c>
      <c r="D8931" s="1" t="str">
        <f>"619-100"</f>
        <v>619-100</v>
      </c>
      <c r="E8931" s="1" t="s">
        <v>4566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</row>
    <row r="8932" spans="1:11" x14ac:dyDescent="0.2">
      <c r="A8932" s="1" t="s">
        <v>3576</v>
      </c>
      <c r="B8932" s="1" t="s">
        <v>3614</v>
      </c>
      <c r="C8932" s="1" t="str">
        <f>"66298926067800"</f>
        <v>66298926067800</v>
      </c>
      <c r="D8932" s="1" t="str">
        <f>"619-STD"</f>
        <v>619-STD</v>
      </c>
      <c r="E8932" s="1" t="s">
        <v>4566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</row>
    <row r="8933" spans="1:11" x14ac:dyDescent="0.2">
      <c r="A8933" s="1" t="s">
        <v>3576</v>
      </c>
      <c r="B8933" s="1" t="s">
        <v>3615</v>
      </c>
      <c r="C8933" s="1" t="str">
        <f>"66298926107226"</f>
        <v>66298926107226</v>
      </c>
      <c r="D8933" s="1" t="str">
        <f>"06133-KVC-900JP"</f>
        <v>06133-KVC-900JP</v>
      </c>
      <c r="E8933" s="1" t="s">
        <v>4566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</row>
    <row r="8934" spans="1:11" x14ac:dyDescent="0.2">
      <c r="A8934" s="1" t="s">
        <v>3576</v>
      </c>
      <c r="B8934" s="1" t="s">
        <v>3616</v>
      </c>
      <c r="C8934" s="1" t="str">
        <f>"66298926145573"</f>
        <v>66298926145573</v>
      </c>
      <c r="D8934" s="1" t="str">
        <f>"DB036"</f>
        <v>DB036</v>
      </c>
      <c r="E8934" s="1" t="s">
        <v>4566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</row>
    <row r="8935" spans="1:11" x14ac:dyDescent="0.2">
      <c r="A8935" s="1" t="s">
        <v>3576</v>
      </c>
      <c r="B8935" s="1" t="s">
        <v>3617</v>
      </c>
      <c r="C8935" s="1" t="str">
        <f>"66298926187929"</f>
        <v>66298926187929</v>
      </c>
      <c r="D8935" s="1" t="str">
        <f>"DB035"</f>
        <v>DB035</v>
      </c>
      <c r="E8935" s="1" t="s">
        <v>4566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</row>
    <row r="8936" spans="1:11" x14ac:dyDescent="0.2">
      <c r="A8936" s="1" t="s">
        <v>3576</v>
      </c>
      <c r="B8936" s="1" t="s">
        <v>3618</v>
      </c>
      <c r="C8936" s="1" t="str">
        <f>"66298926234767"</f>
        <v>66298926234767</v>
      </c>
      <c r="D8936" s="1" t="str">
        <f>"06135-KGA-B00JP"</f>
        <v>06135-KGA-B00JP</v>
      </c>
      <c r="E8936" s="1" t="s">
        <v>4566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</row>
    <row r="8937" spans="1:11" x14ac:dyDescent="0.2">
      <c r="A8937" s="1" t="s">
        <v>3576</v>
      </c>
      <c r="B8937" s="1" t="s">
        <v>3619</v>
      </c>
      <c r="C8937" s="1" t="str">
        <f>"66298926270952"</f>
        <v>66298926270952</v>
      </c>
      <c r="D8937" s="1" t="str">
        <f>"80279"</f>
        <v>80279</v>
      </c>
      <c r="E8937" s="1" t="s">
        <v>4566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</row>
    <row r="8938" spans="1:11" x14ac:dyDescent="0.2">
      <c r="A8938" s="1" t="s">
        <v>3576</v>
      </c>
      <c r="B8938" s="1" t="s">
        <v>3620</v>
      </c>
      <c r="C8938" s="1" t="str">
        <f>"66298926311005"</f>
        <v>66298926311005</v>
      </c>
      <c r="D8938" s="1" t="str">
        <f>"06133-KT1-315JP"</f>
        <v>06133-KT1-315JP</v>
      </c>
      <c r="E8938" s="1" t="s">
        <v>4566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</row>
    <row r="8939" spans="1:11" x14ac:dyDescent="0.2">
      <c r="A8939" s="1" t="s">
        <v>3576</v>
      </c>
      <c r="B8939" s="1" t="s">
        <v>3621</v>
      </c>
      <c r="C8939" s="1" t="str">
        <f>"66298926353882"</f>
        <v>66298926353882</v>
      </c>
      <c r="D8939" s="1" t="str">
        <f>"06135-KT1-315JP"</f>
        <v>06135-KT1-315JP</v>
      </c>
      <c r="E8939" s="1" t="s">
        <v>4566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</row>
    <row r="8940" spans="1:11" x14ac:dyDescent="0.2">
      <c r="A8940" s="1" t="s">
        <v>3576</v>
      </c>
      <c r="B8940" s="1" t="s">
        <v>3622</v>
      </c>
      <c r="C8940" s="1" t="str">
        <f>"66298926400164"</f>
        <v>66298926400164</v>
      </c>
      <c r="D8940" s="1" t="str">
        <f>"06131-KT1-013JP"</f>
        <v>06131-KT1-013JP</v>
      </c>
      <c r="E8940" s="1" t="s">
        <v>4566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</row>
    <row r="8941" spans="1:11" x14ac:dyDescent="0.2">
      <c r="A8941" s="1" t="s">
        <v>3576</v>
      </c>
      <c r="B8941" s="1" t="s">
        <v>3623</v>
      </c>
      <c r="C8941" s="1" t="str">
        <f>"66298926439435"</f>
        <v>66298926439435</v>
      </c>
      <c r="D8941" s="1" t="str">
        <f>"DB022"</f>
        <v>DB022</v>
      </c>
      <c r="E8941" s="1" t="s">
        <v>4566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</row>
    <row r="8942" spans="1:11" x14ac:dyDescent="0.2">
      <c r="A8942" s="1" t="s">
        <v>3576</v>
      </c>
      <c r="B8942" s="1" t="s">
        <v>3624</v>
      </c>
      <c r="C8942" s="1" t="str">
        <f>"66298926476220"</f>
        <v>66298926476220</v>
      </c>
      <c r="D8942" s="1" t="str">
        <f>"5ML-11630-40JP"</f>
        <v>5ML-11630-40JP</v>
      </c>
      <c r="E8942" s="1" t="s">
        <v>4566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</row>
    <row r="8943" spans="1:11" x14ac:dyDescent="0.2">
      <c r="A8943" s="1" t="s">
        <v>3576</v>
      </c>
      <c r="B8943" s="1" t="s">
        <v>3625</v>
      </c>
      <c r="C8943" s="1" t="str">
        <f>"66298926514945"</f>
        <v>66298926514945</v>
      </c>
      <c r="D8943" s="1" t="str">
        <f>"2724"</f>
        <v>2724</v>
      </c>
      <c r="E8943" s="1" t="s">
        <v>4566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</row>
    <row r="8944" spans="1:11" x14ac:dyDescent="0.2">
      <c r="A8944" s="1" t="s">
        <v>98</v>
      </c>
      <c r="B8944" s="1" t="s">
        <v>3626</v>
      </c>
      <c r="C8944" s="1" t="str">
        <f>"66298926555662"</f>
        <v>66298926555662</v>
      </c>
      <c r="D8944" s="1" t="str">
        <f>"21C-F2174-00GY"</f>
        <v>21C-F2174-00GY</v>
      </c>
      <c r="E8944" s="1" t="s">
        <v>4566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</row>
    <row r="8945" spans="1:11" x14ac:dyDescent="0.2">
      <c r="A8945" s="1" t="s">
        <v>388</v>
      </c>
      <c r="B8945" s="1" t="s">
        <v>3627</v>
      </c>
      <c r="C8945" s="1" t="str">
        <f>"66298926609191"</f>
        <v>66298926609191</v>
      </c>
      <c r="D8945" s="1" t="str">
        <f>"400701"</f>
        <v>400701</v>
      </c>
      <c r="E8945" s="1" t="s">
        <v>4566</v>
      </c>
      <c r="F8945" s="1">
        <v>62</v>
      </c>
      <c r="G8945" s="1">
        <v>4745</v>
      </c>
      <c r="H8945" s="1">
        <v>294190</v>
      </c>
      <c r="I8945" s="1">
        <v>0</v>
      </c>
      <c r="J8945" s="1">
        <v>62</v>
      </c>
      <c r="K8945" s="1">
        <v>0</v>
      </c>
    </row>
    <row r="8946" spans="1:11" x14ac:dyDescent="0.2">
      <c r="A8946" s="1" t="s">
        <v>388</v>
      </c>
      <c r="B8946" s="1" t="s">
        <v>3628</v>
      </c>
      <c r="C8946" s="1" t="str">
        <f>"66298926652078"</f>
        <v>66298926652078</v>
      </c>
      <c r="D8946" s="1" t="str">
        <f>"32101-23410HB"</f>
        <v>32101-23410HB</v>
      </c>
      <c r="E8946" s="1" t="s">
        <v>4566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</row>
    <row r="8947" spans="1:11" x14ac:dyDescent="0.2">
      <c r="A8947" s="1" t="s">
        <v>388</v>
      </c>
      <c r="B8947" s="1" t="s">
        <v>3628</v>
      </c>
      <c r="C8947" s="1" t="str">
        <f>"FB033"</f>
        <v>FB033</v>
      </c>
      <c r="D8947" s="1" t="str">
        <f>"FB033"</f>
        <v>FB033</v>
      </c>
      <c r="E8947" s="1" t="s">
        <v>4566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</row>
    <row r="8948" spans="1:11" x14ac:dyDescent="0.2">
      <c r="A8948" s="1" t="s">
        <v>388</v>
      </c>
      <c r="B8948" s="1" t="s">
        <v>3629</v>
      </c>
      <c r="C8948" s="1" t="str">
        <f>"66298926695070"</f>
        <v>66298926695070</v>
      </c>
      <c r="D8948" s="1" t="str">
        <f>"FB021"</f>
        <v>FB021</v>
      </c>
      <c r="E8948" s="1" t="s">
        <v>4566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</row>
    <row r="8949" spans="1:11" x14ac:dyDescent="0.2">
      <c r="A8949" s="1" t="s">
        <v>141</v>
      </c>
      <c r="B8949" s="1" t="s">
        <v>3630</v>
      </c>
      <c r="C8949" s="1" t="str">
        <f>"66298926738030"</f>
        <v>66298926738030</v>
      </c>
      <c r="D8949" s="1" t="str">
        <f>"0080S"</f>
        <v>0080S</v>
      </c>
      <c r="E8949" s="1" t="s">
        <v>4566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</row>
    <row r="8950" spans="1:11" x14ac:dyDescent="0.2">
      <c r="A8950" s="1" t="s">
        <v>141</v>
      </c>
      <c r="B8950" s="1" t="s">
        <v>3631</v>
      </c>
      <c r="C8950" s="1" t="str">
        <f>"66298926779460"</f>
        <v>66298926779460</v>
      </c>
      <c r="D8950" s="1" t="str">
        <f>"400627"</f>
        <v>400627</v>
      </c>
      <c r="E8950" s="1" t="s">
        <v>4566</v>
      </c>
      <c r="F8950" s="1">
        <v>400</v>
      </c>
      <c r="G8950" s="1">
        <v>526</v>
      </c>
      <c r="H8950" s="1">
        <v>210400</v>
      </c>
      <c r="I8950" s="1">
        <v>0</v>
      </c>
      <c r="J8950" s="1">
        <v>400</v>
      </c>
      <c r="K8950" s="1">
        <v>0</v>
      </c>
    </row>
    <row r="8951" spans="1:11" x14ac:dyDescent="0.2">
      <c r="A8951" s="1" t="s">
        <v>141</v>
      </c>
      <c r="B8951" s="1" t="s">
        <v>3632</v>
      </c>
      <c r="C8951" s="1" t="str">
        <f>"66298926823705"</f>
        <v>66298926823705</v>
      </c>
      <c r="D8951" s="1" t="str">
        <f>"115114"</f>
        <v>115114</v>
      </c>
      <c r="E8951" s="1" t="s">
        <v>4566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</row>
    <row r="8952" spans="1:11" x14ac:dyDescent="0.2">
      <c r="A8952" s="1" t="s">
        <v>141</v>
      </c>
      <c r="B8952" s="1" t="s">
        <v>3633</v>
      </c>
      <c r="C8952" s="1" t="str">
        <f>"66298926867971"</f>
        <v>66298926867971</v>
      </c>
      <c r="D8952" s="1" t="str">
        <f>"PA002"</f>
        <v>PA002</v>
      </c>
      <c r="E8952" s="1" t="s">
        <v>4566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</row>
    <row r="8953" spans="1:11" x14ac:dyDescent="0.2">
      <c r="A8953" s="1" t="s">
        <v>141</v>
      </c>
      <c r="B8953" s="1" t="s">
        <v>3634</v>
      </c>
      <c r="C8953" s="1" t="str">
        <f>"66298926907678"</f>
        <v>66298926907678</v>
      </c>
      <c r="D8953" s="1" t="str">
        <f>"PA003"</f>
        <v>PA003</v>
      </c>
      <c r="E8953" s="1" t="s">
        <v>4566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</row>
    <row r="8954" spans="1:11" x14ac:dyDescent="0.2">
      <c r="A8954" s="1" t="s">
        <v>141</v>
      </c>
      <c r="B8954" s="1" t="s">
        <v>3635</v>
      </c>
      <c r="C8954" s="1" t="str">
        <f>"66298926948961"</f>
        <v>66298926948961</v>
      </c>
      <c r="D8954" s="1" t="str">
        <f>"PA001"</f>
        <v>PA001</v>
      </c>
      <c r="E8954" s="1" t="s">
        <v>4566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</row>
    <row r="8955" spans="1:11" x14ac:dyDescent="0.2">
      <c r="A8955" s="1" t="s">
        <v>141</v>
      </c>
      <c r="B8955" s="1" t="s">
        <v>3636</v>
      </c>
      <c r="C8955" s="1" t="str">
        <f>"66298926990356"</f>
        <v>66298926990356</v>
      </c>
      <c r="D8955" s="1" t="str">
        <f>"PA008"</f>
        <v>PA008</v>
      </c>
      <c r="E8955" s="1" t="s">
        <v>4566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</row>
    <row r="8956" spans="1:11" x14ac:dyDescent="0.2">
      <c r="A8956" s="1" t="s">
        <v>141</v>
      </c>
      <c r="B8956" s="1" t="s">
        <v>3637</v>
      </c>
      <c r="C8956" s="1" t="str">
        <f>"66298927036172"</f>
        <v>66298927036172</v>
      </c>
      <c r="D8956" s="1" t="str">
        <f>"PA004"</f>
        <v>PA004</v>
      </c>
      <c r="E8956" s="1" t="s">
        <v>4566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</row>
    <row r="8957" spans="1:11" x14ac:dyDescent="0.2">
      <c r="A8957" s="1" t="s">
        <v>141</v>
      </c>
      <c r="B8957" s="1" t="s">
        <v>3637</v>
      </c>
      <c r="C8957" s="1" t="str">
        <f>"66298927042572"</f>
        <v>66298927042572</v>
      </c>
      <c r="D8957" s="1" t="str">
        <f>"PA005"</f>
        <v>PA005</v>
      </c>
      <c r="E8957" s="1" t="s">
        <v>4566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</row>
    <row r="8958" spans="1:11" x14ac:dyDescent="0.2">
      <c r="A8958" s="1" t="s">
        <v>1156</v>
      </c>
      <c r="B8958" s="1" t="s">
        <v>3638</v>
      </c>
      <c r="C8958" s="1" t="str">
        <f>"NF003"</f>
        <v>NF003</v>
      </c>
      <c r="D8958" s="1" t="str">
        <f>"NF003"</f>
        <v>NF003</v>
      </c>
      <c r="E8958" s="1" t="s">
        <v>4566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</row>
    <row r="8959" spans="1:11" x14ac:dyDescent="0.2">
      <c r="A8959" s="1" t="s">
        <v>3639</v>
      </c>
      <c r="B8959" s="1" t="s">
        <v>3640</v>
      </c>
      <c r="C8959" s="1" t="str">
        <f>"N009"</f>
        <v>N009</v>
      </c>
      <c r="D8959" s="1" t="str">
        <f>"N009"</f>
        <v>N009</v>
      </c>
      <c r="E8959" s="1" t="s">
        <v>4566</v>
      </c>
      <c r="F8959" s="1">
        <v>6</v>
      </c>
      <c r="G8959" s="1">
        <v>9846</v>
      </c>
      <c r="H8959" s="1">
        <v>59076</v>
      </c>
      <c r="I8959" s="1">
        <v>0</v>
      </c>
      <c r="J8959" s="1">
        <v>6</v>
      </c>
      <c r="K8959" s="1">
        <v>0</v>
      </c>
    </row>
    <row r="8960" spans="1:11" x14ac:dyDescent="0.2">
      <c r="A8960" s="1" t="s">
        <v>1156</v>
      </c>
      <c r="B8960" s="1" t="s">
        <v>3641</v>
      </c>
      <c r="C8960" s="1" t="str">
        <f>"NF002"</f>
        <v>NF002</v>
      </c>
      <c r="D8960" s="1" t="str">
        <f>"NF002"</f>
        <v>NF002</v>
      </c>
      <c r="E8960" s="1" t="s">
        <v>4566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</row>
    <row r="8961" spans="1:11" x14ac:dyDescent="0.2">
      <c r="A8961" s="1" t="s">
        <v>1156</v>
      </c>
      <c r="B8961" s="1" t="s">
        <v>3642</v>
      </c>
      <c r="C8961" s="1" t="str">
        <f>"NF005"</f>
        <v>NF005</v>
      </c>
      <c r="D8961" s="1" t="str">
        <f>"NF005"</f>
        <v>NF005</v>
      </c>
      <c r="E8961" s="1" t="s">
        <v>4566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</row>
    <row r="8962" spans="1:11" x14ac:dyDescent="0.2">
      <c r="A8962" s="1" t="s">
        <v>1156</v>
      </c>
      <c r="B8962" s="1" t="s">
        <v>3643</v>
      </c>
      <c r="C8962" s="1" t="str">
        <f>"NF004"</f>
        <v>NF004</v>
      </c>
      <c r="D8962" s="1" t="str">
        <f>"NF004"</f>
        <v>NF004</v>
      </c>
      <c r="E8962" s="1" t="s">
        <v>4566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</row>
    <row r="8963" spans="1:11" x14ac:dyDescent="0.2">
      <c r="A8963" s="1" t="s">
        <v>3639</v>
      </c>
      <c r="B8963" s="1" t="s">
        <v>3644</v>
      </c>
      <c r="C8963" s="1" t="str">
        <f>"CR1S-F11-18"</f>
        <v>CR1S-F11-18</v>
      </c>
      <c r="D8963" s="1" t="str">
        <f>"CR1S-F11-18"</f>
        <v>CR1S-F11-18</v>
      </c>
      <c r="E8963" s="1" t="s">
        <v>4566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</row>
    <row r="8964" spans="1:11" x14ac:dyDescent="0.2">
      <c r="A8964" s="1" t="s">
        <v>1156</v>
      </c>
      <c r="B8964" s="1" t="s">
        <v>3645</v>
      </c>
      <c r="C8964" s="1" t="str">
        <f>"66298927096929"</f>
        <v>66298927096929</v>
      </c>
      <c r="D8964" s="1" t="str">
        <f>"JL-1312-25"</f>
        <v>JL-1312-25</v>
      </c>
      <c r="E8964" s="1" t="s">
        <v>4566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</row>
    <row r="8965" spans="1:11" x14ac:dyDescent="0.2">
      <c r="A8965" s="1" t="s">
        <v>18</v>
      </c>
      <c r="B8965" s="1" t="s">
        <v>3646</v>
      </c>
      <c r="C8965" s="1" t="str">
        <f>"66298927136609"</f>
        <v>66298927136609</v>
      </c>
      <c r="D8965" s="1" t="str">
        <f>"390-1"</f>
        <v>390-1</v>
      </c>
      <c r="E8965" s="1" t="s">
        <v>4566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</row>
    <row r="8966" spans="1:11" x14ac:dyDescent="0.2">
      <c r="A8966" s="1" t="s">
        <v>18</v>
      </c>
      <c r="B8966" s="1" t="s">
        <v>3647</v>
      </c>
      <c r="C8966" s="1" t="str">
        <f>"66298927178881"</f>
        <v>66298927178881</v>
      </c>
      <c r="D8966" s="1" t="str">
        <f>"QG036"</f>
        <v>QG036</v>
      </c>
      <c r="E8966" s="1" t="s">
        <v>4566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</row>
    <row r="8967" spans="1:11" x14ac:dyDescent="0.2">
      <c r="A8967" s="1" t="s">
        <v>18</v>
      </c>
      <c r="B8967" s="1" t="s">
        <v>3648</v>
      </c>
      <c r="C8967" s="1" t="str">
        <f>"QG059"</f>
        <v>QG059</v>
      </c>
      <c r="D8967" s="1" t="str">
        <f>"QG059"</f>
        <v>QG059</v>
      </c>
      <c r="E8967" s="1" t="s">
        <v>4566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</row>
    <row r="8968" spans="1:11" x14ac:dyDescent="0.2">
      <c r="A8968" s="1" t="s">
        <v>18</v>
      </c>
      <c r="B8968" s="1" t="s">
        <v>3648</v>
      </c>
      <c r="C8968" s="1" t="str">
        <f>"2261"</f>
        <v>2261</v>
      </c>
      <c r="D8968" s="1" t="str">
        <f>"2261"</f>
        <v>2261</v>
      </c>
      <c r="E8968" s="1" t="s">
        <v>4566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</row>
    <row r="8969" spans="1:11" x14ac:dyDescent="0.2">
      <c r="A8969" s="1" t="s">
        <v>18</v>
      </c>
      <c r="B8969" s="1" t="s">
        <v>3648</v>
      </c>
      <c r="C8969" s="1" t="str">
        <f>"PC-UNIV"</f>
        <v>PC-UNIV</v>
      </c>
      <c r="D8969" s="1" t="str">
        <f>"PC-UNIV"</f>
        <v>PC-UNIV</v>
      </c>
      <c r="E8969" s="1" t="s">
        <v>4566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</row>
    <row r="8970" spans="1:11" x14ac:dyDescent="0.2">
      <c r="A8970" s="1" t="s">
        <v>18</v>
      </c>
      <c r="B8970" s="1" t="s">
        <v>3649</v>
      </c>
      <c r="C8970" s="1" t="str">
        <f>"66298927221695"</f>
        <v>66298927221695</v>
      </c>
      <c r="D8970" s="1" t="str">
        <f>"1216"</f>
        <v>1216</v>
      </c>
      <c r="E8970" s="1" t="s">
        <v>4566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</row>
    <row r="8971" spans="1:11" ht="30" x14ac:dyDescent="0.2">
      <c r="A8971" s="1" t="s">
        <v>18</v>
      </c>
      <c r="B8971" s="1" t="s">
        <v>3650</v>
      </c>
      <c r="C8971" s="1" t="str">
        <f>"2155"</f>
        <v>2155</v>
      </c>
      <c r="D8971" s="1" t="str">
        <f>"2155"</f>
        <v>2155</v>
      </c>
      <c r="E8971" s="1" t="s">
        <v>4566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</row>
    <row r="8972" spans="1:11" ht="30" x14ac:dyDescent="0.2">
      <c r="A8972" s="1" t="s">
        <v>18</v>
      </c>
      <c r="B8972" s="1" t="s">
        <v>3650</v>
      </c>
      <c r="C8972" s="1" t="str">
        <f>"113541"</f>
        <v>113541</v>
      </c>
      <c r="D8972" s="1" t="str">
        <f>"113541"</f>
        <v>113541</v>
      </c>
      <c r="E8972" s="1" t="s">
        <v>4566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</row>
    <row r="8973" spans="1:11" x14ac:dyDescent="0.2">
      <c r="A8973" s="1" t="s">
        <v>18</v>
      </c>
      <c r="B8973" s="1" t="s">
        <v>3651</v>
      </c>
      <c r="C8973" s="1" t="str">
        <f>"2223"</f>
        <v>2223</v>
      </c>
      <c r="D8973" s="1" t="str">
        <f>"2223"</f>
        <v>2223</v>
      </c>
      <c r="E8973" s="1" t="s">
        <v>4566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</row>
    <row r="8974" spans="1:11" x14ac:dyDescent="0.2">
      <c r="A8974" s="1" t="s">
        <v>18</v>
      </c>
      <c r="B8974" s="1" t="s">
        <v>3652</v>
      </c>
      <c r="C8974" s="1" t="str">
        <f>"115895"</f>
        <v>115895</v>
      </c>
      <c r="D8974" s="1" t="str">
        <f>"115895"</f>
        <v>115895</v>
      </c>
      <c r="E8974" s="1" t="s">
        <v>4566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</row>
    <row r="8975" spans="1:11" ht="30" x14ac:dyDescent="0.2">
      <c r="A8975" s="1" t="s">
        <v>1213</v>
      </c>
      <c r="B8975" s="1" t="s">
        <v>3653</v>
      </c>
      <c r="C8975" s="1" t="str">
        <f>"66298927260585"</f>
        <v>66298927260585</v>
      </c>
      <c r="D8975" s="1" t="str">
        <f>"400719"</f>
        <v>400719</v>
      </c>
      <c r="E8975" s="1" t="s">
        <v>4566</v>
      </c>
      <c r="F8975" s="1">
        <v>22</v>
      </c>
      <c r="G8975" s="1">
        <v>2091</v>
      </c>
      <c r="H8975" s="1">
        <v>46002</v>
      </c>
      <c r="I8975" s="1">
        <v>0</v>
      </c>
      <c r="J8975" s="1">
        <v>22</v>
      </c>
      <c r="K8975" s="1">
        <v>0</v>
      </c>
    </row>
    <row r="8976" spans="1:11" x14ac:dyDescent="0.2">
      <c r="A8976" s="1" t="s">
        <v>1213</v>
      </c>
      <c r="B8976" s="1" t="s">
        <v>3654</v>
      </c>
      <c r="C8976" s="1" t="str">
        <f>"66298927305154"</f>
        <v>66298927305154</v>
      </c>
      <c r="D8976" s="1" t="str">
        <f>"400721"</f>
        <v>400721</v>
      </c>
      <c r="E8976" s="1" t="s">
        <v>4566</v>
      </c>
      <c r="F8976" s="1">
        <v>36</v>
      </c>
      <c r="G8976" s="1">
        <v>3012</v>
      </c>
      <c r="H8976" s="1">
        <v>108432</v>
      </c>
      <c r="I8976" s="1">
        <v>0</v>
      </c>
      <c r="J8976" s="1">
        <v>36</v>
      </c>
      <c r="K8976" s="1">
        <v>0</v>
      </c>
    </row>
    <row r="8977" spans="1:11" ht="30" x14ac:dyDescent="0.2">
      <c r="A8977" s="1" t="s">
        <v>1213</v>
      </c>
      <c r="B8977" s="1" t="s">
        <v>3655</v>
      </c>
      <c r="C8977" s="1" t="str">
        <f>"66298927397245"</f>
        <v>66298927397245</v>
      </c>
      <c r="D8977" s="1" t="str">
        <f>"400722"</f>
        <v>400722</v>
      </c>
      <c r="E8977" s="1" t="s">
        <v>4566</v>
      </c>
      <c r="F8977" s="1">
        <v>36</v>
      </c>
      <c r="G8977" s="1">
        <v>3675</v>
      </c>
      <c r="H8977" s="1">
        <v>132300</v>
      </c>
      <c r="I8977" s="1">
        <v>0</v>
      </c>
      <c r="J8977" s="1">
        <v>36</v>
      </c>
      <c r="K8977" s="1">
        <v>0</v>
      </c>
    </row>
    <row r="8978" spans="1:11" x14ac:dyDescent="0.2">
      <c r="A8978" s="1" t="s">
        <v>1213</v>
      </c>
      <c r="B8978" s="1" t="s">
        <v>3656</v>
      </c>
      <c r="C8978" s="1" t="str">
        <f>"66298927347843"</f>
        <v>66298927347843</v>
      </c>
      <c r="D8978" s="1" t="str">
        <f>"JG-5514-49/43"</f>
        <v>JG-5514-49/43</v>
      </c>
      <c r="E8978" s="1" t="s">
        <v>4566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</row>
    <row r="8979" spans="1:11" x14ac:dyDescent="0.2">
      <c r="A8979" s="1" t="s">
        <v>1213</v>
      </c>
      <c r="B8979" s="1" t="s">
        <v>3657</v>
      </c>
      <c r="C8979" s="1" t="str">
        <f>"66298927436446"</f>
        <v>66298927436446</v>
      </c>
      <c r="D8979" s="1" t="str">
        <f>"3C1-E6371-E6351"</f>
        <v>3C1-E6371-E6351</v>
      </c>
      <c r="E8979" s="1" t="s">
        <v>4566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</row>
    <row r="8980" spans="1:11" x14ac:dyDescent="0.2">
      <c r="A8980" s="1" t="s">
        <v>1872</v>
      </c>
      <c r="B8980" s="1" t="s">
        <v>3658</v>
      </c>
      <c r="C8980" s="1" t="str">
        <f>"66298927522931"</f>
        <v>66298927522931</v>
      </c>
      <c r="D8980" s="1" t="str">
        <f>"KB008"</f>
        <v>KB008</v>
      </c>
      <c r="E8980" s="1" t="s">
        <v>4566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</row>
    <row r="8981" spans="1:11" x14ac:dyDescent="0.2">
      <c r="A8981" s="1" t="s">
        <v>1872</v>
      </c>
      <c r="B8981" s="1" t="s">
        <v>3659</v>
      </c>
      <c r="C8981" s="1" t="str">
        <f>"66298927481506"</f>
        <v>66298927481506</v>
      </c>
      <c r="D8981" s="1" t="str">
        <f>"KB007"</f>
        <v>KB007</v>
      </c>
      <c r="E8981" s="1" t="s">
        <v>4566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</row>
    <row r="8982" spans="1:11" x14ac:dyDescent="0.2">
      <c r="A8982" s="1" t="s">
        <v>2004</v>
      </c>
      <c r="B8982" s="1" t="s">
        <v>3660</v>
      </c>
      <c r="C8982" s="1" t="str">
        <f>"A150"</f>
        <v>A150</v>
      </c>
      <c r="D8982" s="1" t="str">
        <f>"A150"</f>
        <v>A150</v>
      </c>
      <c r="E8982" s="1" t="s">
        <v>4566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</row>
    <row r="8983" spans="1:11" x14ac:dyDescent="0.2">
      <c r="A8983" s="1" t="s">
        <v>1359</v>
      </c>
      <c r="B8983" s="1" t="s">
        <v>3661</v>
      </c>
      <c r="C8983" s="1" t="str">
        <f>"66298927562421"</f>
        <v>66298927562421</v>
      </c>
      <c r="D8983" s="1" t="str">
        <f>"BH001"</f>
        <v>BH001</v>
      </c>
      <c r="E8983" s="1" t="s">
        <v>4566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</row>
    <row r="8984" spans="1:11" x14ac:dyDescent="0.2">
      <c r="A8984" s="1" t="s">
        <v>18</v>
      </c>
      <c r="B8984" s="1" t="s">
        <v>3662</v>
      </c>
      <c r="C8984" s="1" t="str">
        <f>"JC054-ROJO"</f>
        <v>JC054-ROJO</v>
      </c>
      <c r="D8984" s="1" t="str">
        <f>"JC054-ROJO"</f>
        <v>JC054-ROJO</v>
      </c>
      <c r="E8984" s="1" t="s">
        <v>4566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</row>
    <row r="8985" spans="1:11" x14ac:dyDescent="0.2">
      <c r="A8985" s="1" t="s">
        <v>18</v>
      </c>
      <c r="B8985" s="1" t="s">
        <v>3663</v>
      </c>
      <c r="C8985" s="1" t="str">
        <f>"JC053-AZUL"</f>
        <v>JC053-AZUL</v>
      </c>
      <c r="D8985" s="1" t="str">
        <f>"JC053-AZUL"</f>
        <v>JC053-AZUL</v>
      </c>
      <c r="E8985" s="1" t="s">
        <v>4566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</row>
    <row r="8986" spans="1:11" x14ac:dyDescent="0.2">
      <c r="A8986" s="1" t="s">
        <v>18</v>
      </c>
      <c r="B8986" s="1" t="s">
        <v>3664</v>
      </c>
      <c r="C8986" s="1" t="str">
        <f>"JC053-ROJO"</f>
        <v>JC053-ROJO</v>
      </c>
      <c r="D8986" s="1" t="str">
        <f>"JC053-ROJO"</f>
        <v>JC053-ROJO</v>
      </c>
      <c r="E8986" s="1" t="s">
        <v>4566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</row>
    <row r="8987" spans="1:11" x14ac:dyDescent="0.2">
      <c r="A8987" s="1" t="s">
        <v>18</v>
      </c>
      <c r="B8987" s="1" t="s">
        <v>3665</v>
      </c>
      <c r="C8987" s="1" t="str">
        <f>"JC112"</f>
        <v>JC112</v>
      </c>
      <c r="D8987" s="1" t="str">
        <f>"JC112"</f>
        <v>JC112</v>
      </c>
      <c r="E8987" s="1" t="s">
        <v>4566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</row>
    <row r="8988" spans="1:11" x14ac:dyDescent="0.2">
      <c r="A8988" s="1" t="s">
        <v>3357</v>
      </c>
      <c r="B8988" s="1" t="s">
        <v>3666</v>
      </c>
      <c r="C8988" s="1" t="str">
        <f>"82049"</f>
        <v>82049</v>
      </c>
      <c r="D8988" s="1" t="str">
        <f>"82049"</f>
        <v>82049</v>
      </c>
      <c r="E8988" s="1" t="s">
        <v>4566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</row>
    <row r="8989" spans="1:11" x14ac:dyDescent="0.2">
      <c r="A8989" s="1" t="s">
        <v>3357</v>
      </c>
      <c r="B8989" s="1" t="s">
        <v>3667</v>
      </c>
      <c r="C8989" s="1" t="str">
        <f>"66298927602911"</f>
        <v>66298927602911</v>
      </c>
      <c r="D8989" s="1" t="str">
        <f>"43100-KFC-790"</f>
        <v>43100-KFC-790</v>
      </c>
      <c r="E8989" s="1" t="s">
        <v>4566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</row>
    <row r="8990" spans="1:11" x14ac:dyDescent="0.2">
      <c r="A8990" s="1" t="s">
        <v>3357</v>
      </c>
      <c r="B8990" s="1" t="s">
        <v>3668</v>
      </c>
      <c r="C8990" s="1" t="str">
        <f>"66298927647705"</f>
        <v>66298927647705</v>
      </c>
      <c r="D8990" s="1" t="str">
        <f>"80330"</f>
        <v>80330</v>
      </c>
      <c r="E8990" s="1" t="s">
        <v>4566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</row>
    <row r="8991" spans="1:11" x14ac:dyDescent="0.2">
      <c r="A8991" s="1" t="s">
        <v>3357</v>
      </c>
      <c r="B8991" s="1" t="s">
        <v>3669</v>
      </c>
      <c r="C8991" s="1" t="str">
        <f>"66298927688979"</f>
        <v>66298927688979</v>
      </c>
      <c r="D8991" s="1" t="str">
        <f>"82826"</f>
        <v>82826</v>
      </c>
      <c r="E8991" s="1" t="s">
        <v>4566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</row>
    <row r="8992" spans="1:11" x14ac:dyDescent="0.2">
      <c r="A8992" s="1" t="s">
        <v>98</v>
      </c>
      <c r="B8992" s="1" t="s">
        <v>3670</v>
      </c>
      <c r="C8992" s="1" t="str">
        <f>"66298927726393"</f>
        <v>66298927726393</v>
      </c>
      <c r="D8992" s="1" t="str">
        <f>"TC001"</f>
        <v>TC001</v>
      </c>
      <c r="E8992" s="1" t="s">
        <v>4566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</row>
    <row r="8993" spans="1:11" x14ac:dyDescent="0.2">
      <c r="A8993" s="1" t="s">
        <v>3671</v>
      </c>
      <c r="B8993" s="1" t="s">
        <v>3672</v>
      </c>
      <c r="C8993" s="1" t="str">
        <f>"PROMO"</f>
        <v>PROMO</v>
      </c>
      <c r="D8993" s="1" t="str">
        <f>"PROMO"</f>
        <v>PROMO</v>
      </c>
      <c r="E8993" s="1" t="s">
        <v>4566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</row>
    <row r="8994" spans="1:11" x14ac:dyDescent="0.2">
      <c r="A8994" s="1" t="s">
        <v>18</v>
      </c>
      <c r="B8994" s="1" t="s">
        <v>3673</v>
      </c>
      <c r="C8994" s="1" t="str">
        <f>"1789"</f>
        <v>1789</v>
      </c>
      <c r="D8994" s="1" t="str">
        <f>"1789"</f>
        <v>1789</v>
      </c>
      <c r="E8994" s="1" t="s">
        <v>4566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</row>
    <row r="8995" spans="1:11" x14ac:dyDescent="0.2">
      <c r="A8995" s="1" t="s">
        <v>18</v>
      </c>
      <c r="B8995" s="1" t="s">
        <v>3673</v>
      </c>
      <c r="C8995" s="1" t="str">
        <f>"WA027-NEG/ROJO"</f>
        <v>WA027-NEG/ROJO</v>
      </c>
      <c r="D8995" s="1" t="str">
        <f>"WA027-NEG/ROJO"</f>
        <v>WA027-NEG/ROJO</v>
      </c>
      <c r="E8995" s="1" t="s">
        <v>4566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</row>
    <row r="8996" spans="1:11" x14ac:dyDescent="0.2">
      <c r="A8996" s="1" t="s">
        <v>18</v>
      </c>
      <c r="B8996" s="1" t="s">
        <v>3674</v>
      </c>
      <c r="C8996" s="1" t="str">
        <f>"66298927765537"</f>
        <v>66298927765537</v>
      </c>
      <c r="D8996" s="1" t="str">
        <f>"MM3"</f>
        <v>MM3</v>
      </c>
      <c r="E8996" s="1" t="s">
        <v>4566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</row>
    <row r="8997" spans="1:11" x14ac:dyDescent="0.2">
      <c r="A8997" s="1" t="s">
        <v>18</v>
      </c>
      <c r="B8997" s="1" t="s">
        <v>3675</v>
      </c>
      <c r="C8997" s="1" t="str">
        <f>"66298927808609"</f>
        <v>66298927808609</v>
      </c>
      <c r="D8997" s="1" t="str">
        <f>"MM4"</f>
        <v>MM4</v>
      </c>
      <c r="E8997" s="1" t="s">
        <v>4566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</row>
    <row r="8998" spans="1:11" x14ac:dyDescent="0.2">
      <c r="A8998" s="1" t="s">
        <v>18</v>
      </c>
      <c r="B8998" s="1" t="s">
        <v>3676</v>
      </c>
      <c r="C8998" s="1" t="str">
        <f>"66298927850032"</f>
        <v>66298927850032</v>
      </c>
      <c r="D8998" s="1" t="str">
        <f>"1187-FILTRO"</f>
        <v>1187-FILTRO</v>
      </c>
      <c r="E8998" s="1" t="s">
        <v>4566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</row>
    <row r="8999" spans="1:11" x14ac:dyDescent="0.2">
      <c r="A8999" s="1" t="s">
        <v>18</v>
      </c>
      <c r="B8999" s="1" t="s">
        <v>3677</v>
      </c>
      <c r="C8999" s="1" t="str">
        <f>"66298927890113"</f>
        <v>66298927890113</v>
      </c>
      <c r="D8999" s="1" t="str">
        <f>"YW2013-1"</f>
        <v>YW2013-1</v>
      </c>
      <c r="E8999" s="1" t="s">
        <v>4566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</row>
    <row r="9000" spans="1:11" x14ac:dyDescent="0.2">
      <c r="A9000" s="1" t="s">
        <v>18</v>
      </c>
      <c r="B9000" s="1" t="s">
        <v>3678</v>
      </c>
      <c r="C9000" s="1" t="str">
        <f>"66298927932372"</f>
        <v>66298927932372</v>
      </c>
      <c r="D9000" s="1" t="str">
        <f>"MM2"</f>
        <v>MM2</v>
      </c>
      <c r="E9000" s="1" t="s">
        <v>4566</v>
      </c>
      <c r="F9000" s="1">
        <v>47</v>
      </c>
      <c r="G9000" s="1">
        <v>1600</v>
      </c>
      <c r="H9000" s="1">
        <v>75200</v>
      </c>
      <c r="I9000" s="1">
        <v>0</v>
      </c>
      <c r="J9000" s="1">
        <v>47</v>
      </c>
      <c r="K9000" s="1">
        <v>0</v>
      </c>
    </row>
    <row r="9001" spans="1:11" x14ac:dyDescent="0.2">
      <c r="A9001" s="1" t="s">
        <v>18</v>
      </c>
      <c r="B9001" s="1" t="s">
        <v>3679</v>
      </c>
      <c r="C9001" s="1" t="str">
        <f>"66298927975446"</f>
        <v>66298927975446</v>
      </c>
      <c r="D9001" s="1" t="str">
        <f>"2320-NEGRO"</f>
        <v>2320-NEGRO</v>
      </c>
      <c r="E9001" s="1" t="s">
        <v>4566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</row>
    <row r="9002" spans="1:11" x14ac:dyDescent="0.2">
      <c r="A9002" s="1" t="s">
        <v>18</v>
      </c>
      <c r="B9002" s="1" t="s">
        <v>3680</v>
      </c>
      <c r="C9002" s="1" t="str">
        <f>"66298928024219"</f>
        <v>66298928024219</v>
      </c>
      <c r="D9002" s="1" t="str">
        <f>"116214-NEGRO"</f>
        <v>116214-NEGRO</v>
      </c>
      <c r="E9002" s="1" t="s">
        <v>4566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</row>
    <row r="9003" spans="1:11" x14ac:dyDescent="0.2">
      <c r="A9003" s="1" t="s">
        <v>18</v>
      </c>
      <c r="B9003" s="1" t="s">
        <v>3680</v>
      </c>
      <c r="C9003" s="1" t="str">
        <f>"66298928030236"</f>
        <v>66298928030236</v>
      </c>
      <c r="D9003" s="1" t="str">
        <f>"116214-GRIS"</f>
        <v>116214-GRIS</v>
      </c>
      <c r="E9003" s="1" t="s">
        <v>4566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</row>
    <row r="9004" spans="1:11" x14ac:dyDescent="0.2">
      <c r="A9004" s="1" t="s">
        <v>1351</v>
      </c>
      <c r="B9004" s="1" t="s">
        <v>3681</v>
      </c>
      <c r="C9004" s="1" t="str">
        <f>"Y006"</f>
        <v>Y006</v>
      </c>
      <c r="D9004" s="1" t="str">
        <f>"Y006"</f>
        <v>Y006</v>
      </c>
      <c r="E9004" s="1" t="s">
        <v>4566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</row>
    <row r="9005" spans="1:11" x14ac:dyDescent="0.2">
      <c r="A9005" s="1" t="s">
        <v>1351</v>
      </c>
      <c r="B9005" s="1" t="s">
        <v>3682</v>
      </c>
      <c r="C9005" s="1" t="str">
        <f>"66298928083612"</f>
        <v>66298928083612</v>
      </c>
      <c r="D9005" s="1" t="str">
        <f>"Y293"</f>
        <v>Y293</v>
      </c>
      <c r="E9005" s="1" t="s">
        <v>4566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</row>
    <row r="9006" spans="1:11" x14ac:dyDescent="0.2">
      <c r="A9006" s="1" t="s">
        <v>1351</v>
      </c>
      <c r="B9006" s="1" t="s">
        <v>3683</v>
      </c>
      <c r="C9006" s="1" t="str">
        <f>"14781H2C000H000"</f>
        <v>14781H2C000H000</v>
      </c>
      <c r="D9006" s="1" t="str">
        <f>"14781H2C000H000"</f>
        <v>14781H2C000H000</v>
      </c>
      <c r="E9006" s="1" t="s">
        <v>4566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</row>
    <row r="9007" spans="1:11" x14ac:dyDescent="0.2">
      <c r="A9007" s="1" t="s">
        <v>98</v>
      </c>
      <c r="B9007" s="1" t="s">
        <v>3684</v>
      </c>
      <c r="C9007" s="1" t="str">
        <f>"66298928128196"</f>
        <v>66298928128196</v>
      </c>
      <c r="D9007" s="1" t="str">
        <f>"44352H2C000H000"</f>
        <v>44352H2C000H000</v>
      </c>
      <c r="E9007" s="1" t="s">
        <v>4566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</row>
    <row r="9008" spans="1:11" x14ac:dyDescent="0.2">
      <c r="A9008" s="1" t="s">
        <v>18</v>
      </c>
      <c r="B9008" s="1" t="s">
        <v>3685</v>
      </c>
      <c r="C9008" s="1" t="str">
        <f>"3176"</f>
        <v>3176</v>
      </c>
      <c r="D9008" s="1" t="str">
        <f>"3176"</f>
        <v>3176</v>
      </c>
      <c r="E9008" s="1" t="s">
        <v>4566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</row>
    <row r="9009" spans="1:11" x14ac:dyDescent="0.2">
      <c r="A9009" s="1" t="s">
        <v>98</v>
      </c>
      <c r="B9009" s="1" t="s">
        <v>3686</v>
      </c>
      <c r="C9009" s="1" t="str">
        <f>"66298928194374"</f>
        <v>66298928194374</v>
      </c>
      <c r="D9009" s="1" t="str">
        <f>"3473-AZUL"</f>
        <v>3473-AZUL</v>
      </c>
      <c r="E9009" s="1" t="s">
        <v>4566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</row>
    <row r="9010" spans="1:11" x14ac:dyDescent="0.2">
      <c r="A9010" s="1" t="s">
        <v>1351</v>
      </c>
      <c r="B9010" s="1" t="s">
        <v>3687</v>
      </c>
      <c r="C9010" s="1" t="str">
        <f>"66298928251421"</f>
        <v>66298928251421</v>
      </c>
      <c r="D9010" s="1" t="str">
        <f>"TB006"</f>
        <v>TB006</v>
      </c>
      <c r="E9010" s="1" t="s">
        <v>4566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</row>
    <row r="9011" spans="1:11" x14ac:dyDescent="0.2">
      <c r="A9011" s="1" t="s">
        <v>18</v>
      </c>
      <c r="B9011" s="1" t="s">
        <v>3688</v>
      </c>
      <c r="C9011" s="1" t="str">
        <f>"66298928302759"</f>
        <v>66298928302759</v>
      </c>
      <c r="D9011" s="1" t="str">
        <f>"4319-NEGRO"</f>
        <v>4319-NEGRO</v>
      </c>
      <c r="E9011" s="1" t="s">
        <v>4566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</row>
    <row r="9012" spans="1:11" x14ac:dyDescent="0.2">
      <c r="A9012" s="1" t="s">
        <v>18</v>
      </c>
      <c r="B9012" s="1" t="s">
        <v>3689</v>
      </c>
      <c r="C9012" s="1" t="str">
        <f>"66298928351533"</f>
        <v>66298928351533</v>
      </c>
      <c r="D9012" s="1" t="str">
        <f>"RB003-VERDE"</f>
        <v>RB003-VERDE</v>
      </c>
      <c r="E9012" s="1" t="s">
        <v>4566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</row>
    <row r="9013" spans="1:11" ht="30" x14ac:dyDescent="0.2">
      <c r="A9013" s="1" t="s">
        <v>18</v>
      </c>
      <c r="B9013" s="1" t="s">
        <v>3690</v>
      </c>
      <c r="C9013" s="1" t="str">
        <f>"133088-NEGRO"</f>
        <v>133088-NEGRO</v>
      </c>
      <c r="D9013" s="1" t="str">
        <f>"133088-NEGRO"</f>
        <v>133088-NEGRO</v>
      </c>
      <c r="E9013" s="1" t="s">
        <v>4566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</row>
    <row r="9014" spans="1:11" ht="30" x14ac:dyDescent="0.2">
      <c r="A9014" s="1" t="s">
        <v>18</v>
      </c>
      <c r="B9014" s="1" t="s">
        <v>3691</v>
      </c>
      <c r="C9014" s="1" t="str">
        <f>"133088-ROJO"</f>
        <v>133088-ROJO</v>
      </c>
      <c r="D9014" s="1" t="str">
        <f>"133088-ROJO"</f>
        <v>133088-ROJO</v>
      </c>
      <c r="E9014" s="1" t="s">
        <v>4566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</row>
    <row r="9015" spans="1:11" x14ac:dyDescent="0.2">
      <c r="A9015" s="1" t="s">
        <v>18</v>
      </c>
      <c r="B9015" s="1" t="s">
        <v>3692</v>
      </c>
      <c r="C9015" s="1" t="str">
        <f>"66298928398398"</f>
        <v>66298928398398</v>
      </c>
      <c r="D9015" s="1" t="str">
        <f>"82301"</f>
        <v>82301</v>
      </c>
      <c r="E9015" s="1" t="s">
        <v>4566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</row>
    <row r="9016" spans="1:11" x14ac:dyDescent="0.2">
      <c r="A9016" s="1" t="s">
        <v>18</v>
      </c>
      <c r="B9016" s="1" t="s">
        <v>3693</v>
      </c>
      <c r="C9016" s="1" t="str">
        <f>"0604-AZUL"</f>
        <v>0604-AZUL</v>
      </c>
      <c r="D9016" s="1" t="str">
        <f>"0604-AZUL"</f>
        <v>0604-AZUL</v>
      </c>
      <c r="E9016" s="1" t="s">
        <v>4566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</row>
    <row r="9017" spans="1:11" x14ac:dyDescent="0.2">
      <c r="A9017" s="1" t="s">
        <v>18</v>
      </c>
      <c r="B9017" s="1" t="s">
        <v>3694</v>
      </c>
      <c r="C9017" s="1" t="str">
        <f>"0604-NEGRO"</f>
        <v>0604-NEGRO</v>
      </c>
      <c r="D9017" s="1" t="str">
        <f>"0604-NEGRO"</f>
        <v>0604-NEGRO</v>
      </c>
      <c r="E9017" s="1" t="s">
        <v>4566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</row>
    <row r="9018" spans="1:11" x14ac:dyDescent="0.2">
      <c r="A9018" s="1" t="s">
        <v>18</v>
      </c>
      <c r="B9018" s="1" t="s">
        <v>3695</v>
      </c>
      <c r="C9018" s="1" t="str">
        <f>"0604-ROJO"</f>
        <v>0604-ROJO</v>
      </c>
      <c r="D9018" s="1" t="str">
        <f>"0604-ROJO"</f>
        <v>0604-ROJO</v>
      </c>
      <c r="E9018" s="1" t="s">
        <v>4566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</row>
    <row r="9019" spans="1:11" x14ac:dyDescent="0.2">
      <c r="A9019" s="1" t="s">
        <v>18</v>
      </c>
      <c r="B9019" s="1" t="s">
        <v>3696</v>
      </c>
      <c r="C9019" s="1" t="str">
        <f>"66298928488138"</f>
        <v>66298928488138</v>
      </c>
      <c r="D9019" s="1" t="str">
        <f>"RB008-BLANCO"</f>
        <v>RB008-BLANCO</v>
      </c>
      <c r="E9019" s="1" t="s">
        <v>4566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</row>
    <row r="9020" spans="1:11" x14ac:dyDescent="0.2">
      <c r="A9020" s="1" t="s">
        <v>18</v>
      </c>
      <c r="B9020" s="1" t="s">
        <v>3697</v>
      </c>
      <c r="C9020" s="1" t="str">
        <f>"133165-AZUL"</f>
        <v>133165-AZUL</v>
      </c>
      <c r="D9020" s="1" t="str">
        <f>"133165-AZUL"</f>
        <v>133165-AZUL</v>
      </c>
      <c r="E9020" s="1" t="s">
        <v>4566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</row>
    <row r="9021" spans="1:11" x14ac:dyDescent="0.2">
      <c r="A9021" s="1" t="s">
        <v>18</v>
      </c>
      <c r="B9021" s="1" t="s">
        <v>3698</v>
      </c>
      <c r="C9021" s="1" t="str">
        <f>"133165-ROJO"</f>
        <v>133165-ROJO</v>
      </c>
      <c r="D9021" s="1" t="str">
        <f>"133165-ROJO"</f>
        <v>133165-ROJO</v>
      </c>
      <c r="E9021" s="1" t="s">
        <v>4566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</row>
    <row r="9022" spans="1:11" ht="30" x14ac:dyDescent="0.2">
      <c r="A9022" s="1" t="s">
        <v>18</v>
      </c>
      <c r="B9022" s="1" t="s">
        <v>3699</v>
      </c>
      <c r="C9022" s="1" t="str">
        <f>"66298928526268"</f>
        <v>66298928526268</v>
      </c>
      <c r="D9022" s="1" t="str">
        <f>"RB009-CAFE"</f>
        <v>RB009-CAFE</v>
      </c>
      <c r="E9022" s="1" t="s">
        <v>4566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</row>
    <row r="9023" spans="1:11" ht="30" x14ac:dyDescent="0.2">
      <c r="A9023" s="1" t="s">
        <v>18</v>
      </c>
      <c r="B9023" s="1" t="s">
        <v>3700</v>
      </c>
      <c r="C9023" s="1" t="str">
        <f>"66298928569807"</f>
        <v>66298928569807</v>
      </c>
      <c r="D9023" s="1" t="str">
        <f>"RB009-NARANJO"</f>
        <v>RB009-NARANJO</v>
      </c>
      <c r="E9023" s="1" t="s">
        <v>4566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</row>
    <row r="9024" spans="1:11" ht="30" x14ac:dyDescent="0.2">
      <c r="A9024" s="1" t="s">
        <v>18</v>
      </c>
      <c r="B9024" s="1" t="s">
        <v>3701</v>
      </c>
      <c r="C9024" s="1" t="str">
        <f>"CUBRE-G-NEGRO"</f>
        <v>CUBRE-G-NEGRO</v>
      </c>
      <c r="D9024" s="1" t="str">
        <f>"CUBRE-G-NEGRO"</f>
        <v>CUBRE-G-NEGRO</v>
      </c>
      <c r="E9024" s="1" t="s">
        <v>4566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</row>
    <row r="9025" spans="1:11" x14ac:dyDescent="0.2">
      <c r="A9025" s="1" t="s">
        <v>18</v>
      </c>
      <c r="B9025" s="1" t="s">
        <v>3702</v>
      </c>
      <c r="C9025" s="1" t="str">
        <f>"CUBRE-G-ROJO"</f>
        <v>CUBRE-G-ROJO</v>
      </c>
      <c r="D9025" s="1" t="str">
        <f>"CUBRE-G-ROJO"</f>
        <v>CUBRE-G-ROJO</v>
      </c>
      <c r="E9025" s="1" t="s">
        <v>4566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</row>
    <row r="9026" spans="1:11" ht="30" x14ac:dyDescent="0.2">
      <c r="A9026" s="1" t="s">
        <v>18</v>
      </c>
      <c r="B9026" s="1" t="s">
        <v>3703</v>
      </c>
      <c r="C9026" s="1" t="str">
        <f>"CUBRE-P-BLANCO"</f>
        <v>CUBRE-P-BLANCO</v>
      </c>
      <c r="D9026" s="1" t="str">
        <f>"CUBRE-P-BLANCO"</f>
        <v>CUBRE-P-BLANCO</v>
      </c>
      <c r="E9026" s="1" t="s">
        <v>4566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</row>
    <row r="9027" spans="1:11" ht="30" x14ac:dyDescent="0.2">
      <c r="A9027" s="1" t="s">
        <v>18</v>
      </c>
      <c r="B9027" s="1" t="s">
        <v>3704</v>
      </c>
      <c r="C9027" s="1" t="str">
        <f>"CUBRE-P-NEGRO"</f>
        <v>CUBRE-P-NEGRO</v>
      </c>
      <c r="D9027" s="1" t="str">
        <f>"CUBRE-P-NEGRO"</f>
        <v>CUBRE-P-NEGRO</v>
      </c>
      <c r="E9027" s="1" t="s">
        <v>4566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</row>
    <row r="9028" spans="1:11" x14ac:dyDescent="0.2">
      <c r="A9028" s="1" t="s">
        <v>18</v>
      </c>
      <c r="B9028" s="1" t="s">
        <v>3705</v>
      </c>
      <c r="C9028" s="1" t="str">
        <f>"55882"</f>
        <v>55882</v>
      </c>
      <c r="D9028" s="1" t="str">
        <f>"55882"</f>
        <v>55882</v>
      </c>
      <c r="E9028" s="1" t="s">
        <v>4566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</row>
    <row r="9029" spans="1:11" x14ac:dyDescent="0.2">
      <c r="A9029" s="1" t="s">
        <v>18</v>
      </c>
      <c r="B9029" s="1" t="s">
        <v>3705</v>
      </c>
      <c r="C9029" s="1" t="str">
        <f>"55883"</f>
        <v>55883</v>
      </c>
      <c r="D9029" s="1" t="str">
        <f>"55883"</f>
        <v>55883</v>
      </c>
      <c r="E9029" s="1" t="s">
        <v>4566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</row>
    <row r="9030" spans="1:11" x14ac:dyDescent="0.2">
      <c r="A9030" s="1" t="s">
        <v>18</v>
      </c>
      <c r="B9030" s="1" t="s">
        <v>3705</v>
      </c>
      <c r="C9030" s="1" t="str">
        <f>"RB003"</f>
        <v>RB003</v>
      </c>
      <c r="D9030" s="1" t="str">
        <f>"RB003"</f>
        <v>RB003</v>
      </c>
      <c r="E9030" s="1" t="s">
        <v>4566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</row>
    <row r="9031" spans="1:11" x14ac:dyDescent="0.2">
      <c r="A9031" s="1" t="s">
        <v>18</v>
      </c>
      <c r="B9031" s="1" t="s">
        <v>3706</v>
      </c>
      <c r="C9031" s="1" t="str">
        <f>"66298928612281"</f>
        <v>66298928612281</v>
      </c>
      <c r="D9031" s="1" t="str">
        <f>"RB012-AZUL"</f>
        <v>RB012-AZUL</v>
      </c>
      <c r="E9031" s="1" t="s">
        <v>4566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</row>
    <row r="9032" spans="1:11" ht="30" x14ac:dyDescent="0.2">
      <c r="A9032" s="1" t="s">
        <v>18</v>
      </c>
      <c r="B9032" s="1" t="s">
        <v>3707</v>
      </c>
      <c r="C9032" s="1" t="str">
        <f>"66298928657123"</f>
        <v>66298928657123</v>
      </c>
      <c r="D9032" s="1" t="str">
        <f>"RB012-NARANJA"</f>
        <v>RB012-NARANJA</v>
      </c>
      <c r="E9032" s="1" t="s">
        <v>4566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</row>
    <row r="9033" spans="1:11" x14ac:dyDescent="0.2">
      <c r="A9033" s="1" t="s">
        <v>18</v>
      </c>
      <c r="B9033" s="1" t="s">
        <v>3708</v>
      </c>
      <c r="C9033" s="1" t="str">
        <f>"66298928697047"</f>
        <v>66298928697047</v>
      </c>
      <c r="D9033" s="1" t="str">
        <f>"RB012-NEGRO"</f>
        <v>RB012-NEGRO</v>
      </c>
      <c r="E9033" s="1" t="s">
        <v>4566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</row>
    <row r="9034" spans="1:11" x14ac:dyDescent="0.2">
      <c r="A9034" s="1" t="s">
        <v>18</v>
      </c>
      <c r="B9034" s="1" t="s">
        <v>3709</v>
      </c>
      <c r="C9034" s="1" t="str">
        <f>"66298928738602"</f>
        <v>66298928738602</v>
      </c>
      <c r="D9034" s="1" t="str">
        <f>"RB012-VERDE"</f>
        <v>RB012-VERDE</v>
      </c>
      <c r="E9034" s="1" t="s">
        <v>4566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</row>
    <row r="9035" spans="1:11" x14ac:dyDescent="0.2">
      <c r="A9035" s="1" t="s">
        <v>18</v>
      </c>
      <c r="B9035" s="1" t="s">
        <v>3710</v>
      </c>
      <c r="C9035" s="1" t="str">
        <f>"66298928781827"</f>
        <v>66298928781827</v>
      </c>
      <c r="D9035" s="1" t="str">
        <f>"82304"</f>
        <v>82304</v>
      </c>
      <c r="E9035" s="1" t="s">
        <v>4566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</row>
    <row r="9036" spans="1:11" x14ac:dyDescent="0.2">
      <c r="A9036" s="1" t="s">
        <v>98</v>
      </c>
      <c r="B9036" s="1" t="s">
        <v>3711</v>
      </c>
      <c r="C9036" s="1" t="str">
        <f>"66502509408827"</f>
        <v>66502509408827</v>
      </c>
      <c r="D9036" s="1" t="str">
        <f>"PRUASV"</f>
        <v>PRUASV</v>
      </c>
      <c r="E9036" s="1" t="s">
        <v>4566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</row>
    <row r="9037" spans="1:11" x14ac:dyDescent="0.2">
      <c r="A9037" s="1" t="s">
        <v>98</v>
      </c>
      <c r="B9037" s="1" t="s">
        <v>3712</v>
      </c>
      <c r="C9037" s="1" t="str">
        <f>"66298928822232"</f>
        <v>66298928822232</v>
      </c>
      <c r="D9037" s="1" t="str">
        <f>"PRUEBA-1"</f>
        <v>PRUEBA-1</v>
      </c>
      <c r="E9037" s="1" t="s">
        <v>4566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</row>
    <row r="9038" spans="1:11" x14ac:dyDescent="0.2">
      <c r="A9038" s="1" t="s">
        <v>98</v>
      </c>
      <c r="B9038" s="1" t="s">
        <v>3713</v>
      </c>
      <c r="C9038" s="1" t="str">
        <f>"66298928863388"</f>
        <v>66298928863388</v>
      </c>
      <c r="D9038" s="1" t="str">
        <f>"PRUEBA-2"</f>
        <v>PRUEBA-2</v>
      </c>
      <c r="E9038" s="1" t="s">
        <v>4566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</row>
    <row r="9039" spans="1:11" x14ac:dyDescent="0.2">
      <c r="A9039" s="1" t="s">
        <v>98</v>
      </c>
      <c r="B9039" s="1" t="s">
        <v>3714</v>
      </c>
      <c r="C9039" s="1" t="str">
        <f>"66298928903605"</f>
        <v>66298928903605</v>
      </c>
      <c r="D9039" s="1" t="str">
        <f>"PRUEBA-3"</f>
        <v>PRUEBA-3</v>
      </c>
      <c r="E9039" s="1" t="s">
        <v>4566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</row>
    <row r="9040" spans="1:11" x14ac:dyDescent="0.2">
      <c r="A9040" s="1" t="s">
        <v>98</v>
      </c>
      <c r="B9040" s="1" t="s">
        <v>3715</v>
      </c>
      <c r="C9040" s="1" t="str">
        <f>"66298928995746"</f>
        <v>66298928995746</v>
      </c>
      <c r="D9040" s="1" t="str">
        <f>"PROVEEDOR-1"</f>
        <v>PROVEEDOR-1</v>
      </c>
      <c r="E9040" s="1" t="s">
        <v>4566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</row>
    <row r="9041" spans="1:11" x14ac:dyDescent="0.2">
      <c r="A9041" s="1" t="s">
        <v>18</v>
      </c>
      <c r="B9041" s="1" t="s">
        <v>3716</v>
      </c>
      <c r="C9041" s="1" t="str">
        <f>"7335"</f>
        <v>7335</v>
      </c>
      <c r="D9041" s="1" t="str">
        <f>"7335"</f>
        <v>7335</v>
      </c>
      <c r="E9041" s="1" t="s">
        <v>4566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</row>
    <row r="9042" spans="1:11" x14ac:dyDescent="0.2">
      <c r="A9042" s="1" t="s">
        <v>18</v>
      </c>
      <c r="B9042" s="1" t="s">
        <v>3717</v>
      </c>
      <c r="C9042" s="1" t="str">
        <f>"ZZE009-NEGRO"</f>
        <v>ZZE009-NEGRO</v>
      </c>
      <c r="D9042" s="1" t="str">
        <f>"ZZE009-NEGRO"</f>
        <v>ZZE009-NEGRO</v>
      </c>
      <c r="E9042" s="1" t="s">
        <v>4566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</row>
    <row r="9043" spans="1:11" x14ac:dyDescent="0.2">
      <c r="A9043" s="1" t="s">
        <v>18</v>
      </c>
      <c r="B9043" s="1" t="s">
        <v>3718</v>
      </c>
      <c r="C9043" s="1" t="str">
        <f>"66298929038391"</f>
        <v>66298929038391</v>
      </c>
      <c r="D9043" s="1" t="str">
        <f>"WJ005"</f>
        <v>WJ005</v>
      </c>
      <c r="E9043" s="1" t="s">
        <v>4566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</row>
    <row r="9044" spans="1:11" x14ac:dyDescent="0.2">
      <c r="A9044" s="1" t="s">
        <v>18</v>
      </c>
      <c r="B9044" s="1" t="s">
        <v>3719</v>
      </c>
      <c r="C9044" s="1" t="str">
        <f>"66298929305412"</f>
        <v>66298929305412</v>
      </c>
      <c r="D9044" s="1" t="str">
        <f>"J039-ROJO"</f>
        <v>J039-ROJO</v>
      </c>
      <c r="E9044" s="1" t="s">
        <v>4566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</row>
    <row r="9045" spans="1:11" x14ac:dyDescent="0.2">
      <c r="A9045" s="1" t="s">
        <v>18</v>
      </c>
      <c r="B9045" s="1" t="s">
        <v>3720</v>
      </c>
      <c r="C9045" s="1" t="str">
        <f>"0296-AZUL"</f>
        <v>0296-AZUL</v>
      </c>
      <c r="D9045" s="1" t="str">
        <f>"0296-AZUL"</f>
        <v>0296-AZUL</v>
      </c>
      <c r="E9045" s="1" t="s">
        <v>4566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</row>
    <row r="9046" spans="1:11" x14ac:dyDescent="0.2">
      <c r="A9046" s="1" t="s">
        <v>18</v>
      </c>
      <c r="B9046" s="1" t="s">
        <v>3721</v>
      </c>
      <c r="C9046" s="1" t="str">
        <f>"0296-DORADO"</f>
        <v>0296-DORADO</v>
      </c>
      <c r="D9046" s="1" t="str">
        <f>"0296-DORADO"</f>
        <v>0296-DORADO</v>
      </c>
      <c r="E9046" s="1" t="s">
        <v>4566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</row>
    <row r="9047" spans="1:11" x14ac:dyDescent="0.2">
      <c r="A9047" s="1" t="s">
        <v>18</v>
      </c>
      <c r="B9047" s="1" t="s">
        <v>3722</v>
      </c>
      <c r="C9047" s="1" t="str">
        <f>"0296-NEGRO"</f>
        <v>0296-NEGRO</v>
      </c>
      <c r="D9047" s="1" t="str">
        <f>"0296-NEGRO"</f>
        <v>0296-NEGRO</v>
      </c>
      <c r="E9047" s="1" t="s">
        <v>4566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</row>
    <row r="9048" spans="1:11" ht="30" x14ac:dyDescent="0.2">
      <c r="A9048" s="1" t="s">
        <v>18</v>
      </c>
      <c r="B9048" s="1" t="s">
        <v>3723</v>
      </c>
      <c r="C9048" s="1" t="str">
        <f>"0296-PLATEADO"</f>
        <v>0296-PLATEADO</v>
      </c>
      <c r="D9048" s="1" t="str">
        <f>"0296-PLATEADO"</f>
        <v>0296-PLATEADO</v>
      </c>
      <c r="E9048" s="1" t="s">
        <v>4566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</row>
    <row r="9049" spans="1:11" x14ac:dyDescent="0.2">
      <c r="A9049" s="1" t="s">
        <v>18</v>
      </c>
      <c r="B9049" s="1" t="s">
        <v>3724</v>
      </c>
      <c r="C9049" s="1" t="str">
        <f>"0296-ROJO"</f>
        <v>0296-ROJO</v>
      </c>
      <c r="D9049" s="1" t="str">
        <f>"0296-ROJO"</f>
        <v>0296-ROJO</v>
      </c>
      <c r="E9049" s="1" t="s">
        <v>4566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</row>
    <row r="9050" spans="1:11" ht="30" x14ac:dyDescent="0.2">
      <c r="A9050" s="1" t="s">
        <v>18</v>
      </c>
      <c r="B9050" s="1" t="s">
        <v>3725</v>
      </c>
      <c r="C9050" s="1" t="str">
        <f>"DSB-AMARILLO"</f>
        <v>DSB-AMARILLO</v>
      </c>
      <c r="D9050" s="1" t="str">
        <f>"DBS-AMARILLO"</f>
        <v>DBS-AMARILLO</v>
      </c>
      <c r="E9050" s="1" t="s">
        <v>4566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</row>
    <row r="9051" spans="1:11" x14ac:dyDescent="0.2">
      <c r="A9051" s="1" t="s">
        <v>18</v>
      </c>
      <c r="B9051" s="1" t="s">
        <v>3726</v>
      </c>
      <c r="C9051" s="1" t="str">
        <f>"DBS-AZUL"</f>
        <v>DBS-AZUL</v>
      </c>
      <c r="D9051" s="1" t="str">
        <f>"DBS-AZUL"</f>
        <v>DBS-AZUL</v>
      </c>
      <c r="E9051" s="1" t="s">
        <v>4566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</row>
    <row r="9052" spans="1:11" x14ac:dyDescent="0.2">
      <c r="A9052" s="1" t="s">
        <v>18</v>
      </c>
      <c r="B9052" s="1" t="s">
        <v>3727</v>
      </c>
      <c r="C9052" s="1" t="str">
        <f>"DBS-NARANJO"</f>
        <v>DBS-NARANJO</v>
      </c>
      <c r="D9052" s="1" t="str">
        <f>"DBS-NARANJO"</f>
        <v>DBS-NARANJO</v>
      </c>
      <c r="E9052" s="1" t="s">
        <v>4566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</row>
    <row r="9053" spans="1:11" x14ac:dyDescent="0.2">
      <c r="A9053" s="1" t="s">
        <v>18</v>
      </c>
      <c r="B9053" s="1" t="s">
        <v>3728</v>
      </c>
      <c r="C9053" s="1" t="str">
        <f>"DBS-ROJO"</f>
        <v>DBS-ROJO</v>
      </c>
      <c r="D9053" s="1" t="str">
        <f>"DBS-ROJO"</f>
        <v>DBS-ROJO</v>
      </c>
      <c r="E9053" s="1" t="s">
        <v>4566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</row>
    <row r="9054" spans="1:11" x14ac:dyDescent="0.2">
      <c r="A9054" s="1" t="s">
        <v>18</v>
      </c>
      <c r="B9054" s="1" t="s">
        <v>3729</v>
      </c>
      <c r="C9054" s="1" t="str">
        <f>"4739-AZUL"</f>
        <v>4739-AZUL</v>
      </c>
      <c r="D9054" s="1" t="str">
        <f>"4739-AZUL"</f>
        <v>4739-AZUL</v>
      </c>
      <c r="E9054" s="1" t="s">
        <v>4566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</row>
    <row r="9055" spans="1:11" x14ac:dyDescent="0.2">
      <c r="A9055" s="1" t="s">
        <v>18</v>
      </c>
      <c r="B9055" s="1" t="s">
        <v>3730</v>
      </c>
      <c r="C9055" s="1" t="str">
        <f>"4739-DORADO"</f>
        <v>4739-DORADO</v>
      </c>
      <c r="D9055" s="1" t="str">
        <f>"4739-DORADO"</f>
        <v>4739-DORADO</v>
      </c>
      <c r="E9055" s="1" t="s">
        <v>4566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</row>
    <row r="9056" spans="1:11" x14ac:dyDescent="0.2">
      <c r="A9056" s="1" t="s">
        <v>18</v>
      </c>
      <c r="B9056" s="1" t="s">
        <v>3731</v>
      </c>
      <c r="C9056" s="1" t="str">
        <f>"4739-NEGRO"</f>
        <v>4739-NEGRO</v>
      </c>
      <c r="D9056" s="1" t="str">
        <f>"4739-NEGRO"</f>
        <v>4739-NEGRO</v>
      </c>
      <c r="E9056" s="1" t="s">
        <v>4566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</row>
    <row r="9057" spans="1:11" x14ac:dyDescent="0.2">
      <c r="A9057" s="1" t="s">
        <v>18</v>
      </c>
      <c r="B9057" s="1" t="s">
        <v>3732</v>
      </c>
      <c r="C9057" s="1" t="str">
        <f>"4739-PLATEADO"</f>
        <v>4739-PLATEADO</v>
      </c>
      <c r="D9057" s="1" t="str">
        <f>"4739-PLATEADO"</f>
        <v>4739-PLATEADO</v>
      </c>
      <c r="E9057" s="1" t="s">
        <v>4566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</row>
    <row r="9058" spans="1:11" x14ac:dyDescent="0.2">
      <c r="A9058" s="1" t="s">
        <v>18</v>
      </c>
      <c r="B9058" s="1" t="s">
        <v>3733</v>
      </c>
      <c r="C9058" s="1" t="str">
        <f>"4739-ROJO"</f>
        <v>4739-ROJO</v>
      </c>
      <c r="D9058" s="1" t="str">
        <f>"4739-ROJO"</f>
        <v>4739-ROJO</v>
      </c>
      <c r="E9058" s="1" t="s">
        <v>4566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</row>
    <row r="9059" spans="1:11" x14ac:dyDescent="0.2">
      <c r="A9059" s="1" t="s">
        <v>18</v>
      </c>
      <c r="B9059" s="1" t="s">
        <v>3734</v>
      </c>
      <c r="C9059" s="1" t="str">
        <f>"66298929242820"</f>
        <v>66298929242820</v>
      </c>
      <c r="D9059" s="1" t="str">
        <f>"J021"</f>
        <v>J021</v>
      </c>
      <c r="E9059" s="1" t="s">
        <v>4566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</row>
    <row r="9060" spans="1:11" x14ac:dyDescent="0.2">
      <c r="A9060" s="1" t="s">
        <v>18</v>
      </c>
      <c r="B9060" s="1" t="s">
        <v>3734</v>
      </c>
      <c r="C9060" s="1" t="str">
        <f>"66298929250383"</f>
        <v>66298929250383</v>
      </c>
      <c r="D9060" s="1" t="str">
        <f>"J020"</f>
        <v>J020</v>
      </c>
      <c r="E9060" s="1" t="s">
        <v>4566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</row>
    <row r="9061" spans="1:11" x14ac:dyDescent="0.2">
      <c r="A9061" s="1" t="s">
        <v>18</v>
      </c>
      <c r="B9061" s="1" t="s">
        <v>3734</v>
      </c>
      <c r="C9061" s="1" t="str">
        <f>"JA004"</f>
        <v>JA004</v>
      </c>
      <c r="D9061" s="1" t="str">
        <f>"JA004"</f>
        <v>JA004</v>
      </c>
      <c r="E9061" s="1" t="s">
        <v>4566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</row>
    <row r="9062" spans="1:11" x14ac:dyDescent="0.2">
      <c r="A9062" s="1" t="s">
        <v>18</v>
      </c>
      <c r="B9062" s="1" t="s">
        <v>3734</v>
      </c>
      <c r="C9062" s="1" t="str">
        <f>"J065"</f>
        <v>J065</v>
      </c>
      <c r="D9062" s="1" t="str">
        <f>"J065"</f>
        <v>J065</v>
      </c>
      <c r="E9062" s="1" t="s">
        <v>4566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</row>
    <row r="9063" spans="1:11" x14ac:dyDescent="0.2">
      <c r="A9063" s="1" t="s">
        <v>18</v>
      </c>
      <c r="B9063" s="1" t="s">
        <v>3734</v>
      </c>
      <c r="C9063" s="1" t="str">
        <f>"J064"</f>
        <v>J064</v>
      </c>
      <c r="D9063" s="1" t="str">
        <f>"J064"</f>
        <v>J064</v>
      </c>
      <c r="E9063" s="1" t="s">
        <v>4566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</row>
    <row r="9064" spans="1:11" x14ac:dyDescent="0.2">
      <c r="A9064" s="1" t="s">
        <v>18</v>
      </c>
      <c r="B9064" s="1" t="s">
        <v>3734</v>
      </c>
      <c r="C9064" s="1" t="str">
        <f>"J062"</f>
        <v>J062</v>
      </c>
      <c r="D9064" s="1" t="str">
        <f>"J062"</f>
        <v>J062</v>
      </c>
      <c r="E9064" s="1" t="s">
        <v>4566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</row>
    <row r="9065" spans="1:11" x14ac:dyDescent="0.2">
      <c r="A9065" s="1" t="s">
        <v>18</v>
      </c>
      <c r="B9065" s="1" t="s">
        <v>3734</v>
      </c>
      <c r="C9065" s="1" t="str">
        <f>"J054"</f>
        <v>J054</v>
      </c>
      <c r="D9065" s="1" t="str">
        <f>"J054"</f>
        <v>J054</v>
      </c>
      <c r="E9065" s="1" t="s">
        <v>4566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</row>
    <row r="9066" spans="1:11" x14ac:dyDescent="0.2">
      <c r="A9066" s="1" t="s">
        <v>18</v>
      </c>
      <c r="B9066" s="1" t="s">
        <v>3734</v>
      </c>
      <c r="C9066" s="1" t="str">
        <f>"AC015A"</f>
        <v>AC015A</v>
      </c>
      <c r="D9066" s="1" t="str">
        <f>"AC015A"</f>
        <v>AC015A</v>
      </c>
      <c r="E9066" s="1" t="s">
        <v>4566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</row>
    <row r="9067" spans="1:11" x14ac:dyDescent="0.2">
      <c r="A9067" s="1" t="s">
        <v>18</v>
      </c>
      <c r="B9067" s="1" t="s">
        <v>3734</v>
      </c>
      <c r="C9067" s="1" t="str">
        <f>"AC015R"</f>
        <v>AC015R</v>
      </c>
      <c r="D9067" s="1" t="str">
        <f>"AC015R"</f>
        <v>AC015R</v>
      </c>
      <c r="E9067" s="1" t="s">
        <v>4566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</row>
    <row r="9068" spans="1:11" x14ac:dyDescent="0.2">
      <c r="A9068" s="1" t="s">
        <v>18</v>
      </c>
      <c r="B9068" s="1" t="s">
        <v>3735</v>
      </c>
      <c r="C9068" s="1" t="str">
        <f>"66298929350225"</f>
        <v>66298929350225</v>
      </c>
      <c r="D9068" s="1" t="str">
        <f>"400799"</f>
        <v>400799</v>
      </c>
      <c r="E9068" s="1" t="s">
        <v>4566</v>
      </c>
      <c r="F9068" s="1">
        <v>121</v>
      </c>
      <c r="G9068" s="1">
        <v>1096</v>
      </c>
      <c r="H9068" s="1">
        <v>132616</v>
      </c>
      <c r="I9068" s="1">
        <v>0</v>
      </c>
      <c r="J9068" s="1">
        <v>121</v>
      </c>
      <c r="K9068" s="1">
        <v>0</v>
      </c>
    </row>
    <row r="9069" spans="1:11" x14ac:dyDescent="0.2">
      <c r="A9069" s="1" t="s">
        <v>18</v>
      </c>
      <c r="B9069" s="1" t="s">
        <v>3736</v>
      </c>
      <c r="C9069" s="1" t="str">
        <f>"66298929394285"</f>
        <v>66298929394285</v>
      </c>
      <c r="D9069" s="1" t="str">
        <f>"400798"</f>
        <v>400798</v>
      </c>
      <c r="E9069" s="1" t="s">
        <v>4566</v>
      </c>
      <c r="F9069" s="1">
        <v>135</v>
      </c>
      <c r="G9069" s="1">
        <v>1237</v>
      </c>
      <c r="H9069" s="1">
        <v>166995</v>
      </c>
      <c r="I9069" s="1">
        <v>0</v>
      </c>
      <c r="J9069" s="1">
        <v>135</v>
      </c>
      <c r="K9069" s="1">
        <v>0</v>
      </c>
    </row>
    <row r="9070" spans="1:11" x14ac:dyDescent="0.2">
      <c r="A9070" s="1" t="s">
        <v>18</v>
      </c>
      <c r="B9070" s="1" t="s">
        <v>3737</v>
      </c>
      <c r="C9070" s="1" t="str">
        <f>"66298929432449"</f>
        <v>66298929432449</v>
      </c>
      <c r="D9070" s="1" t="str">
        <f>"400797"</f>
        <v>400797</v>
      </c>
      <c r="E9070" s="1" t="s">
        <v>4566</v>
      </c>
      <c r="F9070" s="1">
        <v>40</v>
      </c>
      <c r="G9070" s="1">
        <v>582</v>
      </c>
      <c r="H9070" s="1">
        <v>23280</v>
      </c>
      <c r="I9070" s="1">
        <v>0</v>
      </c>
      <c r="J9070" s="1">
        <v>40</v>
      </c>
      <c r="K9070" s="1">
        <v>0</v>
      </c>
    </row>
    <row r="9071" spans="1:11" x14ac:dyDescent="0.2">
      <c r="A9071" s="1" t="s">
        <v>18</v>
      </c>
      <c r="B9071" s="1" t="s">
        <v>3738</v>
      </c>
      <c r="C9071" s="1" t="str">
        <f>"66298929469556"</f>
        <v>66298929469556</v>
      </c>
      <c r="D9071" s="1" t="str">
        <f>"82062"</f>
        <v>82062</v>
      </c>
      <c r="E9071" s="1" t="s">
        <v>4566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</row>
    <row r="9072" spans="1:11" x14ac:dyDescent="0.2">
      <c r="A9072" s="1" t="s">
        <v>18</v>
      </c>
      <c r="B9072" s="1" t="s">
        <v>3739</v>
      </c>
      <c r="C9072" s="1" t="str">
        <f>"JA003"</f>
        <v>JA003</v>
      </c>
      <c r="D9072" s="1" t="str">
        <f>"JA003"</f>
        <v>JA003</v>
      </c>
      <c r="E9072" s="1" t="s">
        <v>4566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</row>
    <row r="9073" spans="1:11" x14ac:dyDescent="0.2">
      <c r="A9073" s="1" t="s">
        <v>18</v>
      </c>
      <c r="B9073" s="1" t="s">
        <v>3739</v>
      </c>
      <c r="C9073" s="1" t="str">
        <f>"JA005"</f>
        <v>JA005</v>
      </c>
      <c r="D9073" s="1" t="str">
        <f>"JA005"</f>
        <v>JA005</v>
      </c>
      <c r="E9073" s="1" t="s">
        <v>4566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</row>
    <row r="9074" spans="1:11" x14ac:dyDescent="0.2">
      <c r="A9074" s="1" t="s">
        <v>18</v>
      </c>
      <c r="B9074" s="1" t="s">
        <v>3740</v>
      </c>
      <c r="C9074" s="1" t="str">
        <f>"66298929516470"</f>
        <v>66298929516470</v>
      </c>
      <c r="D9074" s="1" t="str">
        <f>"C071"</f>
        <v>C071</v>
      </c>
      <c r="E9074" s="1" t="s">
        <v>4566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</row>
    <row r="9075" spans="1:11" x14ac:dyDescent="0.2">
      <c r="A9075" s="1" t="s">
        <v>18</v>
      </c>
      <c r="B9075" s="1" t="s">
        <v>3741</v>
      </c>
      <c r="C9075" s="1" t="str">
        <f>"0116-AMARILLO"</f>
        <v>0116-AMARILLO</v>
      </c>
      <c r="D9075" s="1" t="str">
        <f>"0116-AMARILLO"</f>
        <v>0116-AMARILLO</v>
      </c>
      <c r="E9075" s="1" t="s">
        <v>4566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</row>
    <row r="9076" spans="1:11" x14ac:dyDescent="0.2">
      <c r="A9076" s="1" t="s">
        <v>18</v>
      </c>
      <c r="B9076" s="1" t="s">
        <v>3742</v>
      </c>
      <c r="C9076" s="1" t="str">
        <f>"0116-ROJO"</f>
        <v>0116-ROJO</v>
      </c>
      <c r="D9076" s="1" t="str">
        <f>"0116-ROJO"</f>
        <v>0116-ROJO</v>
      </c>
      <c r="E9076" s="1" t="s">
        <v>4566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</row>
    <row r="9077" spans="1:11" x14ac:dyDescent="0.2">
      <c r="A9077" s="1" t="s">
        <v>18</v>
      </c>
      <c r="B9077" s="1" t="s">
        <v>3743</v>
      </c>
      <c r="C9077" s="1" t="str">
        <f>"66298929556263"</f>
        <v>66298929556263</v>
      </c>
      <c r="D9077" s="1" t="str">
        <f>"400800"</f>
        <v>400800</v>
      </c>
      <c r="E9077" s="1" t="s">
        <v>4566</v>
      </c>
      <c r="F9077" s="1">
        <v>10</v>
      </c>
      <c r="G9077" s="1">
        <v>649</v>
      </c>
      <c r="H9077" s="1">
        <v>6490</v>
      </c>
      <c r="I9077" s="1">
        <v>0</v>
      </c>
      <c r="J9077" s="1">
        <v>10</v>
      </c>
      <c r="K9077" s="1">
        <v>0</v>
      </c>
    </row>
    <row r="9078" spans="1:11" x14ac:dyDescent="0.2">
      <c r="A9078" s="1" t="s">
        <v>18</v>
      </c>
      <c r="B9078" s="1" t="s">
        <v>3744</v>
      </c>
      <c r="C9078" s="1" t="str">
        <f>"RIZO-AZUL"</f>
        <v>RIZO-AZUL</v>
      </c>
      <c r="D9078" s="1" t="str">
        <f>"RIZO-AZUL"</f>
        <v>RIZO-AZUL</v>
      </c>
      <c r="E9078" s="1" t="s">
        <v>4566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</row>
    <row r="9079" spans="1:11" x14ac:dyDescent="0.2">
      <c r="A9079" s="1" t="s">
        <v>18</v>
      </c>
      <c r="B9079" s="1" t="s">
        <v>3745</v>
      </c>
      <c r="C9079" s="1" t="str">
        <f>"RIZO-DORADOV"</f>
        <v>RIZO-DORADOV</v>
      </c>
      <c r="D9079" s="1" t="str">
        <f>"RIZO-DORADO"</f>
        <v>RIZO-DORADO</v>
      </c>
      <c r="E9079" s="1" t="s">
        <v>4566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</row>
    <row r="9080" spans="1:11" x14ac:dyDescent="0.2">
      <c r="A9080" s="1" t="s">
        <v>18</v>
      </c>
      <c r="B9080" s="1" t="s">
        <v>3746</v>
      </c>
      <c r="C9080" s="1" t="str">
        <f>"RIZO-NEGRO"</f>
        <v>RIZO-NEGRO</v>
      </c>
      <c r="D9080" s="1" t="str">
        <f>"RIZO-NEGRO"</f>
        <v>RIZO-NEGRO</v>
      </c>
      <c r="E9080" s="1" t="s">
        <v>4566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</row>
    <row r="9081" spans="1:11" x14ac:dyDescent="0.2">
      <c r="A9081" s="1" t="s">
        <v>18</v>
      </c>
      <c r="B9081" s="1" t="s">
        <v>3747</v>
      </c>
      <c r="C9081" s="1" t="str">
        <f>"RIZO-PLATEADO"</f>
        <v>RIZO-PLATEADO</v>
      </c>
      <c r="D9081" s="1" t="str">
        <f>"RIZO-PLATEADO"</f>
        <v>RIZO-PLATEADO</v>
      </c>
      <c r="E9081" s="1" t="s">
        <v>4566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</row>
    <row r="9082" spans="1:11" x14ac:dyDescent="0.2">
      <c r="A9082" s="1" t="s">
        <v>18</v>
      </c>
      <c r="B9082" s="1" t="s">
        <v>3748</v>
      </c>
      <c r="C9082" s="1" t="str">
        <f>"RIZO-ROJO"</f>
        <v>RIZO-ROJO</v>
      </c>
      <c r="D9082" s="1" t="str">
        <f>"RIZO-ROJO"</f>
        <v>RIZO-ROJO</v>
      </c>
      <c r="E9082" s="1" t="s">
        <v>4566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</row>
    <row r="9083" spans="1:11" x14ac:dyDescent="0.2">
      <c r="A9083" s="1" t="s">
        <v>18</v>
      </c>
      <c r="B9083" s="1" t="s">
        <v>3749</v>
      </c>
      <c r="C9083" s="1" t="str">
        <f>"66298929595675"</f>
        <v>66298929595675</v>
      </c>
      <c r="D9083" s="1" t="str">
        <f>"0052P-NEGRO"</f>
        <v>0052P-NEGRO</v>
      </c>
      <c r="E9083" s="1" t="s">
        <v>4566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</row>
    <row r="9084" spans="1:11" x14ac:dyDescent="0.2">
      <c r="A9084" s="1" t="s">
        <v>98</v>
      </c>
      <c r="B9084" s="1" t="s">
        <v>3750</v>
      </c>
      <c r="C9084" s="1" t="str">
        <f>"56270H2C010H000"</f>
        <v>56270H2C010H000</v>
      </c>
      <c r="D9084" s="1" t="str">
        <f>"56270H2C010H000"</f>
        <v>56270H2C010H000</v>
      </c>
      <c r="E9084" s="1" t="s">
        <v>4566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</row>
    <row r="9085" spans="1:11" x14ac:dyDescent="0.2">
      <c r="A9085" s="1" t="s">
        <v>98</v>
      </c>
      <c r="B9085" s="1" t="s">
        <v>3751</v>
      </c>
      <c r="C9085" s="1" t="str">
        <f>"66298929127335"</f>
        <v>66298929127335</v>
      </c>
      <c r="D9085" s="1" t="str">
        <f>"JB030-B"</f>
        <v>JB030-B</v>
      </c>
      <c r="E9085" s="1" t="s">
        <v>4566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</row>
    <row r="9086" spans="1:11" x14ac:dyDescent="0.2">
      <c r="A9086" s="1" t="s">
        <v>98</v>
      </c>
      <c r="B9086" s="1" t="s">
        <v>3751</v>
      </c>
      <c r="C9086" s="1" t="str">
        <f>"66298929134709"</f>
        <v>66298929134709</v>
      </c>
      <c r="D9086" s="1" t="str">
        <f>"JB030-A"</f>
        <v>JB030-A</v>
      </c>
      <c r="E9086" s="1" t="s">
        <v>4566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</row>
    <row r="9087" spans="1:11" x14ac:dyDescent="0.2">
      <c r="A9087" s="1" t="s">
        <v>98</v>
      </c>
      <c r="B9087" s="1" t="s">
        <v>3752</v>
      </c>
      <c r="C9087" s="1" t="str">
        <f>"66298929079455"</f>
        <v>66298929079455</v>
      </c>
      <c r="D9087" s="1" t="str">
        <f>"9656"</f>
        <v>9656</v>
      </c>
      <c r="E9087" s="1" t="s">
        <v>4566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</row>
    <row r="9088" spans="1:11" x14ac:dyDescent="0.2">
      <c r="A9088" s="1" t="s">
        <v>98</v>
      </c>
      <c r="B9088" s="1" t="s">
        <v>3753</v>
      </c>
      <c r="C9088" s="1" t="str">
        <f>"JB012-TORNASOL"</f>
        <v>JB012-TORNASOL</v>
      </c>
      <c r="D9088" s="1" t="str">
        <f>"JB012-TORNASOL"</f>
        <v>JB012-TORNASOL</v>
      </c>
      <c r="E9088" s="1" t="s">
        <v>4566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</row>
    <row r="9089" spans="1:11" x14ac:dyDescent="0.2">
      <c r="A9089" s="1" t="s">
        <v>98</v>
      </c>
      <c r="B9089" s="1" t="s">
        <v>3754</v>
      </c>
      <c r="C9089" s="1" t="str">
        <f>"66298929197422"</f>
        <v>66298929197422</v>
      </c>
      <c r="D9089" s="1" t="str">
        <f>"JB001-AZUL"</f>
        <v>JB001-AZUL</v>
      </c>
      <c r="E9089" s="1" t="s">
        <v>4566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</row>
    <row r="9090" spans="1:11" x14ac:dyDescent="0.2">
      <c r="A9090" s="1" t="s">
        <v>18</v>
      </c>
      <c r="B9090" s="1" t="s">
        <v>3755</v>
      </c>
      <c r="C9090" s="1" t="str">
        <f>"JB005"</f>
        <v>JB005</v>
      </c>
      <c r="D9090" s="1" t="str">
        <f>"JB005"</f>
        <v>JB005</v>
      </c>
      <c r="E9090" s="1" t="s">
        <v>4566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</row>
    <row r="9091" spans="1:11" x14ac:dyDescent="0.2">
      <c r="A9091" s="1" t="s">
        <v>18</v>
      </c>
      <c r="B9091" s="1" t="s">
        <v>3755</v>
      </c>
      <c r="C9091" s="1" t="str">
        <f>"JB007"</f>
        <v>JB007</v>
      </c>
      <c r="D9091" s="1" t="str">
        <f>"JB007"</f>
        <v>JB007</v>
      </c>
      <c r="E9091" s="1" t="s">
        <v>4566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</row>
    <row r="9092" spans="1:11" x14ac:dyDescent="0.2">
      <c r="A9092" s="1" t="s">
        <v>18</v>
      </c>
      <c r="B9092" s="1" t="s">
        <v>3755</v>
      </c>
      <c r="C9092" s="1" t="str">
        <f>"JB009"</f>
        <v>JB009</v>
      </c>
      <c r="D9092" s="1" t="str">
        <f>"JB009"</f>
        <v>JB009</v>
      </c>
      <c r="E9092" s="1" t="s">
        <v>4566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</row>
    <row r="9093" spans="1:11" x14ac:dyDescent="0.2">
      <c r="A9093" s="1" t="s">
        <v>18</v>
      </c>
      <c r="B9093" s="1" t="s">
        <v>3755</v>
      </c>
      <c r="C9093" s="1" t="str">
        <f>"JB010"</f>
        <v>JB010</v>
      </c>
      <c r="D9093" s="1" t="str">
        <f>"JB010"</f>
        <v>JB010</v>
      </c>
      <c r="E9093" s="1" t="s">
        <v>4566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</row>
    <row r="9094" spans="1:11" x14ac:dyDescent="0.2">
      <c r="A9094" s="1" t="s">
        <v>98</v>
      </c>
      <c r="B9094" s="1" t="s">
        <v>3756</v>
      </c>
      <c r="C9094" s="1" t="str">
        <f>"JB010-AZUL"</f>
        <v>JB010-AZUL</v>
      </c>
      <c r="D9094" s="1" t="str">
        <f>"JB010-AZUL"</f>
        <v>JB010-AZUL</v>
      </c>
      <c r="E9094" s="1" t="s">
        <v>4566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</row>
    <row r="9095" spans="1:11" x14ac:dyDescent="0.2">
      <c r="A9095" s="1" t="s">
        <v>98</v>
      </c>
      <c r="B9095" s="1" t="s">
        <v>3757</v>
      </c>
      <c r="C9095" s="1" t="str">
        <f>"JB010-DORADO"</f>
        <v>JB010-DORADO</v>
      </c>
      <c r="D9095" s="1" t="str">
        <f>"JB010-DORADO"</f>
        <v>JB010-DORADO</v>
      </c>
      <c r="E9095" s="1" t="s">
        <v>4566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</row>
    <row r="9096" spans="1:11" x14ac:dyDescent="0.2">
      <c r="A9096" s="1" t="s">
        <v>98</v>
      </c>
      <c r="B9096" s="1" t="s">
        <v>3758</v>
      </c>
      <c r="C9096" s="1" t="str">
        <f>"JB010-NEGRO"</f>
        <v>JB010-NEGRO</v>
      </c>
      <c r="D9096" s="1" t="str">
        <f>"JB010-NEGRO"</f>
        <v>JB010-NEGRO</v>
      </c>
      <c r="E9096" s="1" t="s">
        <v>4566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</row>
    <row r="9097" spans="1:11" x14ac:dyDescent="0.2">
      <c r="A9097" s="1" t="s">
        <v>98</v>
      </c>
      <c r="B9097" s="1" t="s">
        <v>3759</v>
      </c>
      <c r="C9097" s="1" t="str">
        <f>"JB010-ROJO"</f>
        <v>JB010-ROJO</v>
      </c>
      <c r="D9097" s="1" t="str">
        <f>"JB010-ROJO"</f>
        <v>JB010-ROJO</v>
      </c>
      <c r="E9097" s="1" t="s">
        <v>4566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</row>
    <row r="9098" spans="1:11" x14ac:dyDescent="0.2">
      <c r="A9098" s="1" t="s">
        <v>98</v>
      </c>
      <c r="B9098" s="1" t="s">
        <v>3760</v>
      </c>
      <c r="C9098" s="1" t="str">
        <f>"66298929636548"</f>
        <v>66298929636548</v>
      </c>
      <c r="D9098" s="1" t="str">
        <f>"006441-KRH-900"</f>
        <v>006441-KRH-900</v>
      </c>
      <c r="E9098" s="1" t="s">
        <v>4566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</row>
    <row r="9099" spans="1:11" x14ac:dyDescent="0.2">
      <c r="A9099" s="1" t="s">
        <v>98</v>
      </c>
      <c r="B9099" s="1" t="s">
        <v>3761</v>
      </c>
      <c r="C9099" s="1" t="str">
        <f>"66298929677666"</f>
        <v>66298929677666</v>
      </c>
      <c r="D9099" s="1" t="str">
        <f>"44604-KPE-900GH"</f>
        <v>44604-KPE-900GH</v>
      </c>
      <c r="E9099" s="1" t="s">
        <v>4566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</row>
    <row r="9100" spans="1:11" x14ac:dyDescent="0.2">
      <c r="A9100" s="1" t="s">
        <v>98</v>
      </c>
      <c r="B9100" s="1" t="s">
        <v>3762</v>
      </c>
      <c r="C9100" s="1" t="str">
        <f>"66298929720636"</f>
        <v>66298929720636</v>
      </c>
      <c r="D9100" s="1" t="str">
        <f>"RAYO-13CMS"</f>
        <v>RAYO-13CMS</v>
      </c>
      <c r="E9100" s="1" t="s">
        <v>4566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</row>
    <row r="9101" spans="1:11" x14ac:dyDescent="0.2">
      <c r="A9101" s="1" t="s">
        <v>98</v>
      </c>
      <c r="B9101" s="1" t="s">
        <v>3763</v>
      </c>
      <c r="C9101" s="1" t="str">
        <f>"66298929765796"</f>
        <v>66298929765796</v>
      </c>
      <c r="D9101" s="1" t="str">
        <f>"80948"</f>
        <v>80948</v>
      </c>
      <c r="E9101" s="1" t="s">
        <v>4566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</row>
    <row r="9102" spans="1:11" x14ac:dyDescent="0.2">
      <c r="A9102" s="1" t="s">
        <v>98</v>
      </c>
      <c r="B9102" s="1" t="s">
        <v>3764</v>
      </c>
      <c r="C9102" s="1" t="str">
        <f>"66298929806890"</f>
        <v>66298929806890</v>
      </c>
      <c r="D9102" s="1" t="str">
        <f>"80949"</f>
        <v>80949</v>
      </c>
      <c r="E9102" s="1" t="s">
        <v>4566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</row>
    <row r="9103" spans="1:11" x14ac:dyDescent="0.2">
      <c r="A9103" s="1" t="s">
        <v>98</v>
      </c>
      <c r="B9103" s="1" t="s">
        <v>3765</v>
      </c>
      <c r="C9103" s="1" t="str">
        <f>"66298929851605"</f>
        <v>66298929851605</v>
      </c>
      <c r="D9103" s="1" t="str">
        <f>"82619"</f>
        <v>82619</v>
      </c>
      <c r="E9103" s="1" t="s">
        <v>4566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</row>
    <row r="9104" spans="1:11" x14ac:dyDescent="0.2">
      <c r="A9104" s="1" t="s">
        <v>98</v>
      </c>
      <c r="B9104" s="1" t="s">
        <v>3766</v>
      </c>
      <c r="C9104" s="1" t="str">
        <f>"66298929890855"</f>
        <v>66298929890855</v>
      </c>
      <c r="D9104" s="1" t="str">
        <f>"82620"</f>
        <v>82620</v>
      </c>
      <c r="E9104" s="1" t="s">
        <v>4566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</row>
    <row r="9105" spans="1:11" x14ac:dyDescent="0.2">
      <c r="A9105" s="1" t="s">
        <v>98</v>
      </c>
      <c r="B9105" s="1" t="s">
        <v>3767</v>
      </c>
      <c r="C9105" s="1" t="str">
        <f>"66298929933354"</f>
        <v>66298929933354</v>
      </c>
      <c r="D9105" s="1" t="str">
        <f>"4Y0-25304-00GY"</f>
        <v>4Y0-25304-00GY</v>
      </c>
      <c r="E9105" s="1" t="s">
        <v>4566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</row>
    <row r="9106" spans="1:11" x14ac:dyDescent="0.2">
      <c r="A9106" s="1" t="s">
        <v>98</v>
      </c>
      <c r="B9106" s="1" t="s">
        <v>3768</v>
      </c>
      <c r="C9106" s="1" t="str">
        <f>"66298929976886"</f>
        <v>66298929976886</v>
      </c>
      <c r="D9106" s="1" t="str">
        <f>"80951"</f>
        <v>80951</v>
      </c>
      <c r="E9106" s="1" t="s">
        <v>4566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</row>
    <row r="9107" spans="1:11" x14ac:dyDescent="0.2">
      <c r="A9107" s="1" t="s">
        <v>98</v>
      </c>
      <c r="B9107" s="1" t="s">
        <v>3769</v>
      </c>
      <c r="C9107" s="1" t="str">
        <f>"66298930024576"</f>
        <v>66298930024576</v>
      </c>
      <c r="D9107" s="1" t="str">
        <f>"80332"</f>
        <v>80332</v>
      </c>
      <c r="E9107" s="1" t="s">
        <v>4566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</row>
    <row r="9108" spans="1:11" x14ac:dyDescent="0.2">
      <c r="A9108" s="1" t="s">
        <v>98</v>
      </c>
      <c r="B9108" s="1" t="s">
        <v>3770</v>
      </c>
      <c r="C9108" s="1" t="str">
        <f>"66298930070956"</f>
        <v>66298930070956</v>
      </c>
      <c r="D9108" s="1" t="str">
        <f>"84806"</f>
        <v>84806</v>
      </c>
      <c r="E9108" s="1" t="s">
        <v>4566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</row>
    <row r="9109" spans="1:11" x14ac:dyDescent="0.2">
      <c r="A9109" s="1" t="s">
        <v>98</v>
      </c>
      <c r="B9109" s="1" t="s">
        <v>3771</v>
      </c>
      <c r="C9109" s="1" t="str">
        <f>"66298930122359"</f>
        <v>66298930122359</v>
      </c>
      <c r="D9109" s="1" t="str">
        <f>"AE010"</f>
        <v>AE010</v>
      </c>
      <c r="E9109" s="1" t="s">
        <v>4566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</row>
    <row r="9110" spans="1:11" x14ac:dyDescent="0.2">
      <c r="A9110" s="1" t="s">
        <v>3772</v>
      </c>
      <c r="B9110" s="1" t="s">
        <v>3773</v>
      </c>
      <c r="C9110" s="1" t="str">
        <f>"66298930167045"</f>
        <v>66298930167045</v>
      </c>
      <c r="D9110" s="1" t="str">
        <f>"32800-16A00"</f>
        <v>32800-16A00</v>
      </c>
      <c r="E9110" s="1" t="s">
        <v>4566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</row>
    <row r="9111" spans="1:11" x14ac:dyDescent="0.2">
      <c r="A9111" s="1" t="s">
        <v>3772</v>
      </c>
      <c r="B9111" s="1" t="s">
        <v>3774</v>
      </c>
      <c r="C9111" s="1" t="str">
        <f>"66298930246239"</f>
        <v>66298930246239</v>
      </c>
      <c r="D9111" s="1" t="str">
        <f>"80404"</f>
        <v>80404</v>
      </c>
      <c r="E9111" s="1" t="s">
        <v>4566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</row>
    <row r="9112" spans="1:11" x14ac:dyDescent="0.2">
      <c r="A9112" s="1" t="s">
        <v>3772</v>
      </c>
      <c r="B9112" s="1" t="s">
        <v>3775</v>
      </c>
      <c r="C9112" s="1" t="str">
        <f>"66298930207511"</f>
        <v>66298930207511</v>
      </c>
      <c r="D9112" s="1" t="str">
        <f>"V019"</f>
        <v>V019</v>
      </c>
      <c r="E9112" s="1" t="s">
        <v>4566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</row>
    <row r="9113" spans="1:11" x14ac:dyDescent="0.2">
      <c r="A9113" s="1" t="s">
        <v>3772</v>
      </c>
      <c r="B9113" s="1" t="s">
        <v>3775</v>
      </c>
      <c r="C9113" s="1" t="str">
        <f>"RECT-4-CN"</f>
        <v>RECT-4-CN</v>
      </c>
      <c r="D9113" s="1" t="str">
        <f>"RECT-4-CN"</f>
        <v>RECT-4-CN</v>
      </c>
      <c r="E9113" s="1" t="s">
        <v>4566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</row>
    <row r="9114" spans="1:11" x14ac:dyDescent="0.2">
      <c r="A9114" s="1" t="s">
        <v>3772</v>
      </c>
      <c r="B9114" s="1" t="s">
        <v>3776</v>
      </c>
      <c r="C9114" s="1" t="str">
        <f>"RECT-5/CABLES"</f>
        <v>RECT-5/CABLES</v>
      </c>
      <c r="D9114" s="1" t="str">
        <f>"RECT-5/CABLES"</f>
        <v>RECT-5/CABLES</v>
      </c>
      <c r="E9114" s="1" t="s">
        <v>4566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</row>
    <row r="9115" spans="1:11" x14ac:dyDescent="0.2">
      <c r="A9115" s="1" t="s">
        <v>3772</v>
      </c>
      <c r="B9115" s="1" t="s">
        <v>3777</v>
      </c>
      <c r="C9115" s="1" t="str">
        <f>"66298930374024"</f>
        <v>66298930374024</v>
      </c>
      <c r="D9115" s="1" t="str">
        <f>"B068"</f>
        <v>B068</v>
      </c>
      <c r="E9115" s="1" t="s">
        <v>4566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</row>
    <row r="9116" spans="1:11" ht="30" x14ac:dyDescent="0.2">
      <c r="A9116" s="1" t="s">
        <v>3772</v>
      </c>
      <c r="B9116" s="1" t="s">
        <v>3778</v>
      </c>
      <c r="C9116" s="1" t="str">
        <f>"V016"</f>
        <v>V016</v>
      </c>
      <c r="D9116" s="1" t="str">
        <f>"V016"</f>
        <v>V016</v>
      </c>
      <c r="E9116" s="1" t="s">
        <v>4566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</row>
    <row r="9117" spans="1:11" x14ac:dyDescent="0.2">
      <c r="A9117" s="1" t="s">
        <v>3772</v>
      </c>
      <c r="B9117" s="1" t="s">
        <v>3779</v>
      </c>
      <c r="C9117" s="1" t="str">
        <f>"66298930418933"</f>
        <v>66298930418933</v>
      </c>
      <c r="D9117" s="1" t="str">
        <f>"80402"</f>
        <v>80402</v>
      </c>
      <c r="E9117" s="1" t="s">
        <v>4566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</row>
    <row r="9118" spans="1:11" x14ac:dyDescent="0.2">
      <c r="A9118" s="1" t="s">
        <v>3772</v>
      </c>
      <c r="B9118" s="1" t="s">
        <v>3780</v>
      </c>
      <c r="C9118" s="1" t="str">
        <f>"66298930289477"</f>
        <v>66298930289477</v>
      </c>
      <c r="D9118" s="1" t="str">
        <f>"80391"</f>
        <v>80391</v>
      </c>
      <c r="E9118" s="1" t="s">
        <v>4566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</row>
    <row r="9119" spans="1:11" x14ac:dyDescent="0.2">
      <c r="A9119" s="1" t="s">
        <v>3772</v>
      </c>
      <c r="B9119" s="1" t="s">
        <v>3780</v>
      </c>
      <c r="C9119" s="1" t="str">
        <f>"66298930333128"</f>
        <v>66298930333128</v>
      </c>
      <c r="D9119" s="1" t="str">
        <f>"V015"</f>
        <v>V015</v>
      </c>
      <c r="E9119" s="1" t="s">
        <v>4566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</row>
    <row r="9120" spans="1:11" x14ac:dyDescent="0.2">
      <c r="A9120" s="1" t="s">
        <v>3772</v>
      </c>
      <c r="B9120" s="1" t="s">
        <v>3781</v>
      </c>
      <c r="C9120" s="1" t="str">
        <f>"66298930462776"</f>
        <v>66298930462776</v>
      </c>
      <c r="D9120" s="1" t="str">
        <f>"84964-RECTIFI"</f>
        <v>84964-RECTIFI</v>
      </c>
      <c r="E9120" s="1" t="s">
        <v>4566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</row>
    <row r="9121" spans="1:11" x14ac:dyDescent="0.2">
      <c r="A9121" s="1" t="s">
        <v>3772</v>
      </c>
      <c r="B9121" s="1" t="s">
        <v>3781</v>
      </c>
      <c r="C9121" s="1" t="str">
        <f>"66298930470621"</f>
        <v>66298930470621</v>
      </c>
      <c r="D9121" s="1" t="str">
        <f>"RECT-6/CABLES"</f>
        <v>RECT-6/CABLES</v>
      </c>
      <c r="E9121" s="1" t="s">
        <v>4566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</row>
    <row r="9122" spans="1:11" x14ac:dyDescent="0.2">
      <c r="A9122" s="1" t="s">
        <v>3772</v>
      </c>
      <c r="B9122" s="1" t="s">
        <v>3781</v>
      </c>
      <c r="C9122" s="1" t="str">
        <f>"66298930478111"</f>
        <v>66298930478111</v>
      </c>
      <c r="D9122" s="1" t="str">
        <f>"V004"</f>
        <v>V004</v>
      </c>
      <c r="E9122" s="1" t="s">
        <v>4566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</row>
    <row r="9123" spans="1:11" x14ac:dyDescent="0.2">
      <c r="A9123" s="1" t="s">
        <v>3772</v>
      </c>
      <c r="B9123" s="1" t="s">
        <v>3782</v>
      </c>
      <c r="C9123" s="1" t="str">
        <f>"66298930550952"</f>
        <v>66298930550952</v>
      </c>
      <c r="D9123" s="1" t="str">
        <f>"V030"</f>
        <v>V030</v>
      </c>
      <c r="E9123" s="1" t="s">
        <v>4566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</row>
    <row r="9124" spans="1:11" x14ac:dyDescent="0.2">
      <c r="A9124" s="1" t="s">
        <v>3772</v>
      </c>
      <c r="B9124" s="1" t="s">
        <v>3783</v>
      </c>
      <c r="C9124" s="1" t="str">
        <f>"66298930595302"</f>
        <v>66298930595302</v>
      </c>
      <c r="D9124" s="1" t="str">
        <f>"RECT-7/CABLES"</f>
        <v>RECT-7/CABLES</v>
      </c>
      <c r="E9124" s="1" t="s">
        <v>4566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</row>
    <row r="9125" spans="1:11" x14ac:dyDescent="0.2">
      <c r="A9125" s="1" t="s">
        <v>3772</v>
      </c>
      <c r="B9125" s="1" t="s">
        <v>3784</v>
      </c>
      <c r="C9125" s="1" t="str">
        <f>"66298930636426"</f>
        <v>66298930636426</v>
      </c>
      <c r="D9125" s="1" t="str">
        <f>"V017"</f>
        <v>V017</v>
      </c>
      <c r="E9125" s="1" t="s">
        <v>4566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</row>
    <row r="9126" spans="1:11" x14ac:dyDescent="0.2">
      <c r="A9126" s="1" t="s">
        <v>3772</v>
      </c>
      <c r="B9126" s="1" t="s">
        <v>3785</v>
      </c>
      <c r="C9126" s="1" t="str">
        <f>"66298930674445"</f>
        <v>66298930674445</v>
      </c>
      <c r="D9126" s="1" t="str">
        <f>"U017"</f>
        <v>U017</v>
      </c>
      <c r="E9126" s="1" t="s">
        <v>4566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</row>
    <row r="9127" spans="1:11" x14ac:dyDescent="0.2">
      <c r="A9127" s="1" t="s">
        <v>3772</v>
      </c>
      <c r="B9127" s="1" t="s">
        <v>3786</v>
      </c>
      <c r="C9127" s="1" t="str">
        <f>"66298930758831"</f>
        <v>66298930758831</v>
      </c>
      <c r="D9127" s="1" t="str">
        <f>"V011"</f>
        <v>V011</v>
      </c>
      <c r="E9127" s="1" t="s">
        <v>4566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</row>
    <row r="9128" spans="1:11" x14ac:dyDescent="0.2">
      <c r="A9128" s="1" t="s">
        <v>3772</v>
      </c>
      <c r="B9128" s="1" t="s">
        <v>3787</v>
      </c>
      <c r="C9128" s="1" t="str">
        <f>"66298930716536"</f>
        <v>66298930716536</v>
      </c>
      <c r="D9128" s="1" t="str">
        <f>"V032"</f>
        <v>V032</v>
      </c>
      <c r="E9128" s="1" t="s">
        <v>4566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</row>
    <row r="9129" spans="1:11" x14ac:dyDescent="0.2">
      <c r="A9129" s="1" t="s">
        <v>3772</v>
      </c>
      <c r="B9129" s="1" t="s">
        <v>3788</v>
      </c>
      <c r="C9129" s="1" t="str">
        <f>"11175"</f>
        <v>11175</v>
      </c>
      <c r="D9129" s="1" t="str">
        <f>"11175"</f>
        <v>11175</v>
      </c>
      <c r="E9129" s="1" t="s">
        <v>4566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</row>
    <row r="9130" spans="1:11" x14ac:dyDescent="0.2">
      <c r="A9130" s="1" t="s">
        <v>3772</v>
      </c>
      <c r="B9130" s="1" t="s">
        <v>3789</v>
      </c>
      <c r="C9130" s="1" t="str">
        <f>"66298930802174"</f>
        <v>66298930802174</v>
      </c>
      <c r="D9130" s="1" t="str">
        <f>"V022"</f>
        <v>V022</v>
      </c>
      <c r="E9130" s="1" t="s">
        <v>4566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</row>
    <row r="9131" spans="1:11" x14ac:dyDescent="0.2">
      <c r="A9131" s="1" t="s">
        <v>3772</v>
      </c>
      <c r="B9131" s="1" t="s">
        <v>3790</v>
      </c>
      <c r="C9131" s="1" t="str">
        <f>"66298930844259"</f>
        <v>66298930844259</v>
      </c>
      <c r="D9131" s="1" t="str">
        <f>"V012"</f>
        <v>V012</v>
      </c>
      <c r="E9131" s="1" t="s">
        <v>4566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</row>
    <row r="9132" spans="1:11" x14ac:dyDescent="0.2">
      <c r="A9132" s="1" t="s">
        <v>3772</v>
      </c>
      <c r="B9132" s="1" t="s">
        <v>3791</v>
      </c>
      <c r="C9132" s="1" t="str">
        <f>"665"</f>
        <v>665</v>
      </c>
      <c r="D9132" s="1" t="str">
        <f>"665"</f>
        <v>665</v>
      </c>
      <c r="E9132" s="1" t="s">
        <v>4566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</row>
    <row r="9133" spans="1:11" x14ac:dyDescent="0.2">
      <c r="A9133" s="1" t="s">
        <v>3772</v>
      </c>
      <c r="B9133" s="1" t="s">
        <v>3792</v>
      </c>
      <c r="C9133" s="1" t="str">
        <f>"66298930905712"</f>
        <v>66298930905712</v>
      </c>
      <c r="D9133" s="1" t="str">
        <f>"81090"</f>
        <v>81090</v>
      </c>
      <c r="E9133" s="1" t="s">
        <v>4566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</row>
    <row r="9134" spans="1:11" x14ac:dyDescent="0.2">
      <c r="A9134" s="1" t="s">
        <v>3772</v>
      </c>
      <c r="B9134" s="1" t="s">
        <v>3792</v>
      </c>
      <c r="C9134" s="1" t="str">
        <f>"66298930920746"</f>
        <v>66298930920746</v>
      </c>
      <c r="D9134" s="1" t="str">
        <f>"V020"</f>
        <v>V020</v>
      </c>
      <c r="E9134" s="1" t="s">
        <v>4566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</row>
    <row r="9135" spans="1:11" x14ac:dyDescent="0.2">
      <c r="A9135" s="1" t="s">
        <v>3772</v>
      </c>
      <c r="B9135" s="1" t="s">
        <v>3793</v>
      </c>
      <c r="C9135" s="1" t="str">
        <f>"66298930989958"</f>
        <v>66298930989958</v>
      </c>
      <c r="D9135" s="1" t="str">
        <f>"V006"</f>
        <v>V006</v>
      </c>
      <c r="E9135" s="1" t="s">
        <v>4566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</row>
    <row r="9136" spans="1:11" x14ac:dyDescent="0.2">
      <c r="A9136" s="1" t="s">
        <v>3772</v>
      </c>
      <c r="B9136" s="1" t="s">
        <v>3794</v>
      </c>
      <c r="C9136" s="1" t="str">
        <f>"66298931052889"</f>
        <v>66298931052889</v>
      </c>
      <c r="D9136" s="1" t="str">
        <f>"82340"</f>
        <v>82340</v>
      </c>
      <c r="E9136" s="1" t="s">
        <v>4566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</row>
    <row r="9137" spans="1:11" x14ac:dyDescent="0.2">
      <c r="A9137" s="1" t="s">
        <v>3772</v>
      </c>
      <c r="B9137" s="1" t="s">
        <v>3795</v>
      </c>
      <c r="C9137" s="1" t="str">
        <f>"66298931096115"</f>
        <v>66298931096115</v>
      </c>
      <c r="D9137" s="1" t="str">
        <f>"V010"</f>
        <v>V010</v>
      </c>
      <c r="E9137" s="1" t="s">
        <v>4566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</row>
    <row r="9138" spans="1:11" x14ac:dyDescent="0.2">
      <c r="A9138" s="1" t="s">
        <v>3772</v>
      </c>
      <c r="B9138" s="1" t="s">
        <v>3796</v>
      </c>
      <c r="C9138" s="1" t="str">
        <f>"66298931136218"</f>
        <v>66298931136218</v>
      </c>
      <c r="D9138" s="1" t="str">
        <f>"RECT-GS"</f>
        <v>RECT-GS</v>
      </c>
      <c r="E9138" s="1" t="s">
        <v>4566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</row>
    <row r="9139" spans="1:11" x14ac:dyDescent="0.2">
      <c r="A9139" s="1" t="s">
        <v>3772</v>
      </c>
      <c r="B9139" s="1" t="s">
        <v>3797</v>
      </c>
      <c r="C9139" s="1" t="str">
        <f>"32800H51001H000"</f>
        <v>32800H51001H000</v>
      </c>
      <c r="D9139" s="1" t="str">
        <f>"32800H51001H000"</f>
        <v>32800H51001H000</v>
      </c>
      <c r="E9139" s="1" t="s">
        <v>4566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</row>
    <row r="9140" spans="1:11" x14ac:dyDescent="0.2">
      <c r="A9140" s="1" t="s">
        <v>3772</v>
      </c>
      <c r="B9140" s="1" t="s">
        <v>3798</v>
      </c>
      <c r="C9140" s="1" t="str">
        <f>"66298931175721"</f>
        <v>66298931175721</v>
      </c>
      <c r="D9140" s="1" t="str">
        <f>"02137"</f>
        <v>02137</v>
      </c>
      <c r="E9140" s="1" t="s">
        <v>4566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</row>
    <row r="9141" spans="1:11" x14ac:dyDescent="0.2">
      <c r="A9141" s="1" t="s">
        <v>3772</v>
      </c>
      <c r="B9141" s="1" t="s">
        <v>3799</v>
      </c>
      <c r="C9141" s="1" t="str">
        <f>"66298931243454"</f>
        <v>66298931243454</v>
      </c>
      <c r="D9141" s="1" t="str">
        <f>"32800H05523H000"</f>
        <v>32800H05523H000</v>
      </c>
      <c r="E9141" s="1" t="s">
        <v>4566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</row>
    <row r="9142" spans="1:11" x14ac:dyDescent="0.2">
      <c r="A9142" s="1" t="s">
        <v>3772</v>
      </c>
      <c r="B9142" s="1" t="s">
        <v>3800</v>
      </c>
      <c r="C9142" s="1" t="str">
        <f>"66298931286265"</f>
        <v>66298931286265</v>
      </c>
      <c r="D9142" s="1" t="str">
        <f>"V005"</f>
        <v>V005</v>
      </c>
      <c r="E9142" s="1" t="s">
        <v>4566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</row>
    <row r="9143" spans="1:11" x14ac:dyDescent="0.2">
      <c r="A9143" s="1" t="s">
        <v>3772</v>
      </c>
      <c r="B9143" s="1" t="s">
        <v>3801</v>
      </c>
      <c r="C9143" s="1" t="str">
        <f>"66298931324870"</f>
        <v>66298931324870</v>
      </c>
      <c r="D9143" s="1" t="str">
        <f>"83639"</f>
        <v>83639</v>
      </c>
      <c r="E9143" s="1" t="s">
        <v>4566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</row>
    <row r="9144" spans="1:11" x14ac:dyDescent="0.2">
      <c r="A9144" s="1" t="s">
        <v>3772</v>
      </c>
      <c r="B9144" s="1" t="s">
        <v>3802</v>
      </c>
      <c r="C9144" s="1" t="str">
        <f>"66298931365419"</f>
        <v>66298931365419</v>
      </c>
      <c r="D9144" s="1" t="str">
        <f>"32800H51001H0"</f>
        <v>32800H51001H0</v>
      </c>
      <c r="E9144" s="1" t="s">
        <v>4566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</row>
    <row r="9145" spans="1:11" x14ac:dyDescent="0.2">
      <c r="A9145" s="1" t="s">
        <v>3772</v>
      </c>
      <c r="B9145" s="1" t="s">
        <v>3803</v>
      </c>
      <c r="C9145" s="1" t="str">
        <f>"66298931410393"</f>
        <v>66298931410393</v>
      </c>
      <c r="D9145" s="1" t="str">
        <f>"V008"</f>
        <v>V008</v>
      </c>
      <c r="E9145" s="1" t="s">
        <v>4566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</row>
    <row r="9146" spans="1:11" x14ac:dyDescent="0.2">
      <c r="A9146" s="1" t="s">
        <v>3772</v>
      </c>
      <c r="B9146" s="1" t="s">
        <v>3804</v>
      </c>
      <c r="C9146" s="1" t="str">
        <f>"V007"</f>
        <v>V007</v>
      </c>
      <c r="D9146" s="1" t="str">
        <f>"V007"</f>
        <v>V007</v>
      </c>
      <c r="E9146" s="1" t="s">
        <v>4566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</row>
    <row r="9147" spans="1:11" ht="30" x14ac:dyDescent="0.2">
      <c r="A9147" s="1" t="s">
        <v>3772</v>
      </c>
      <c r="B9147" s="1" t="s">
        <v>3805</v>
      </c>
      <c r="C9147" s="1" t="str">
        <f>"R12849"</f>
        <v>R12849</v>
      </c>
      <c r="D9147" s="1" t="str">
        <f>"R12849"</f>
        <v>R12849</v>
      </c>
      <c r="E9147" s="1" t="s">
        <v>4566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</row>
    <row r="9148" spans="1:11" x14ac:dyDescent="0.2">
      <c r="A9148" s="1" t="s">
        <v>3772</v>
      </c>
      <c r="B9148" s="1" t="s">
        <v>3806</v>
      </c>
      <c r="C9148" s="1" t="str">
        <f>"66298931495291"</f>
        <v>66298931495291</v>
      </c>
      <c r="D9148" s="1" t="str">
        <f>"400300"</f>
        <v>400300</v>
      </c>
      <c r="E9148" s="1" t="s">
        <v>4566</v>
      </c>
      <c r="F9148" s="1">
        <v>50</v>
      </c>
      <c r="G9148" s="1">
        <v>2734</v>
      </c>
      <c r="H9148" s="1">
        <v>136700</v>
      </c>
      <c r="I9148" s="1">
        <v>0</v>
      </c>
      <c r="J9148" s="1">
        <v>50</v>
      </c>
      <c r="K9148" s="1">
        <v>0</v>
      </c>
    </row>
    <row r="9149" spans="1:11" x14ac:dyDescent="0.2">
      <c r="A9149" s="1" t="s">
        <v>3772</v>
      </c>
      <c r="B9149" s="1" t="s">
        <v>3807</v>
      </c>
      <c r="C9149" s="1" t="str">
        <f>"66298931451981"</f>
        <v>66298931451981</v>
      </c>
      <c r="D9149" s="1" t="str">
        <f>"82326"</f>
        <v>82326</v>
      </c>
      <c r="E9149" s="1" t="s">
        <v>4566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</row>
    <row r="9150" spans="1:11" x14ac:dyDescent="0.2">
      <c r="A9150" s="1" t="s">
        <v>3772</v>
      </c>
      <c r="B9150" s="1" t="s">
        <v>3808</v>
      </c>
      <c r="C9150" s="1" t="str">
        <f>"66298931536707"</f>
        <v>66298931536707</v>
      </c>
      <c r="D9150" s="1" t="str">
        <f>"V003"</f>
        <v>V003</v>
      </c>
      <c r="E9150" s="1" t="s">
        <v>4566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</row>
    <row r="9151" spans="1:11" x14ac:dyDescent="0.2">
      <c r="A9151" s="1" t="s">
        <v>3772</v>
      </c>
      <c r="B9151" s="1" t="s">
        <v>3809</v>
      </c>
      <c r="C9151" s="1" t="str">
        <f>"66298931577340"</f>
        <v>66298931577340</v>
      </c>
      <c r="D9151" s="1" t="str">
        <f>"85019"</f>
        <v>85019</v>
      </c>
      <c r="E9151" s="1" t="s">
        <v>4566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</row>
    <row r="9152" spans="1:11" x14ac:dyDescent="0.2">
      <c r="A9152" s="1" t="s">
        <v>3772</v>
      </c>
      <c r="B9152" s="1" t="s">
        <v>3810</v>
      </c>
      <c r="C9152" s="1" t="str">
        <f>"66298931621847"</f>
        <v>66298931621847</v>
      </c>
      <c r="D9152" s="1" t="str">
        <f>"R1060070HB"</f>
        <v>R1060070HB</v>
      </c>
      <c r="E9152" s="1" t="s">
        <v>4566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</row>
    <row r="9153" spans="1:11" x14ac:dyDescent="0.2">
      <c r="A9153" s="1" t="s">
        <v>3772</v>
      </c>
      <c r="B9153" s="1" t="s">
        <v>3811</v>
      </c>
      <c r="C9153" s="1" t="str">
        <f>"66298931665504"</f>
        <v>66298931665504</v>
      </c>
      <c r="D9153" s="1" t="str">
        <f>"82420"</f>
        <v>82420</v>
      </c>
      <c r="E9153" s="1" t="s">
        <v>4566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</row>
    <row r="9154" spans="1:11" x14ac:dyDescent="0.2">
      <c r="A9154" s="1" t="s">
        <v>3772</v>
      </c>
      <c r="B9154" s="1" t="s">
        <v>3812</v>
      </c>
      <c r="C9154" s="1" t="str">
        <f>"66298931712857"</f>
        <v>66298931712857</v>
      </c>
      <c r="D9154" s="1" t="str">
        <f>"32800H51031H000"</f>
        <v>32800H51031H000</v>
      </c>
      <c r="E9154" s="1" t="s">
        <v>4566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</row>
    <row r="9155" spans="1:11" x14ac:dyDescent="0.2">
      <c r="A9155" s="1" t="s">
        <v>3772</v>
      </c>
      <c r="B9155" s="1" t="s">
        <v>3813</v>
      </c>
      <c r="C9155" s="1" t="str">
        <f>"66298931756457"</f>
        <v>66298931756457</v>
      </c>
      <c r="D9155" s="1" t="str">
        <f>"V029"</f>
        <v>V029</v>
      </c>
      <c r="E9155" s="1" t="s">
        <v>4566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</row>
    <row r="9156" spans="1:11" x14ac:dyDescent="0.2">
      <c r="A9156" s="1" t="s">
        <v>3772</v>
      </c>
      <c r="B9156" s="1" t="s">
        <v>3814</v>
      </c>
      <c r="C9156" s="1" t="str">
        <f>"66298931799914"</f>
        <v>66298931799914</v>
      </c>
      <c r="D9156" s="1" t="str">
        <f>"589005"</f>
        <v>589005</v>
      </c>
      <c r="E9156" s="1" t="s">
        <v>4566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</row>
    <row r="9157" spans="1:11" x14ac:dyDescent="0.2">
      <c r="A9157" s="1" t="s">
        <v>3772</v>
      </c>
      <c r="B9157" s="1" t="s">
        <v>3815</v>
      </c>
      <c r="C9157" s="1" t="str">
        <f>"66298931842460"</f>
        <v>66298931842460</v>
      </c>
      <c r="D9157" s="1" t="str">
        <f>"82419"</f>
        <v>82419</v>
      </c>
      <c r="E9157" s="1" t="s">
        <v>4566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</row>
    <row r="9158" spans="1:11" x14ac:dyDescent="0.2">
      <c r="A9158" s="1" t="s">
        <v>3772</v>
      </c>
      <c r="B9158" s="1" t="s">
        <v>3816</v>
      </c>
      <c r="C9158" s="1" t="str">
        <f>"66298931880859"</f>
        <v>66298931880859</v>
      </c>
      <c r="D9158" s="1" t="str">
        <f>"85184"</f>
        <v>85184</v>
      </c>
      <c r="E9158" s="1" t="s">
        <v>4566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</row>
    <row r="9159" spans="1:11" x14ac:dyDescent="0.2">
      <c r="A9159" s="1" t="s">
        <v>3772</v>
      </c>
      <c r="B9159" s="1" t="s">
        <v>3817</v>
      </c>
      <c r="C9159" s="1" t="str">
        <f>"66298931924141"</f>
        <v>66298931924141</v>
      </c>
      <c r="D9159" s="1" t="str">
        <f>"V009"</f>
        <v>V009</v>
      </c>
      <c r="E9159" s="1" t="s">
        <v>4566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</row>
    <row r="9160" spans="1:11" x14ac:dyDescent="0.2">
      <c r="A9160" s="1" t="s">
        <v>3772</v>
      </c>
      <c r="B9160" s="1" t="s">
        <v>3818</v>
      </c>
      <c r="C9160" s="1" t="str">
        <f>"66298931964424"</f>
        <v>66298931964424</v>
      </c>
      <c r="D9160" s="1" t="str">
        <f>"V026"</f>
        <v>V026</v>
      </c>
      <c r="E9160" s="1" t="s">
        <v>4566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</row>
    <row r="9161" spans="1:11" x14ac:dyDescent="0.2">
      <c r="A9161" s="1" t="s">
        <v>3772</v>
      </c>
      <c r="B9161" s="1" t="s">
        <v>3819</v>
      </c>
      <c r="C9161" s="1" t="str">
        <f>"66298932010483"</f>
        <v>66298932010483</v>
      </c>
      <c r="D9161" s="1" t="str">
        <f>"84917"</f>
        <v>84917</v>
      </c>
      <c r="E9161" s="1" t="s">
        <v>4566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</row>
    <row r="9162" spans="1:11" x14ac:dyDescent="0.2">
      <c r="A9162" s="1" t="s">
        <v>3772</v>
      </c>
      <c r="B9162" s="1" t="s">
        <v>3819</v>
      </c>
      <c r="C9162" s="1" t="str">
        <f>"66298932016899"</f>
        <v>66298932016899</v>
      </c>
      <c r="D9162" s="1" t="str">
        <f>"V018"</f>
        <v>V018</v>
      </c>
      <c r="E9162" s="1" t="s">
        <v>4566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</row>
    <row r="9163" spans="1:11" x14ac:dyDescent="0.2">
      <c r="A9163" s="1" t="s">
        <v>3772</v>
      </c>
      <c r="B9163" s="1" t="s">
        <v>3820</v>
      </c>
      <c r="C9163" s="1" t="str">
        <f>"12033"</f>
        <v>12033</v>
      </c>
      <c r="D9163" s="1" t="str">
        <f>"12033"</f>
        <v>12033</v>
      </c>
      <c r="E9163" s="1" t="s">
        <v>4566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</row>
    <row r="9164" spans="1:11" x14ac:dyDescent="0.2">
      <c r="A9164" s="1" t="s">
        <v>3772</v>
      </c>
      <c r="B9164" s="1" t="s">
        <v>3821</v>
      </c>
      <c r="C9164" s="1" t="str">
        <f>"66298932078634"</f>
        <v>66298932078634</v>
      </c>
      <c r="D9164" s="1" t="str">
        <f>"V023"</f>
        <v>V023</v>
      </c>
      <c r="E9164" s="1" t="s">
        <v>4566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</row>
    <row r="9165" spans="1:11" x14ac:dyDescent="0.2">
      <c r="A9165" s="1" t="s">
        <v>3772</v>
      </c>
      <c r="B9165" s="1" t="s">
        <v>3821</v>
      </c>
      <c r="C9165" s="1" t="str">
        <f>"66298932083579"</f>
        <v>66298932083579</v>
      </c>
      <c r="D9165" s="1" t="str">
        <f>"V001"</f>
        <v>V001</v>
      </c>
      <c r="E9165" s="1" t="s">
        <v>4566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</row>
    <row r="9166" spans="1:11" x14ac:dyDescent="0.2">
      <c r="A9166" s="1" t="s">
        <v>3772</v>
      </c>
      <c r="B9166" s="1" t="s">
        <v>3822</v>
      </c>
      <c r="C9166" s="1" t="str">
        <f>"66298932136719"</f>
        <v>66298932136719</v>
      </c>
      <c r="D9166" s="1" t="str">
        <f>"VH004"</f>
        <v>VH004</v>
      </c>
      <c r="E9166" s="1" t="s">
        <v>4566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</row>
    <row r="9167" spans="1:11" x14ac:dyDescent="0.2">
      <c r="A9167" s="1" t="s">
        <v>18</v>
      </c>
      <c r="B9167" s="1" t="s">
        <v>3823</v>
      </c>
      <c r="C9167" s="1" t="str">
        <f>"E010"</f>
        <v>E010</v>
      </c>
      <c r="D9167" s="1" t="str">
        <f>"E010"</f>
        <v>E010</v>
      </c>
      <c r="E9167" s="1" t="s">
        <v>4566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</row>
    <row r="9168" spans="1:11" x14ac:dyDescent="0.2">
      <c r="A9168" s="1" t="s">
        <v>18</v>
      </c>
      <c r="B9168" s="1" t="s">
        <v>3824</v>
      </c>
      <c r="C9168" s="1" t="str">
        <f>"REFLEC-C-ROJO"</f>
        <v>REFLEC-C-ROJO</v>
      </c>
      <c r="D9168" s="1" t="str">
        <f>"REFLEC-C-ROJO"</f>
        <v>REFLEC-C-ROJO</v>
      </c>
      <c r="E9168" s="1" t="s">
        <v>4566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</row>
    <row r="9169" spans="1:11" x14ac:dyDescent="0.2">
      <c r="A9169" s="1" t="s">
        <v>18</v>
      </c>
      <c r="B9169" s="1" t="s">
        <v>3825</v>
      </c>
      <c r="C9169" s="1" t="str">
        <f>"66298932177892"</f>
        <v>66298932177892</v>
      </c>
      <c r="D9169" s="1" t="str">
        <f>"PB009"</f>
        <v>PB009</v>
      </c>
      <c r="E9169" s="1" t="s">
        <v>4566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</row>
    <row r="9170" spans="1:11" x14ac:dyDescent="0.2">
      <c r="A9170" s="1" t="s">
        <v>18</v>
      </c>
      <c r="B9170" s="1" t="s">
        <v>3825</v>
      </c>
      <c r="C9170" s="1" t="str">
        <f>"B097"</f>
        <v>B097</v>
      </c>
      <c r="D9170" s="1" t="str">
        <f>"B097"</f>
        <v>B097</v>
      </c>
      <c r="E9170" s="1" t="s">
        <v>4566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</row>
    <row r="9171" spans="1:11" x14ac:dyDescent="0.2">
      <c r="A9171" s="1" t="s">
        <v>15</v>
      </c>
      <c r="B9171" s="1" t="s">
        <v>3826</v>
      </c>
      <c r="C9171" s="1" t="str">
        <f>"66298932219701"</f>
        <v>66298932219701</v>
      </c>
      <c r="D9171" s="1" t="str">
        <f>"15AFE4"</f>
        <v>15AFE4</v>
      </c>
      <c r="E9171" s="1" t="s">
        <v>4566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</row>
    <row r="9172" spans="1:11" x14ac:dyDescent="0.2">
      <c r="A9172" s="1" t="s">
        <v>15</v>
      </c>
      <c r="B9172" s="1" t="s">
        <v>3827</v>
      </c>
      <c r="C9172" s="1" t="str">
        <f>"66298932261089"</f>
        <v>66298932261089</v>
      </c>
      <c r="D9172" s="1" t="str">
        <f>"800219"</f>
        <v>800219</v>
      </c>
      <c r="E9172" s="1" t="s">
        <v>4566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</row>
    <row r="9173" spans="1:11" x14ac:dyDescent="0.2">
      <c r="A9173" s="1" t="s">
        <v>15</v>
      </c>
      <c r="B9173" s="1" t="s">
        <v>3828</v>
      </c>
      <c r="C9173" s="1" t="str">
        <f>"66298932299040"</f>
        <v>66298932299040</v>
      </c>
      <c r="D9173" s="1" t="str">
        <f>"6924"</f>
        <v>6924</v>
      </c>
      <c r="E9173" s="1" t="s">
        <v>4566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</row>
    <row r="9174" spans="1:11" x14ac:dyDescent="0.2">
      <c r="A9174" s="1" t="s">
        <v>15</v>
      </c>
      <c r="B9174" s="1" t="s">
        <v>3829</v>
      </c>
      <c r="C9174" s="1" t="str">
        <f>"66298932346625"</f>
        <v>66298932346625</v>
      </c>
      <c r="D9174" s="1" t="str">
        <f>"105914"</f>
        <v>105914</v>
      </c>
      <c r="E9174" s="1" t="s">
        <v>4566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</row>
    <row r="9175" spans="1:11" x14ac:dyDescent="0.2">
      <c r="A9175" s="1" t="s">
        <v>15</v>
      </c>
      <c r="B9175" s="1" t="s">
        <v>3830</v>
      </c>
      <c r="C9175" s="1" t="str">
        <f>"66298932388900"</f>
        <v>66298932388900</v>
      </c>
      <c r="D9175" s="1" t="str">
        <f>"714W51"</f>
        <v>714W51</v>
      </c>
      <c r="E9175" s="1" t="s">
        <v>4566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</row>
    <row r="9176" spans="1:11" x14ac:dyDescent="0.2">
      <c r="A9176" s="1" t="s">
        <v>15</v>
      </c>
      <c r="B9176" s="1" t="s">
        <v>3831</v>
      </c>
      <c r="C9176" s="1" t="str">
        <f>"66298932426035"</f>
        <v>66298932426035</v>
      </c>
      <c r="D9176" s="1" t="str">
        <f>"702025"</f>
        <v>702025</v>
      </c>
      <c r="E9176" s="1" t="s">
        <v>4566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</row>
    <row r="9177" spans="1:11" x14ac:dyDescent="0.2">
      <c r="A9177" s="1" t="s">
        <v>15</v>
      </c>
      <c r="B9177" s="1" t="s">
        <v>3832</v>
      </c>
      <c r="C9177" s="1" t="str">
        <f>"66298932465334"</f>
        <v>66298932465334</v>
      </c>
      <c r="D9177" s="1" t="str">
        <f>"701975"</f>
        <v>701975</v>
      </c>
      <c r="E9177" s="1" t="s">
        <v>4566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</row>
    <row r="9178" spans="1:11" x14ac:dyDescent="0.2">
      <c r="A9178" s="1" t="s">
        <v>15</v>
      </c>
      <c r="B9178" s="1" t="s">
        <v>3833</v>
      </c>
      <c r="C9178" s="1" t="str">
        <f>"66298932507022"</f>
        <v>66298932507022</v>
      </c>
      <c r="D9178" s="1" t="str">
        <f>"702027"</f>
        <v>702027</v>
      </c>
      <c r="E9178" s="1" t="s">
        <v>4566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</row>
    <row r="9179" spans="1:11" x14ac:dyDescent="0.2">
      <c r="A9179" s="1" t="s">
        <v>98</v>
      </c>
      <c r="B9179" s="1" t="s">
        <v>3834</v>
      </c>
      <c r="C9179" s="1" t="str">
        <f>"66298932548104"</f>
        <v>66298932548104</v>
      </c>
      <c r="D9179" s="1" t="str">
        <f>"QQ001"</f>
        <v>QQ001</v>
      </c>
      <c r="E9179" s="1" t="s">
        <v>4566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</row>
    <row r="9180" spans="1:11" x14ac:dyDescent="0.2">
      <c r="A9180" s="1" t="s">
        <v>2004</v>
      </c>
      <c r="B9180" s="1" t="s">
        <v>3835</v>
      </c>
      <c r="C9180" s="1" t="str">
        <f>"66298932594806"</f>
        <v>66298932594806</v>
      </c>
      <c r="D9180" s="1" t="str">
        <f>"81271"</f>
        <v>81271</v>
      </c>
      <c r="E9180" s="1" t="s">
        <v>4566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</row>
    <row r="9181" spans="1:11" x14ac:dyDescent="0.2">
      <c r="A9181" s="1" t="s">
        <v>2004</v>
      </c>
      <c r="B9181" s="1" t="s">
        <v>3835</v>
      </c>
      <c r="C9181" s="1" t="str">
        <f>"66298932602858"</f>
        <v>66298932602858</v>
      </c>
      <c r="D9181" s="1" t="str">
        <f>"S006"</f>
        <v>S006</v>
      </c>
      <c r="E9181" s="1" t="s">
        <v>4566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</row>
    <row r="9182" spans="1:11" x14ac:dyDescent="0.2">
      <c r="A9182" s="1" t="s">
        <v>2004</v>
      </c>
      <c r="B9182" s="1" t="s">
        <v>3835</v>
      </c>
      <c r="C9182" s="1" t="str">
        <f>"66298932609324"</f>
        <v>66298932609324</v>
      </c>
      <c r="D9182" s="1" t="str">
        <f>"H1093"</f>
        <v>H1093</v>
      </c>
      <c r="E9182" s="1" t="s">
        <v>4566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</row>
    <row r="9183" spans="1:11" x14ac:dyDescent="0.2">
      <c r="A9183" s="1" t="s">
        <v>98</v>
      </c>
      <c r="B9183" s="1" t="s">
        <v>3836</v>
      </c>
      <c r="C9183" s="1" t="str">
        <f>"66298932677231"</f>
        <v>66298932677231</v>
      </c>
      <c r="D9183" s="1" t="str">
        <f>"1080"</f>
        <v>1080</v>
      </c>
      <c r="E9183" s="1" t="s">
        <v>4566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</row>
    <row r="9184" spans="1:11" x14ac:dyDescent="0.2">
      <c r="A9184" s="1" t="s">
        <v>98</v>
      </c>
      <c r="B9184" s="1" t="s">
        <v>3837</v>
      </c>
      <c r="C9184" s="1" t="str">
        <f>"66298932728389"</f>
        <v>66298932728389</v>
      </c>
      <c r="D9184" s="1" t="str">
        <f>"83133"</f>
        <v>83133</v>
      </c>
      <c r="E9184" s="1" t="s">
        <v>4566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</row>
    <row r="9185" spans="1:11" x14ac:dyDescent="0.2">
      <c r="A9185" s="1" t="s">
        <v>98</v>
      </c>
      <c r="B9185" s="1" t="s">
        <v>3838</v>
      </c>
      <c r="C9185" s="1" t="str">
        <f>"66298932767649"</f>
        <v>66298932767649</v>
      </c>
      <c r="D9185" s="1" t="str">
        <f>"5YY-H1950-10GY"</f>
        <v>5YY-H1950-10GY</v>
      </c>
      <c r="E9185" s="1" t="s">
        <v>4566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</row>
    <row r="9186" spans="1:11" x14ac:dyDescent="0.2">
      <c r="A9186" s="1" t="s">
        <v>98</v>
      </c>
      <c r="B9186" s="1" t="s">
        <v>3839</v>
      </c>
      <c r="C9186" s="1" t="str">
        <f>"66298932813273"</f>
        <v>66298932813273</v>
      </c>
      <c r="D9186" s="1" t="str">
        <f>"DK-2010-16HB"</f>
        <v>DK-2010-16HB</v>
      </c>
      <c r="E9186" s="1" t="s">
        <v>4566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</row>
    <row r="9187" spans="1:11" x14ac:dyDescent="0.2">
      <c r="A9187" s="1" t="s">
        <v>15</v>
      </c>
      <c r="B9187" s="1" t="s">
        <v>3840</v>
      </c>
      <c r="C9187" s="1" t="str">
        <f>"11699"</f>
        <v>11699</v>
      </c>
      <c r="D9187" s="1" t="str">
        <f>"11699"</f>
        <v>11699</v>
      </c>
      <c r="E9187" s="1" t="s">
        <v>4566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1</v>
      </c>
    </row>
    <row r="9188" spans="1:11" x14ac:dyDescent="0.2">
      <c r="A9188" s="1" t="s">
        <v>15</v>
      </c>
      <c r="B9188" s="1" t="s">
        <v>3841</v>
      </c>
      <c r="C9188" s="1" t="str">
        <f>"11610"</f>
        <v>11610</v>
      </c>
      <c r="D9188" s="1" t="str">
        <f>"11610"</f>
        <v>11610</v>
      </c>
      <c r="E9188" s="1" t="s">
        <v>4566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1</v>
      </c>
    </row>
    <row r="9189" spans="1:11" x14ac:dyDescent="0.2">
      <c r="A9189" s="1" t="s">
        <v>98</v>
      </c>
      <c r="B9189" s="1" t="s">
        <v>3842</v>
      </c>
      <c r="C9189" s="1" t="str">
        <f>"66298932856440"</f>
        <v>66298932856440</v>
      </c>
      <c r="D9189" s="1" t="str">
        <f>"800665"</f>
        <v>800665</v>
      </c>
      <c r="E9189" s="1" t="s">
        <v>4566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</row>
    <row r="9190" spans="1:11" x14ac:dyDescent="0.2">
      <c r="A9190" s="1" t="s">
        <v>3843</v>
      </c>
      <c r="B9190" s="1" t="s">
        <v>3844</v>
      </c>
      <c r="C9190" s="1" t="str">
        <f>"66298932898266"</f>
        <v>66298932898266</v>
      </c>
      <c r="D9190" s="1" t="str">
        <f>"ZZA019"</f>
        <v>ZZA019</v>
      </c>
      <c r="E9190" s="1" t="s">
        <v>4566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</row>
    <row r="9191" spans="1:11" x14ac:dyDescent="0.2">
      <c r="A9191" s="1" t="s">
        <v>3843</v>
      </c>
      <c r="B9191" s="1" t="s">
        <v>3845</v>
      </c>
      <c r="C9191" s="1" t="str">
        <f>"66298932938128"</f>
        <v>66298932938128</v>
      </c>
      <c r="D9191" s="1" t="str">
        <f>"ZZA017"</f>
        <v>ZZA017</v>
      </c>
      <c r="E9191" s="1" t="s">
        <v>4566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</row>
    <row r="9192" spans="1:11" x14ac:dyDescent="0.2">
      <c r="A9192" s="1" t="s">
        <v>3843</v>
      </c>
      <c r="B9192" s="1" t="s">
        <v>3846</v>
      </c>
      <c r="C9192" s="1" t="str">
        <f>"66298932980376"</f>
        <v>66298932980376</v>
      </c>
      <c r="D9192" s="1" t="str">
        <f>"ZZA018"</f>
        <v>ZZA018</v>
      </c>
      <c r="E9192" s="1" t="s">
        <v>4566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</row>
    <row r="9193" spans="1:11" x14ac:dyDescent="0.2">
      <c r="A9193" s="1" t="s">
        <v>3843</v>
      </c>
      <c r="B9193" s="1" t="s">
        <v>3847</v>
      </c>
      <c r="C9193" s="1" t="str">
        <f>"66298933023843"</f>
        <v>66298933023843</v>
      </c>
      <c r="D9193" s="1" t="str">
        <f>"ZZA021"</f>
        <v>ZZA021</v>
      </c>
      <c r="E9193" s="1" t="s">
        <v>4566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</row>
    <row r="9194" spans="1:11" x14ac:dyDescent="0.2">
      <c r="A9194" s="1" t="s">
        <v>3843</v>
      </c>
      <c r="B9194" s="1" t="s">
        <v>3848</v>
      </c>
      <c r="C9194" s="1" t="str">
        <f>"66298933064594"</f>
        <v>66298933064594</v>
      </c>
      <c r="D9194" s="1" t="str">
        <f>"ZZA016"</f>
        <v>ZZA016</v>
      </c>
      <c r="E9194" s="1" t="s">
        <v>4566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</row>
    <row r="9195" spans="1:11" x14ac:dyDescent="0.2">
      <c r="A9195" s="1" t="s">
        <v>3843</v>
      </c>
      <c r="B9195" s="1" t="s">
        <v>3849</v>
      </c>
      <c r="C9195" s="1" t="str">
        <f>"66298933107391"</f>
        <v>66298933107391</v>
      </c>
      <c r="D9195" s="1" t="str">
        <f>"SB005"</f>
        <v>SB005</v>
      </c>
      <c r="E9195" s="1" t="s">
        <v>4566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</row>
    <row r="9196" spans="1:11" x14ac:dyDescent="0.2">
      <c r="A9196" s="1" t="s">
        <v>3850</v>
      </c>
      <c r="B9196" s="1" t="s">
        <v>3851</v>
      </c>
      <c r="C9196" s="1" t="str">
        <f>"B074"</f>
        <v>B074</v>
      </c>
      <c r="D9196" s="1" t="str">
        <f>"B074"</f>
        <v>B074</v>
      </c>
      <c r="E9196" s="1" t="s">
        <v>4566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</row>
    <row r="9197" spans="1:11" x14ac:dyDescent="0.2">
      <c r="A9197" s="1" t="s">
        <v>3850</v>
      </c>
      <c r="B9197" s="1" t="s">
        <v>3852</v>
      </c>
      <c r="C9197" s="1" t="str">
        <f>"66298933152756"</f>
        <v>66298933152756</v>
      </c>
      <c r="D9197" s="1" t="str">
        <f>"80321"</f>
        <v>80321</v>
      </c>
      <c r="E9197" s="1" t="s">
        <v>4566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</row>
    <row r="9198" spans="1:11" x14ac:dyDescent="0.2">
      <c r="A9198" s="1" t="s">
        <v>3850</v>
      </c>
      <c r="B9198" s="1" t="s">
        <v>3853</v>
      </c>
      <c r="C9198" s="1" t="str">
        <f>"66298933194484"</f>
        <v>66298933194484</v>
      </c>
      <c r="D9198" s="1" t="str">
        <f>"XA017"</f>
        <v>XA017</v>
      </c>
      <c r="E9198" s="1" t="s">
        <v>4566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</row>
    <row r="9199" spans="1:11" x14ac:dyDescent="0.2">
      <c r="A9199" s="1" t="s">
        <v>3850</v>
      </c>
      <c r="B9199" s="1" t="s">
        <v>3854</v>
      </c>
      <c r="C9199" s="1" t="str">
        <f>"66298933237857"</f>
        <v>66298933237857</v>
      </c>
      <c r="D9199" s="1" t="str">
        <f>"KB-0204N"</f>
        <v>KB-0204N</v>
      </c>
      <c r="E9199" s="1" t="s">
        <v>4566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</row>
    <row r="9200" spans="1:11" x14ac:dyDescent="0.2">
      <c r="A9200" s="1" t="s">
        <v>3850</v>
      </c>
      <c r="B9200" s="1" t="s">
        <v>3855</v>
      </c>
      <c r="C9200" s="1" t="str">
        <f>"66298933282115"</f>
        <v>66298933282115</v>
      </c>
      <c r="D9200" s="1" t="str">
        <f>"80323"</f>
        <v>80323</v>
      </c>
      <c r="E9200" s="1" t="s">
        <v>4566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</row>
    <row r="9201" spans="1:11" x14ac:dyDescent="0.2">
      <c r="A9201" s="1" t="s">
        <v>3850</v>
      </c>
      <c r="B9201" s="1" t="s">
        <v>3856</v>
      </c>
      <c r="C9201" s="1" t="str">
        <f>"66298933326418"</f>
        <v>66298933326418</v>
      </c>
      <c r="D9201" s="1" t="str">
        <f>"KY-0563JP"</f>
        <v>KY-0563JP</v>
      </c>
      <c r="E9201" s="1" t="s">
        <v>4566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</row>
    <row r="9202" spans="1:11" x14ac:dyDescent="0.2">
      <c r="A9202" s="1" t="s">
        <v>1359</v>
      </c>
      <c r="B9202" s="1" t="s">
        <v>3857</v>
      </c>
      <c r="C9202" s="1" t="str">
        <f>"66298933365262"</f>
        <v>66298933365262</v>
      </c>
      <c r="D9202" s="1" t="str">
        <f>"35400-K70-601GH"</f>
        <v>35400-K70-601GH</v>
      </c>
      <c r="E9202" s="1" t="s">
        <v>4566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</row>
    <row r="9203" spans="1:11" x14ac:dyDescent="0.2">
      <c r="A9203" s="1" t="s">
        <v>1359</v>
      </c>
      <c r="B9203" s="1" t="s">
        <v>3858</v>
      </c>
      <c r="C9203" s="1" t="str">
        <f>"66298933407092"</f>
        <v>66298933407092</v>
      </c>
      <c r="D9203" s="1" t="str">
        <f>"VH002"</f>
        <v>VH002</v>
      </c>
      <c r="E9203" s="1" t="s">
        <v>4566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</row>
    <row r="9204" spans="1:11" x14ac:dyDescent="0.2">
      <c r="A9204" s="1" t="s">
        <v>3859</v>
      </c>
      <c r="B9204" s="1" t="s">
        <v>3860</v>
      </c>
      <c r="C9204" s="1" t="str">
        <f>"66298933452950"</f>
        <v>66298933452950</v>
      </c>
      <c r="D9204" s="1" t="str">
        <f>"G311"</f>
        <v>G311</v>
      </c>
      <c r="E9204" s="1" t="s">
        <v>4566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</row>
    <row r="9205" spans="1:11" x14ac:dyDescent="0.2">
      <c r="A9205" s="1" t="s">
        <v>3859</v>
      </c>
      <c r="B9205" s="1" t="s">
        <v>3861</v>
      </c>
      <c r="C9205" s="1" t="str">
        <f>"66298933495915"</f>
        <v>66298933495915</v>
      </c>
      <c r="D9205" s="1" t="str">
        <f>"BY11013-E5-10"</f>
        <v>BY11013-E5-10</v>
      </c>
      <c r="E9205" s="1" t="s">
        <v>4566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</row>
    <row r="9206" spans="1:11" x14ac:dyDescent="0.2">
      <c r="A9206" s="1" t="s">
        <v>3859</v>
      </c>
      <c r="B9206" s="1" t="s">
        <v>3862</v>
      </c>
      <c r="C9206" s="1" t="str">
        <f>"66298933537538"</f>
        <v>66298933537538</v>
      </c>
      <c r="D9206" s="1" t="str">
        <f>"21C-E6333-00"</f>
        <v>21C-E6333-00</v>
      </c>
      <c r="E9206" s="1" t="s">
        <v>4566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</row>
    <row r="9207" spans="1:11" x14ac:dyDescent="0.2">
      <c r="A9207" s="1" t="s">
        <v>3859</v>
      </c>
      <c r="B9207" s="1" t="s">
        <v>3863</v>
      </c>
      <c r="C9207" s="1" t="str">
        <f>"FY2005A-E4-23"</f>
        <v>FY2005A-E4-23</v>
      </c>
      <c r="D9207" s="1" t="str">
        <f>"FY2005A-E4-23"</f>
        <v>FY2005A-E4-23</v>
      </c>
      <c r="E9207" s="1" t="s">
        <v>4566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</row>
    <row r="9208" spans="1:11" x14ac:dyDescent="0.2">
      <c r="A9208" s="1" t="s">
        <v>3859</v>
      </c>
      <c r="B9208" s="1" t="s">
        <v>3864</v>
      </c>
      <c r="C9208" s="1" t="str">
        <f>"66298933578597"</f>
        <v>66298933578597</v>
      </c>
      <c r="D9208" s="1" t="str">
        <f>"G302"</f>
        <v>G302</v>
      </c>
      <c r="E9208" s="1" t="s">
        <v>4566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</row>
    <row r="9209" spans="1:11" x14ac:dyDescent="0.2">
      <c r="A9209" s="1" t="s">
        <v>3859</v>
      </c>
      <c r="B9209" s="1" t="s">
        <v>3865</v>
      </c>
      <c r="C9209" s="1" t="str">
        <f>"66298933624900"</f>
        <v>66298933624900</v>
      </c>
      <c r="D9209" s="1" t="str">
        <f>"G303"</f>
        <v>G303</v>
      </c>
      <c r="E9209" s="1" t="s">
        <v>4566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</row>
    <row r="9210" spans="1:11" x14ac:dyDescent="0.2">
      <c r="A9210" s="1" t="s">
        <v>3859</v>
      </c>
      <c r="B9210" s="1" t="s">
        <v>3866</v>
      </c>
      <c r="C9210" s="1" t="str">
        <f>"66298933664540"</f>
        <v>66298933664540</v>
      </c>
      <c r="D9210" s="1" t="str">
        <f>"82842"</f>
        <v>82842</v>
      </c>
      <c r="E9210" s="1" t="s">
        <v>4566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</row>
    <row r="9211" spans="1:11" x14ac:dyDescent="0.2">
      <c r="A9211" s="1" t="s">
        <v>3859</v>
      </c>
      <c r="B9211" s="1" t="s">
        <v>3867</v>
      </c>
      <c r="C9211" s="1" t="str">
        <f>"66298933703780"</f>
        <v>66298933703780</v>
      </c>
      <c r="D9211" s="1" t="str">
        <f>"G309"</f>
        <v>G309</v>
      </c>
      <c r="E9211" s="1" t="s">
        <v>4566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</row>
    <row r="9212" spans="1:11" x14ac:dyDescent="0.2">
      <c r="A9212" s="1" t="s">
        <v>3859</v>
      </c>
      <c r="B9212" s="1" t="s">
        <v>3868</v>
      </c>
      <c r="C9212" s="1" t="str">
        <f>"RES-LATERAL"</f>
        <v>RES-LATERAL</v>
      </c>
      <c r="D9212" s="1" t="str">
        <f>"RES-LATERAL"</f>
        <v>RES-LATERAL</v>
      </c>
      <c r="E9212" s="1" t="s">
        <v>4566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</row>
    <row r="9213" spans="1:11" x14ac:dyDescent="0.2">
      <c r="A9213" s="1" t="s">
        <v>3859</v>
      </c>
      <c r="B9213" s="1" t="s">
        <v>3869</v>
      </c>
      <c r="C9213" s="1" t="str">
        <f>"66298933748622"</f>
        <v>66298933748622</v>
      </c>
      <c r="D9213" s="1" t="str">
        <f>"G301"</f>
        <v>G301</v>
      </c>
      <c r="E9213" s="1" t="s">
        <v>4566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</row>
    <row r="9214" spans="1:11" x14ac:dyDescent="0.2">
      <c r="A9214" s="1" t="s">
        <v>3859</v>
      </c>
      <c r="B9214" s="1" t="s">
        <v>3870</v>
      </c>
      <c r="C9214" s="1" t="str">
        <f>"66298933788546"</f>
        <v>66298933788546</v>
      </c>
      <c r="D9214" s="1" t="str">
        <f>"90506-35816GY"</f>
        <v>90506-35816GY</v>
      </c>
      <c r="E9214" s="1" t="s">
        <v>4566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</row>
    <row r="9215" spans="1:11" x14ac:dyDescent="0.2">
      <c r="A9215" s="1" t="s">
        <v>3859</v>
      </c>
      <c r="B9215" s="1" t="s">
        <v>3871</v>
      </c>
      <c r="C9215" s="1" t="str">
        <f>"RES-CENTRAL"</f>
        <v>RES-CENTRAL</v>
      </c>
      <c r="D9215" s="1" t="str">
        <f>"RES-CENTRAL"</f>
        <v>RES-CENTRAL</v>
      </c>
      <c r="E9215" s="1" t="s">
        <v>4566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</row>
    <row r="9216" spans="1:11" x14ac:dyDescent="0.2">
      <c r="A9216" s="1" t="s">
        <v>3859</v>
      </c>
      <c r="B9216" s="1" t="s">
        <v>3872</v>
      </c>
      <c r="C9216" s="1" t="str">
        <f>"66298933826173"</f>
        <v>66298933826173</v>
      </c>
      <c r="D9216" s="1" t="str">
        <f>"G304"</f>
        <v>G304</v>
      </c>
      <c r="E9216" s="1" t="s">
        <v>4566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</row>
    <row r="9217" spans="1:11" x14ac:dyDescent="0.2">
      <c r="A9217" s="1" t="s">
        <v>3859</v>
      </c>
      <c r="B9217" s="1" t="s">
        <v>3873</v>
      </c>
      <c r="C9217" s="1" t="str">
        <f>"66298933868267"</f>
        <v>66298933868267</v>
      </c>
      <c r="D9217" s="1" t="str">
        <f>"90506-23807GY"</f>
        <v>90506-23807GY</v>
      </c>
      <c r="E9217" s="1" t="s">
        <v>4566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</row>
    <row r="9218" spans="1:11" x14ac:dyDescent="0.2">
      <c r="A9218" s="1" t="s">
        <v>3859</v>
      </c>
      <c r="B9218" s="1" t="s">
        <v>3874</v>
      </c>
      <c r="C9218" s="1" t="str">
        <f>"66298933910273"</f>
        <v>66298933910273</v>
      </c>
      <c r="D9218" s="1" t="str">
        <f>"90506-16034"</f>
        <v>90506-16034</v>
      </c>
      <c r="E9218" s="1" t="s">
        <v>4566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</row>
    <row r="9219" spans="1:11" x14ac:dyDescent="0.2">
      <c r="A9219" s="1" t="s">
        <v>3859</v>
      </c>
      <c r="B9219" s="1" t="s">
        <v>3875</v>
      </c>
      <c r="C9219" s="1" t="str">
        <f>"66298933952653"</f>
        <v>66298933952653</v>
      </c>
      <c r="D9219" s="1" t="str">
        <f>"43151-110-000"</f>
        <v>43151-110-000</v>
      </c>
      <c r="E9219" s="1" t="s">
        <v>4566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</row>
    <row r="9220" spans="1:11" x14ac:dyDescent="0.2">
      <c r="A9220" s="1" t="s">
        <v>3859</v>
      </c>
      <c r="B9220" s="1" t="s">
        <v>3876</v>
      </c>
      <c r="C9220" s="1" t="str">
        <f>"66298933997383"</f>
        <v>66298933997383</v>
      </c>
      <c r="D9220" s="1" t="str">
        <f>"90506-YBR125"</f>
        <v>90506-YBR125</v>
      </c>
      <c r="E9220" s="1" t="s">
        <v>4566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</row>
    <row r="9221" spans="1:11" x14ac:dyDescent="0.2">
      <c r="A9221" s="1" t="s">
        <v>3859</v>
      </c>
      <c r="B9221" s="1" t="s">
        <v>3877</v>
      </c>
      <c r="C9221" s="1" t="str">
        <f>"66298934040925"</f>
        <v>66298934040925</v>
      </c>
      <c r="D9221" s="1" t="str">
        <f>"G312"</f>
        <v>G312</v>
      </c>
      <c r="E9221" s="1" t="s">
        <v>4566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</row>
    <row r="9222" spans="1:11" x14ac:dyDescent="0.2">
      <c r="A9222" s="1" t="s">
        <v>3859</v>
      </c>
      <c r="B9222" s="1" t="s">
        <v>3878</v>
      </c>
      <c r="C9222" s="1" t="str">
        <f>"66298934080750"</f>
        <v>66298934080750</v>
      </c>
      <c r="D9222" s="1" t="str">
        <f>"DH-1910-06"</f>
        <v>DH-1910-06</v>
      </c>
      <c r="E9222" s="1" t="s">
        <v>4566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</row>
    <row r="9223" spans="1:11" x14ac:dyDescent="0.2">
      <c r="A9223" s="1" t="s">
        <v>3859</v>
      </c>
      <c r="B9223" s="1" t="s">
        <v>3879</v>
      </c>
      <c r="C9223" s="1" t="str">
        <f>"RES-PEFRENO"</f>
        <v>RES-PEFRENO</v>
      </c>
      <c r="D9223" s="1" t="str">
        <f>"RES-PEFRENO"</f>
        <v>RES-PEFRENO</v>
      </c>
      <c r="E9223" s="1" t="s">
        <v>4566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</row>
    <row r="9224" spans="1:11" x14ac:dyDescent="0.2">
      <c r="A9224" s="1" t="s">
        <v>3859</v>
      </c>
      <c r="B9224" s="1" t="s">
        <v>3880</v>
      </c>
      <c r="C9224" s="1" t="str">
        <f>"66298934124178"</f>
        <v>66298934124178</v>
      </c>
      <c r="D9224" s="1" t="str">
        <f>"G314"</f>
        <v>G314</v>
      </c>
      <c r="E9224" s="1" t="s">
        <v>4566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</row>
    <row r="9225" spans="1:11" x14ac:dyDescent="0.2">
      <c r="A9225" s="1" t="s">
        <v>3859</v>
      </c>
      <c r="B9225" s="1" t="s">
        <v>3881</v>
      </c>
      <c r="C9225" s="1" t="str">
        <f>"66298934166758"</f>
        <v>66298934166758</v>
      </c>
      <c r="D9225" s="1" t="str">
        <f>"G313"</f>
        <v>G313</v>
      </c>
      <c r="E9225" s="1" t="s">
        <v>4566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</row>
    <row r="9226" spans="1:11" x14ac:dyDescent="0.2">
      <c r="A9226" s="1" t="s">
        <v>3859</v>
      </c>
      <c r="B9226" s="1" t="s">
        <v>3882</v>
      </c>
      <c r="C9226" s="1" t="str">
        <f>"66298934223891"</f>
        <v>66298934223891</v>
      </c>
      <c r="D9226" s="1" t="str">
        <f>"11518"</f>
        <v>11518</v>
      </c>
      <c r="E9226" s="1" t="s">
        <v>4566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</row>
    <row r="9227" spans="1:11" x14ac:dyDescent="0.2">
      <c r="A9227" s="1" t="s">
        <v>3859</v>
      </c>
      <c r="B9227" s="1" t="s">
        <v>3883</v>
      </c>
      <c r="C9227" s="1" t="str">
        <f>"66298934267074"</f>
        <v>66298934267074</v>
      </c>
      <c r="D9227" s="1" t="str">
        <f>"11519"</f>
        <v>11519</v>
      </c>
      <c r="E9227" s="1" t="s">
        <v>4566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</row>
    <row r="9228" spans="1:11" x14ac:dyDescent="0.2">
      <c r="A9228" s="1" t="s">
        <v>3859</v>
      </c>
      <c r="B9228" s="1" t="s">
        <v>3884</v>
      </c>
      <c r="C9228" s="1" t="str">
        <f>"66298934311527"</f>
        <v>66298934311527</v>
      </c>
      <c r="D9228" s="1" t="str">
        <f>"90501-10245"</f>
        <v>90501-10245</v>
      </c>
      <c r="E9228" s="1" t="s">
        <v>4566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</row>
    <row r="9229" spans="1:11" x14ac:dyDescent="0.2">
      <c r="A9229" s="1" t="s">
        <v>3859</v>
      </c>
      <c r="B9229" s="1" t="s">
        <v>3885</v>
      </c>
      <c r="C9229" s="1" t="str">
        <f>"66298934353393"</f>
        <v>66298934353393</v>
      </c>
      <c r="D9229" s="1" t="str">
        <f>"83015"</f>
        <v>83015</v>
      </c>
      <c r="E9229" s="1" t="s">
        <v>4566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</row>
    <row r="9230" spans="1:11" x14ac:dyDescent="0.2">
      <c r="A9230" s="1" t="s">
        <v>3859</v>
      </c>
      <c r="B9230" s="1" t="s">
        <v>3886</v>
      </c>
      <c r="C9230" s="1" t="str">
        <f>"66298934399034"</f>
        <v>66298934399034</v>
      </c>
      <c r="D9230" s="1" t="str">
        <f>"36-JL00-11"</f>
        <v>36-JL00-11</v>
      </c>
      <c r="E9230" s="1" t="s">
        <v>4566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</row>
    <row r="9231" spans="1:11" x14ac:dyDescent="0.2">
      <c r="A9231" s="1" t="s">
        <v>3887</v>
      </c>
      <c r="B9231" s="1" t="s">
        <v>3888</v>
      </c>
      <c r="C9231" s="1" t="str">
        <f>"66298936682557"</f>
        <v>66298936682557</v>
      </c>
      <c r="D9231" s="1" t="str">
        <f>"93109-08058JP"</f>
        <v>93109-08058JP</v>
      </c>
      <c r="E9231" s="1" t="s">
        <v>4566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</row>
    <row r="9232" spans="1:11" x14ac:dyDescent="0.2">
      <c r="A9232" s="1" t="s">
        <v>3887</v>
      </c>
      <c r="B9232" s="1" t="s">
        <v>3889</v>
      </c>
      <c r="C9232" s="1" t="str">
        <f>"66298936723811"</f>
        <v>66298936723811</v>
      </c>
      <c r="D9232" s="1" t="str">
        <f>"91204-MB0-013JP"</f>
        <v>91204-MB0-013JP</v>
      </c>
      <c r="E9232" s="1" t="s">
        <v>4566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</row>
    <row r="9233" spans="1:11" x14ac:dyDescent="0.2">
      <c r="A9233" s="1" t="s">
        <v>3887</v>
      </c>
      <c r="B9233" s="1" t="s">
        <v>3890</v>
      </c>
      <c r="C9233" s="1" t="str">
        <f>"66298936847598"</f>
        <v>66298936847598</v>
      </c>
      <c r="D9233" s="1" t="str">
        <f>"09282-10012"</f>
        <v>09282-10012</v>
      </c>
      <c r="E9233" s="1" t="s">
        <v>4566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</row>
    <row r="9234" spans="1:11" x14ac:dyDescent="0.2">
      <c r="A9234" s="1" t="s">
        <v>3887</v>
      </c>
      <c r="B9234" s="1" t="s">
        <v>3891</v>
      </c>
      <c r="C9234" s="1" t="str">
        <f>"66298936805151"</f>
        <v>66298936805151</v>
      </c>
      <c r="D9234" s="1" t="str">
        <f>"40R055"</f>
        <v>40R055</v>
      </c>
      <c r="E9234" s="1" t="s">
        <v>4566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</row>
    <row r="9235" spans="1:11" x14ac:dyDescent="0.2">
      <c r="A9235" s="1" t="s">
        <v>3887</v>
      </c>
      <c r="B9235" s="1" t="s">
        <v>3892</v>
      </c>
      <c r="C9235" s="1" t="str">
        <f>"93103-10147JP"</f>
        <v>93103-10147JP</v>
      </c>
      <c r="D9235" s="1" t="str">
        <f>"93103-10147JP"</f>
        <v>93103-10147JP</v>
      </c>
      <c r="E9235" s="1" t="s">
        <v>4566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</row>
    <row r="9236" spans="1:11" x14ac:dyDescent="0.2">
      <c r="A9236" s="1" t="s">
        <v>3887</v>
      </c>
      <c r="B9236" s="1" t="s">
        <v>3893</v>
      </c>
      <c r="C9236" s="1" t="str">
        <f>"66298934844875"</f>
        <v>66298934844875</v>
      </c>
      <c r="D9236" s="1" t="str">
        <f>"11-25-7"</f>
        <v>11-25-7</v>
      </c>
      <c r="E9236" s="1" t="s">
        <v>4566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</row>
    <row r="9237" spans="1:11" x14ac:dyDescent="0.2">
      <c r="A9237" s="1" t="s">
        <v>3887</v>
      </c>
      <c r="B9237" s="1" t="s">
        <v>3894</v>
      </c>
      <c r="C9237" s="1" t="str">
        <f>"66298934887940"</f>
        <v>66298934887940</v>
      </c>
      <c r="D9237" s="1" t="str">
        <f>"91211-KRN-671GH"</f>
        <v>91211-KRN-671GH</v>
      </c>
      <c r="E9237" s="1" t="s">
        <v>4566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</row>
    <row r="9238" spans="1:11" x14ac:dyDescent="0.2">
      <c r="A9238" s="1" t="s">
        <v>3887</v>
      </c>
      <c r="B9238" s="1" t="s">
        <v>3895</v>
      </c>
      <c r="C9238" s="1" t="str">
        <f>"66298935625499"</f>
        <v>66298935625499</v>
      </c>
      <c r="D9238" s="1" t="str">
        <f>"91205-KF0-003JP"</f>
        <v>91205-KF0-003JP</v>
      </c>
      <c r="E9238" s="1" t="s">
        <v>4566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</row>
    <row r="9239" spans="1:11" x14ac:dyDescent="0.2">
      <c r="A9239" s="1" t="s">
        <v>3887</v>
      </c>
      <c r="B9239" s="1" t="s">
        <v>3896</v>
      </c>
      <c r="C9239" s="1" t="str">
        <f>"66298935663697"</f>
        <v>66298935663697</v>
      </c>
      <c r="D9239" s="1" t="str">
        <f>"39-1041-19"</f>
        <v>39-1041-19</v>
      </c>
      <c r="E9239" s="1" t="s">
        <v>4566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</row>
    <row r="9240" spans="1:11" x14ac:dyDescent="0.2">
      <c r="A9240" s="1" t="s">
        <v>3887</v>
      </c>
      <c r="B9240" s="1" t="s">
        <v>3897</v>
      </c>
      <c r="C9240" s="1" t="str">
        <f>"91201-035-015JP"</f>
        <v>91201-035-015JP</v>
      </c>
      <c r="D9240" s="1" t="str">
        <f>"91201-035-015JP"</f>
        <v>91201-035-015JP</v>
      </c>
      <c r="E9240" s="1" t="s">
        <v>4566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</row>
    <row r="9241" spans="1:11" x14ac:dyDescent="0.2">
      <c r="A9241" s="1" t="s">
        <v>3887</v>
      </c>
      <c r="B9241" s="1" t="s">
        <v>3898</v>
      </c>
      <c r="C9241" s="1" t="str">
        <f>"66298936891207"</f>
        <v>66298936891207</v>
      </c>
      <c r="D9241" s="1" t="str">
        <f>"91201-148-003JP"</f>
        <v>91201-148-003JP</v>
      </c>
      <c r="E9241" s="1" t="s">
        <v>4566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</row>
    <row r="9242" spans="1:11" x14ac:dyDescent="0.2">
      <c r="A9242" s="1" t="s">
        <v>3887</v>
      </c>
      <c r="B9242" s="1" t="s">
        <v>3899</v>
      </c>
      <c r="C9242" s="1" t="str">
        <f>"RE-12-22-5"</f>
        <v>RE-12-22-5</v>
      </c>
      <c r="D9242" s="1" t="str">
        <f>"RE-12-22-5"</f>
        <v>RE-12-22-5</v>
      </c>
      <c r="E9242" s="1" t="s">
        <v>4566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</row>
    <row r="9243" spans="1:11" x14ac:dyDescent="0.2">
      <c r="A9243" s="1" t="s">
        <v>3887</v>
      </c>
      <c r="B9243" s="1" t="s">
        <v>3900</v>
      </c>
      <c r="C9243" s="1" t="str">
        <f>"66298934442994"</f>
        <v>66298934442994</v>
      </c>
      <c r="D9243" s="1" t="str">
        <f>"93102-12321GY"</f>
        <v>93102-12321GY</v>
      </c>
      <c r="E9243" s="1" t="s">
        <v>4566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</row>
    <row r="9244" spans="1:11" x14ac:dyDescent="0.2">
      <c r="A9244" s="1" t="s">
        <v>3887</v>
      </c>
      <c r="B9244" s="1" t="s">
        <v>3901</v>
      </c>
      <c r="C9244" s="1" t="str">
        <f>"66298935703696"</f>
        <v>66298935703696</v>
      </c>
      <c r="D9244" s="1" t="str">
        <f>"09285-14001"</f>
        <v>09285-14001</v>
      </c>
      <c r="E9244" s="1" t="s">
        <v>4566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</row>
    <row r="9245" spans="1:11" x14ac:dyDescent="0.2">
      <c r="A9245" s="1" t="s">
        <v>3887</v>
      </c>
      <c r="B9245" s="1" t="s">
        <v>3902</v>
      </c>
      <c r="C9245" s="1" t="str">
        <f>"66298936942471"</f>
        <v>66298936942471</v>
      </c>
      <c r="D9245" s="1" t="str">
        <f>"93104-14004JP"</f>
        <v>93104-14004JP</v>
      </c>
      <c r="E9245" s="1" t="s">
        <v>4566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</row>
    <row r="9246" spans="1:11" x14ac:dyDescent="0.2">
      <c r="A9246" s="1" t="s">
        <v>3887</v>
      </c>
      <c r="B9246" s="1" t="s">
        <v>3903</v>
      </c>
      <c r="C9246" s="1" t="str">
        <f>"66298935791563"</f>
        <v>66298935791563</v>
      </c>
      <c r="D9246" s="1" t="str">
        <f>"91202-107-003"</f>
        <v>91202-107-003</v>
      </c>
      <c r="E9246" s="1" t="s">
        <v>4566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</row>
    <row r="9247" spans="1:11" x14ac:dyDescent="0.2">
      <c r="A9247" s="1" t="s">
        <v>3887</v>
      </c>
      <c r="B9247" s="1" t="s">
        <v>3904</v>
      </c>
      <c r="C9247" s="1" t="str">
        <f>"66298936994932"</f>
        <v>66298936994932</v>
      </c>
      <c r="D9247" s="1" t="str">
        <f>"16-28-7"</f>
        <v>16-28-7</v>
      </c>
      <c r="E9247" s="1" t="s">
        <v>4566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</row>
    <row r="9248" spans="1:11" x14ac:dyDescent="0.2">
      <c r="A9248" s="1" t="s">
        <v>3887</v>
      </c>
      <c r="B9248" s="1" t="s">
        <v>3904</v>
      </c>
      <c r="C9248" s="1" t="str">
        <f>"66298937000368"</f>
        <v>66298937000368</v>
      </c>
      <c r="D9248" s="1" t="str">
        <f>"40R012"</f>
        <v>40R012</v>
      </c>
      <c r="E9248" s="1" t="s">
        <v>4566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</row>
    <row r="9249" spans="1:11" x14ac:dyDescent="0.2">
      <c r="A9249" s="1" t="s">
        <v>3887</v>
      </c>
      <c r="B9249" s="1" t="s">
        <v>3904</v>
      </c>
      <c r="C9249" s="1" t="str">
        <f>"66298937007058"</f>
        <v>66298937007058</v>
      </c>
      <c r="D9249" s="1" t="str">
        <f>"91204-259-003"</f>
        <v>91204-259-003</v>
      </c>
      <c r="E9249" s="1" t="s">
        <v>4566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</row>
    <row r="9250" spans="1:11" x14ac:dyDescent="0.2">
      <c r="A9250" s="1" t="s">
        <v>3887</v>
      </c>
      <c r="B9250" s="1" t="s">
        <v>3905</v>
      </c>
      <c r="C9250" s="1" t="str">
        <f>"66298935749412"</f>
        <v>66298935749412</v>
      </c>
      <c r="D9250" s="1" t="str">
        <f>"91205-KA3-712GH"</f>
        <v>91205-KA3-712GH</v>
      </c>
      <c r="E9250" s="1" t="s">
        <v>4566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</row>
    <row r="9251" spans="1:11" x14ac:dyDescent="0.2">
      <c r="A9251" s="1" t="s">
        <v>3887</v>
      </c>
      <c r="B9251" s="1" t="s">
        <v>3906</v>
      </c>
      <c r="C9251" s="1" t="str">
        <f>"66298934485923"</f>
        <v>66298934485923</v>
      </c>
      <c r="D9251" s="1" t="str">
        <f>"293"</f>
        <v>293</v>
      </c>
      <c r="E9251" s="1" t="s">
        <v>4566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</row>
    <row r="9252" spans="1:11" x14ac:dyDescent="0.2">
      <c r="A9252" s="1" t="s">
        <v>3887</v>
      </c>
      <c r="B9252" s="1" t="s">
        <v>3907</v>
      </c>
      <c r="C9252" s="1" t="str">
        <f>"66298936763636"</f>
        <v>66298936763636</v>
      </c>
      <c r="D9252" s="1" t="str">
        <f>"18,9-28-5"</f>
        <v>18,9-28-5</v>
      </c>
      <c r="E9252" s="1" t="s">
        <v>4566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</row>
    <row r="9253" spans="1:11" x14ac:dyDescent="0.2">
      <c r="A9253" s="1" t="s">
        <v>3887</v>
      </c>
      <c r="B9253" s="1" t="s">
        <v>3908</v>
      </c>
      <c r="C9253" s="1" t="str">
        <f>"66298935063753"</f>
        <v>66298935063753</v>
      </c>
      <c r="D9253" s="1" t="str">
        <f>"91202-GE0-005JP"</f>
        <v>91202-GE0-005JP</v>
      </c>
      <c r="E9253" s="1" t="s">
        <v>4566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</row>
    <row r="9254" spans="1:11" x14ac:dyDescent="0.2">
      <c r="A9254" s="1" t="s">
        <v>3887</v>
      </c>
      <c r="B9254" s="1" t="s">
        <v>3909</v>
      </c>
      <c r="C9254" s="1" t="str">
        <f>"66298935104172"</f>
        <v>66298935104172</v>
      </c>
      <c r="D9254" s="1" t="str">
        <f>"91202-035-000"</f>
        <v>91202-035-000</v>
      </c>
      <c r="E9254" s="1" t="s">
        <v>4566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</row>
    <row r="9255" spans="1:11" x14ac:dyDescent="0.2">
      <c r="A9255" s="1" t="s">
        <v>3887</v>
      </c>
      <c r="B9255" s="1" t="s">
        <v>3910</v>
      </c>
      <c r="C9255" s="1" t="str">
        <f>"66298937077632"</f>
        <v>66298937077632</v>
      </c>
      <c r="D9255" s="1" t="str">
        <f>"40R087"</f>
        <v>40R087</v>
      </c>
      <c r="E9255" s="1" t="s">
        <v>4566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</row>
    <row r="9256" spans="1:11" x14ac:dyDescent="0.2">
      <c r="A9256" s="1" t="s">
        <v>3887</v>
      </c>
      <c r="B9256" s="1" t="s">
        <v>3910</v>
      </c>
      <c r="C9256" s="1" t="str">
        <f>"66298937119173"</f>
        <v>66298937119173</v>
      </c>
      <c r="D9256" s="1" t="str">
        <f>"93102-20309JP"</f>
        <v>93102-20309JP</v>
      </c>
      <c r="E9256" s="1" t="s">
        <v>4566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</row>
    <row r="9257" spans="1:11" x14ac:dyDescent="0.2">
      <c r="A9257" s="1" t="s">
        <v>3887</v>
      </c>
      <c r="B9257" s="1" t="s">
        <v>3911</v>
      </c>
      <c r="C9257" s="1" t="str">
        <f>"66298935148696"</f>
        <v>66298935148696</v>
      </c>
      <c r="D9257" s="1" t="str">
        <f>"93101-20169JP"</f>
        <v>93101-20169JP</v>
      </c>
      <c r="E9257" s="1" t="s">
        <v>4566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</row>
    <row r="9258" spans="1:11" x14ac:dyDescent="0.2">
      <c r="A9258" s="1" t="s">
        <v>3887</v>
      </c>
      <c r="B9258" s="1" t="s">
        <v>3912</v>
      </c>
      <c r="C9258" s="1" t="str">
        <f>"66298934932117"</f>
        <v>66298934932117</v>
      </c>
      <c r="D9258" s="1" t="str">
        <f>"09282-20005"</f>
        <v>09282-20005</v>
      </c>
      <c r="E9258" s="1" t="s">
        <v>4566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</row>
    <row r="9259" spans="1:11" x14ac:dyDescent="0.2">
      <c r="A9259" s="1" t="s">
        <v>3887</v>
      </c>
      <c r="B9259" s="1" t="s">
        <v>3913</v>
      </c>
      <c r="C9259" s="1" t="str">
        <f>"66298937159267"</f>
        <v>66298937159267</v>
      </c>
      <c r="D9259" s="1" t="str">
        <f>"91201-KK0-005JP"</f>
        <v>91201-KK0-005JP</v>
      </c>
      <c r="E9259" s="1" t="s">
        <v>4566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</row>
    <row r="9260" spans="1:11" x14ac:dyDescent="0.2">
      <c r="A9260" s="1" t="s">
        <v>3887</v>
      </c>
      <c r="B9260" s="1" t="s">
        <v>3914</v>
      </c>
      <c r="C9260" s="1" t="str">
        <f>"66298934529672"</f>
        <v>66298934529672</v>
      </c>
      <c r="D9260" s="1" t="str">
        <f>"5535"</f>
        <v>5535</v>
      </c>
      <c r="E9260" s="1" t="s">
        <v>4566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</row>
    <row r="9261" spans="1:11" x14ac:dyDescent="0.2">
      <c r="A9261" s="1" t="s">
        <v>3887</v>
      </c>
      <c r="B9261" s="1" t="s">
        <v>3915</v>
      </c>
      <c r="C9261" s="1" t="str">
        <f>"93102-20143JP"</f>
        <v>93102-20143JP</v>
      </c>
      <c r="D9261" s="1" t="str">
        <f>"93102-20143JP"</f>
        <v>93102-20143JP</v>
      </c>
      <c r="E9261" s="1" t="s">
        <v>4566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</row>
    <row r="9262" spans="1:11" x14ac:dyDescent="0.2">
      <c r="A9262" s="1" t="s">
        <v>3887</v>
      </c>
      <c r="B9262" s="1" t="s">
        <v>3916</v>
      </c>
      <c r="C9262" s="1" t="str">
        <f>"66298934597248"</f>
        <v>66298934597248</v>
      </c>
      <c r="D9262" s="1" t="str">
        <f>"5092"</f>
        <v>5092</v>
      </c>
      <c r="E9262" s="1" t="s">
        <v>4566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</row>
    <row r="9263" spans="1:11" x14ac:dyDescent="0.2">
      <c r="A9263" s="1" t="s">
        <v>3887</v>
      </c>
      <c r="B9263" s="1" t="s">
        <v>3917</v>
      </c>
      <c r="C9263" s="1" t="str">
        <f>"66298937200186"</f>
        <v>66298937200186</v>
      </c>
      <c r="D9263" s="1" t="str">
        <f>"91201-KCZ-003JP"</f>
        <v>91201-KCZ-003JP</v>
      </c>
      <c r="E9263" s="1" t="s">
        <v>4566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</row>
    <row r="9264" spans="1:11" x14ac:dyDescent="0.2">
      <c r="A9264" s="1" t="s">
        <v>3887</v>
      </c>
      <c r="B9264" s="1" t="s">
        <v>3918</v>
      </c>
      <c r="C9264" s="1" t="str">
        <f>"66298934979946"</f>
        <v>66298934979946</v>
      </c>
      <c r="D9264" s="1" t="str">
        <f>"93102-22464JP"</f>
        <v>93102-22464JP</v>
      </c>
      <c r="E9264" s="1" t="s">
        <v>4566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</row>
    <row r="9265" spans="1:11" x14ac:dyDescent="0.2">
      <c r="A9265" s="1" t="s">
        <v>3887</v>
      </c>
      <c r="B9265" s="1" t="s">
        <v>3919</v>
      </c>
      <c r="C9265" s="1" t="str">
        <f>"66298934636995"</f>
        <v>66298934636995</v>
      </c>
      <c r="D9265" s="1" t="str">
        <f>"5221"</f>
        <v>5221</v>
      </c>
      <c r="E9265" s="1" t="s">
        <v>4566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</row>
    <row r="9266" spans="1:11" x14ac:dyDescent="0.2">
      <c r="A9266" s="1" t="s">
        <v>3887</v>
      </c>
      <c r="B9266" s="1" t="s">
        <v>3920</v>
      </c>
      <c r="C9266" s="1" t="str">
        <f>"66298937237980"</f>
        <v>66298937237980</v>
      </c>
      <c r="D9266" s="1" t="str">
        <f>"93102-25270JP"</f>
        <v>93102-25270JP</v>
      </c>
      <c r="E9266" s="1" t="s">
        <v>4566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</row>
    <row r="9267" spans="1:11" x14ac:dyDescent="0.2">
      <c r="A9267" s="1" t="s">
        <v>3887</v>
      </c>
      <c r="B9267" s="1" t="s">
        <v>3921</v>
      </c>
      <c r="C9267" s="1" t="str">
        <f>"66298935020735"</f>
        <v>66298935020735</v>
      </c>
      <c r="D9267" s="1" t="str">
        <f>"62220"</f>
        <v>62220</v>
      </c>
      <c r="E9267" s="1" t="s">
        <v>4566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</row>
    <row r="9268" spans="1:11" x14ac:dyDescent="0.2">
      <c r="A9268" s="1" t="s">
        <v>3887</v>
      </c>
      <c r="B9268" s="1" t="s">
        <v>3922</v>
      </c>
      <c r="C9268" s="1" t="str">
        <f>"66298935189969"</f>
        <v>66298935189969</v>
      </c>
      <c r="D9268" s="1" t="str">
        <f>"653B-25407JP"</f>
        <v>653B-25407JP</v>
      </c>
      <c r="E9268" s="1" t="s">
        <v>4566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</row>
    <row r="9269" spans="1:11" x14ac:dyDescent="0.2">
      <c r="A9269" s="1" t="s">
        <v>3887</v>
      </c>
      <c r="B9269" s="1" t="s">
        <v>3923</v>
      </c>
      <c r="C9269" s="1" t="str">
        <f>"66298935232901"</f>
        <v>66298935232901</v>
      </c>
      <c r="D9269" s="1" t="str">
        <f>"93102-25061JP"</f>
        <v>93102-25061JP</v>
      </c>
      <c r="E9269" s="1" t="s">
        <v>4566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</row>
    <row r="9270" spans="1:11" x14ac:dyDescent="0.2">
      <c r="A9270" s="1" t="s">
        <v>3887</v>
      </c>
      <c r="B9270" s="1" t="s">
        <v>3924</v>
      </c>
      <c r="C9270" s="1" t="str">
        <f>"66298935277588"</f>
        <v>66298935277588</v>
      </c>
      <c r="D9270" s="1" t="str">
        <f>"93102-25331JP"</f>
        <v>93102-25331JP</v>
      </c>
      <c r="E9270" s="1" t="s">
        <v>4566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</row>
    <row r="9271" spans="1:11" x14ac:dyDescent="0.2">
      <c r="A9271" s="1" t="s">
        <v>3887</v>
      </c>
      <c r="B9271" s="1" t="s">
        <v>3925</v>
      </c>
      <c r="C9271" s="1" t="str">
        <f>"66298937279436"</f>
        <v>66298937279436</v>
      </c>
      <c r="D9271" s="1" t="str">
        <f>"91204-MG3-003JP"</f>
        <v>91204-MG3-003JP</v>
      </c>
      <c r="E9271" s="1" t="s">
        <v>4566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</row>
    <row r="9272" spans="1:11" x14ac:dyDescent="0.2">
      <c r="A9272" s="1" t="s">
        <v>3887</v>
      </c>
      <c r="B9272" s="1" t="s">
        <v>3926</v>
      </c>
      <c r="C9272" s="1" t="str">
        <f>"66298934676510"</f>
        <v>66298934676510</v>
      </c>
      <c r="D9272" s="1" t="str">
        <f>"5310"</f>
        <v>5310</v>
      </c>
      <c r="E9272" s="1" t="s">
        <v>4566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</row>
    <row r="9273" spans="1:11" x14ac:dyDescent="0.2">
      <c r="A9273" s="1" t="s">
        <v>3887</v>
      </c>
      <c r="B9273" s="1" t="s">
        <v>3927</v>
      </c>
      <c r="C9273" s="1" t="str">
        <f>"66298937322806"</f>
        <v>66298937322806</v>
      </c>
      <c r="D9273" s="1" t="str">
        <f>"26-38-5"</f>
        <v>26-38-5</v>
      </c>
      <c r="E9273" s="1" t="s">
        <v>4566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</row>
    <row r="9274" spans="1:11" x14ac:dyDescent="0.2">
      <c r="A9274" s="1" t="s">
        <v>3887</v>
      </c>
      <c r="B9274" s="1" t="s">
        <v>3928</v>
      </c>
      <c r="C9274" s="1" t="str">
        <f>"66298937360140"</f>
        <v>66298937360140</v>
      </c>
      <c r="D9274" s="1" t="str">
        <f>"93102-26042JP"</f>
        <v>93102-26042JP</v>
      </c>
      <c r="E9274" s="1" t="s">
        <v>4566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</row>
    <row r="9275" spans="1:11" x14ac:dyDescent="0.2">
      <c r="A9275" s="1" t="s">
        <v>3887</v>
      </c>
      <c r="B9275" s="1" t="s">
        <v>3929</v>
      </c>
      <c r="C9275" s="1" t="str">
        <f>"66298934716784"</f>
        <v>66298934716784</v>
      </c>
      <c r="D9275" s="1" t="str">
        <f>"5308"</f>
        <v>5308</v>
      </c>
      <c r="E9275" s="1" t="s">
        <v>4566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</row>
    <row r="9276" spans="1:11" x14ac:dyDescent="0.2">
      <c r="A9276" s="1" t="s">
        <v>3887</v>
      </c>
      <c r="B9276" s="1" t="s">
        <v>3930</v>
      </c>
      <c r="C9276" s="1" t="str">
        <f>"66298935323387"</f>
        <v>66298935323387</v>
      </c>
      <c r="D9276" s="1" t="str">
        <f>"09283-26002JP"</f>
        <v>09283-26002JP</v>
      </c>
      <c r="E9276" s="1" t="s">
        <v>4566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</row>
    <row r="9277" spans="1:11" x14ac:dyDescent="0.2">
      <c r="A9277" s="1" t="s">
        <v>3887</v>
      </c>
      <c r="B9277" s="1" t="s">
        <v>3931</v>
      </c>
      <c r="C9277" s="1" t="str">
        <f>"66298935363996"</f>
        <v>66298935363996</v>
      </c>
      <c r="D9277" s="1" t="str">
        <f>"40R015"</f>
        <v>40R015</v>
      </c>
      <c r="E9277" s="1" t="s">
        <v>4566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</row>
    <row r="9278" spans="1:11" x14ac:dyDescent="0.2">
      <c r="A9278" s="1" t="s">
        <v>3887</v>
      </c>
      <c r="B9278" s="1" t="s">
        <v>3932</v>
      </c>
      <c r="C9278" s="1" t="str">
        <f>"66298935990459"</f>
        <v>66298935990459</v>
      </c>
      <c r="D9278" s="1" t="str">
        <f>"90756-118-000"</f>
        <v>90756-118-000</v>
      </c>
      <c r="E9278" s="1" t="s">
        <v>4566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</row>
    <row r="9279" spans="1:11" x14ac:dyDescent="0.2">
      <c r="A9279" s="1" t="s">
        <v>3887</v>
      </c>
      <c r="B9279" s="1" t="s">
        <v>3933</v>
      </c>
      <c r="C9279" s="1" t="str">
        <f>"66298935952606"</f>
        <v>66298935952606</v>
      </c>
      <c r="D9279" s="1" t="str">
        <f>"276-23145-51JP"</f>
        <v>276-23145-51JP</v>
      </c>
      <c r="E9279" s="1" t="s">
        <v>4566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</row>
    <row r="9280" spans="1:11" x14ac:dyDescent="0.2">
      <c r="A9280" s="1" t="s">
        <v>3887</v>
      </c>
      <c r="B9280" s="1" t="s">
        <v>3934</v>
      </c>
      <c r="C9280" s="1" t="str">
        <f>"66298935406298"</f>
        <v>66298935406298</v>
      </c>
      <c r="D9280" s="1" t="str">
        <f>"93103-28011JP"</f>
        <v>93103-28011JP</v>
      </c>
      <c r="E9280" s="1" t="s">
        <v>4566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</row>
    <row r="9281" spans="1:11" x14ac:dyDescent="0.2">
      <c r="A9281" s="1" t="s">
        <v>3887</v>
      </c>
      <c r="B9281" s="1" t="s">
        <v>3935</v>
      </c>
      <c r="C9281" s="1" t="str">
        <f>"90765"</f>
        <v>90765</v>
      </c>
      <c r="D9281" s="1" t="str">
        <f>"90765"</f>
        <v>90765</v>
      </c>
      <c r="E9281" s="1" t="s">
        <v>4566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</row>
    <row r="9282" spans="1:11" ht="30" x14ac:dyDescent="0.2">
      <c r="A9282" s="1" t="s">
        <v>3887</v>
      </c>
      <c r="B9282" s="1" t="s">
        <v>3936</v>
      </c>
      <c r="C9282" s="1" t="str">
        <f>"66298936031908"</f>
        <v>66298936031908</v>
      </c>
      <c r="D9282" s="1" t="str">
        <f>"36L-F3145-00JP"</f>
        <v>36L-F3145-00JP</v>
      </c>
      <c r="E9282" s="1" t="s">
        <v>4566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</row>
    <row r="9283" spans="1:11" ht="30" x14ac:dyDescent="0.2">
      <c r="A9283" s="1" t="s">
        <v>3887</v>
      </c>
      <c r="B9283" s="1" t="s">
        <v>3936</v>
      </c>
      <c r="C9283" s="1" t="str">
        <f>"P40FORK455012"</f>
        <v>P40FORK455012</v>
      </c>
      <c r="D9283" s="1" t="str">
        <f>"P40FORK455012"</f>
        <v>P40FORK455012</v>
      </c>
      <c r="E9283" s="1" t="s">
        <v>4566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</row>
    <row r="9284" spans="1:11" ht="30" x14ac:dyDescent="0.2">
      <c r="A9284" s="1" t="s">
        <v>3887</v>
      </c>
      <c r="B9284" s="1" t="s">
        <v>3936</v>
      </c>
      <c r="C9284" s="1" t="str">
        <f>"40R046"</f>
        <v>40R046</v>
      </c>
      <c r="D9284" s="1" t="str">
        <f>"40R046"</f>
        <v>40R046</v>
      </c>
      <c r="E9284" s="1" t="s">
        <v>4566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</row>
    <row r="9285" spans="1:11" x14ac:dyDescent="0.2">
      <c r="A9285" s="1" t="s">
        <v>3887</v>
      </c>
      <c r="B9285" s="1" t="s">
        <v>3937</v>
      </c>
      <c r="C9285" s="1" t="str">
        <f>"66298935828563"</f>
        <v>66298935828563</v>
      </c>
      <c r="D9285" s="1" t="str">
        <f>"93106-30004"</f>
        <v>93106-30004</v>
      </c>
      <c r="E9285" s="1" t="s">
        <v>4566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</row>
    <row r="9286" spans="1:11" x14ac:dyDescent="0.2">
      <c r="A9286" s="1" t="s">
        <v>3887</v>
      </c>
      <c r="B9286" s="1" t="s">
        <v>3938</v>
      </c>
      <c r="C9286" s="1" t="str">
        <f>"BR2332RTO"</f>
        <v>BR2332RTO</v>
      </c>
      <c r="D9286" s="1" t="str">
        <f>"BR2332RTO"</f>
        <v>BR2332RTO</v>
      </c>
      <c r="E9286" s="1" t="s">
        <v>4566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</row>
    <row r="9287" spans="1:11" ht="30" x14ac:dyDescent="0.2">
      <c r="A9287" s="1" t="s">
        <v>3887</v>
      </c>
      <c r="B9287" s="1" t="s">
        <v>3939</v>
      </c>
      <c r="C9287" s="1" t="str">
        <f>"CR006"</f>
        <v>CR006</v>
      </c>
      <c r="D9287" s="1" t="str">
        <f>"CR006"</f>
        <v>CR006</v>
      </c>
      <c r="E9287" s="1" t="s">
        <v>4566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</row>
    <row r="9288" spans="1:11" ht="30" x14ac:dyDescent="0.2">
      <c r="A9288" s="1" t="s">
        <v>3887</v>
      </c>
      <c r="B9288" s="1" t="s">
        <v>3939</v>
      </c>
      <c r="C9288" s="1" t="str">
        <f>"530"</f>
        <v>530</v>
      </c>
      <c r="D9288" s="1" t="str">
        <f>"530"</f>
        <v>530</v>
      </c>
      <c r="E9288" s="1" t="s">
        <v>4566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</row>
    <row r="9289" spans="1:11" ht="30" x14ac:dyDescent="0.2">
      <c r="A9289" s="1" t="s">
        <v>3887</v>
      </c>
      <c r="B9289" s="1" t="s">
        <v>3939</v>
      </c>
      <c r="C9289" s="1" t="str">
        <f>"12420"</f>
        <v>12420</v>
      </c>
      <c r="D9289" s="1" t="str">
        <f>"12420"</f>
        <v>12420</v>
      </c>
      <c r="E9289" s="1" t="s">
        <v>4566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</row>
    <row r="9290" spans="1:11" ht="30" x14ac:dyDescent="0.2">
      <c r="A9290" s="1" t="s">
        <v>3887</v>
      </c>
      <c r="B9290" s="1" t="s">
        <v>3939</v>
      </c>
      <c r="C9290" s="1" t="str">
        <f>"40R029"</f>
        <v>40R029</v>
      </c>
      <c r="D9290" s="1" t="str">
        <f>"40R029"</f>
        <v>40R029</v>
      </c>
      <c r="E9290" s="1" t="s">
        <v>4566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</row>
    <row r="9291" spans="1:11" ht="30" x14ac:dyDescent="0.2">
      <c r="A9291" s="1" t="s">
        <v>3887</v>
      </c>
      <c r="B9291" s="1" t="s">
        <v>3940</v>
      </c>
      <c r="C9291" s="1" t="str">
        <f>"5656"</f>
        <v>5656</v>
      </c>
      <c r="D9291" s="1" t="str">
        <f>"5656"</f>
        <v>5656</v>
      </c>
      <c r="E9291" s="1" t="s">
        <v>4566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</row>
    <row r="9292" spans="1:11" x14ac:dyDescent="0.2">
      <c r="A9292" s="1" t="s">
        <v>3887</v>
      </c>
      <c r="B9292" s="1" t="s">
        <v>3941</v>
      </c>
      <c r="C9292" s="1" t="str">
        <f>"66298935447831"</f>
        <v>66298935447831</v>
      </c>
      <c r="D9292" s="1" t="str">
        <f>"93103-32099JP"</f>
        <v>93103-32099JP</v>
      </c>
      <c r="E9292" s="1" t="s">
        <v>4566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</row>
    <row r="9293" spans="1:11" x14ac:dyDescent="0.2">
      <c r="A9293" s="1" t="s">
        <v>3887</v>
      </c>
      <c r="B9293" s="1" t="s">
        <v>3942</v>
      </c>
      <c r="C9293" s="1" t="str">
        <f>"66298935497860"</f>
        <v>66298935497860</v>
      </c>
      <c r="D9293" s="1" t="str">
        <f>"92049-1301HB"</f>
        <v>92049-1301HB</v>
      </c>
      <c r="E9293" s="1" t="s">
        <v>4566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</row>
    <row r="9294" spans="1:11" x14ac:dyDescent="0.2">
      <c r="A9294" s="1" t="s">
        <v>3887</v>
      </c>
      <c r="B9294" s="1" t="s">
        <v>3943</v>
      </c>
      <c r="C9294" s="1" t="str">
        <f>"66298935536561"</f>
        <v>66298935536561</v>
      </c>
      <c r="D9294" s="1" t="str">
        <f>"09283-32016JP"</f>
        <v>09283-32016JP</v>
      </c>
      <c r="E9294" s="1" t="s">
        <v>4566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</row>
    <row r="9295" spans="1:11" x14ac:dyDescent="0.2">
      <c r="A9295" s="1" t="s">
        <v>3887</v>
      </c>
      <c r="B9295" s="1" t="s">
        <v>3944</v>
      </c>
      <c r="C9295" s="1" t="str">
        <f>"66298936072313"</f>
        <v>66298936072313</v>
      </c>
      <c r="D9295" s="1" t="str">
        <f>"20P-F3145-00JP"</f>
        <v>20P-F3145-00JP</v>
      </c>
      <c r="E9295" s="1" t="s">
        <v>4566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</row>
    <row r="9296" spans="1:11" x14ac:dyDescent="0.2">
      <c r="A9296" s="1" t="s">
        <v>3887</v>
      </c>
      <c r="B9296" s="1" t="s">
        <v>3945</v>
      </c>
      <c r="C9296" s="1" t="str">
        <f>"66298936120767"</f>
        <v>66298936120767</v>
      </c>
      <c r="D9296" s="1" t="str">
        <f>"40R223"</f>
        <v>40R223</v>
      </c>
      <c r="E9296" s="1" t="s">
        <v>4566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</row>
    <row r="9297" spans="1:11" x14ac:dyDescent="0.2">
      <c r="A9297" s="1" t="s">
        <v>3887</v>
      </c>
      <c r="B9297" s="1" t="s">
        <v>3946</v>
      </c>
      <c r="C9297" s="1" t="str">
        <f>"P40FORK455023"</f>
        <v>P40FORK455023</v>
      </c>
      <c r="D9297" s="1" t="str">
        <f>"P40FORK455023"</f>
        <v>P40FORK455023</v>
      </c>
      <c r="E9297" s="1" t="s">
        <v>4566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</row>
    <row r="9298" spans="1:11" x14ac:dyDescent="0.2">
      <c r="A9298" s="1" t="s">
        <v>3887</v>
      </c>
      <c r="B9298" s="1" t="s">
        <v>3947</v>
      </c>
      <c r="C9298" s="1" t="str">
        <f>"66298936165004"</f>
        <v>66298936165004</v>
      </c>
      <c r="D9298" s="1" t="str">
        <f>"4C6-F3145-00JP"</f>
        <v>4C6-F3145-00JP</v>
      </c>
      <c r="E9298" s="1" t="s">
        <v>4566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</row>
    <row r="9299" spans="1:11" x14ac:dyDescent="0.2">
      <c r="A9299" s="1" t="s">
        <v>3887</v>
      </c>
      <c r="B9299" s="1" t="s">
        <v>3948</v>
      </c>
      <c r="C9299" s="1" t="str">
        <f>"66298935585769"</f>
        <v>66298935585769</v>
      </c>
      <c r="D9299" s="1" t="str">
        <f>"08014-34507JP"</f>
        <v>08014-34507JP</v>
      </c>
      <c r="E9299" s="1" t="s">
        <v>4566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</row>
    <row r="9300" spans="1:11" x14ac:dyDescent="0.2">
      <c r="A9300" s="1" t="s">
        <v>3887</v>
      </c>
      <c r="B9300" s="1" t="s">
        <v>3949</v>
      </c>
      <c r="C9300" s="1" t="str">
        <f>"66298936206203"</f>
        <v>66298936206203</v>
      </c>
      <c r="D9300" s="1" t="str">
        <f>"2TW-F1345-A0JP"</f>
        <v>2TW-F1345-A0JP</v>
      </c>
      <c r="E9300" s="1" t="s">
        <v>4566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</row>
    <row r="9301" spans="1:11" x14ac:dyDescent="0.2">
      <c r="A9301" s="1" t="s">
        <v>3887</v>
      </c>
      <c r="B9301" s="1" t="s">
        <v>3950</v>
      </c>
      <c r="C9301" s="1" t="str">
        <f>"66298935868282"</f>
        <v>66298935868282</v>
      </c>
      <c r="D9301" s="1" t="str">
        <f>"91252-HA0-004GH"</f>
        <v>91252-HA0-004GH</v>
      </c>
      <c r="E9301" s="1" t="s">
        <v>4566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</row>
    <row r="9302" spans="1:11" x14ac:dyDescent="0.2">
      <c r="A9302" s="1" t="s">
        <v>3887</v>
      </c>
      <c r="B9302" s="1" t="s">
        <v>3951</v>
      </c>
      <c r="C9302" s="1" t="str">
        <f>"66298934761370"</f>
        <v>66298934761370</v>
      </c>
      <c r="D9302" s="1" t="str">
        <f>"5011"</f>
        <v>5011</v>
      </c>
      <c r="E9302" s="1" t="s">
        <v>4566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</row>
    <row r="9303" spans="1:11" x14ac:dyDescent="0.2">
      <c r="A9303" s="1" t="s">
        <v>3887</v>
      </c>
      <c r="B9303" s="1" t="s">
        <v>3952</v>
      </c>
      <c r="C9303" s="1" t="str">
        <f>"66298936247014"</f>
        <v>66298936247014</v>
      </c>
      <c r="D9303" s="1" t="str">
        <f>"1KH-23145-00"</f>
        <v>1KH-23145-00</v>
      </c>
      <c r="E9303" s="1" t="s">
        <v>4566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</row>
    <row r="9304" spans="1:11" x14ac:dyDescent="0.2">
      <c r="A9304" s="1" t="s">
        <v>3887</v>
      </c>
      <c r="B9304" s="1" t="s">
        <v>3953</v>
      </c>
      <c r="C9304" s="1" t="str">
        <f>"66298936284968"</f>
        <v>66298936284968</v>
      </c>
      <c r="D9304" s="1" t="str">
        <f>"92049-1193JP"</f>
        <v>92049-1193JP</v>
      </c>
      <c r="E9304" s="1" t="s">
        <v>4566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</row>
    <row r="9305" spans="1:11" x14ac:dyDescent="0.2">
      <c r="A9305" s="1" t="s">
        <v>3887</v>
      </c>
      <c r="B9305" s="1" t="s">
        <v>3954</v>
      </c>
      <c r="C9305" s="1" t="str">
        <f>"P40FORK455040"</f>
        <v>P40FORK455040</v>
      </c>
      <c r="D9305" s="1" t="str">
        <f>"P40FORK455040"</f>
        <v>P40FORK455040</v>
      </c>
      <c r="E9305" s="1" t="s">
        <v>4566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</row>
    <row r="9306" spans="1:11" ht="30" x14ac:dyDescent="0.2">
      <c r="A9306" s="1" t="s">
        <v>3887</v>
      </c>
      <c r="B9306" s="1" t="s">
        <v>3955</v>
      </c>
      <c r="C9306" s="1" t="str">
        <f>"66298936326773"</f>
        <v>66298936326773</v>
      </c>
      <c r="D9306" s="1" t="str">
        <f>"91255-KR6-305"</f>
        <v>91255-KR6-305</v>
      </c>
      <c r="E9306" s="1" t="s">
        <v>4566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</row>
    <row r="9307" spans="1:11" ht="30" x14ac:dyDescent="0.2">
      <c r="A9307" s="1" t="s">
        <v>3887</v>
      </c>
      <c r="B9307" s="1" t="s">
        <v>3955</v>
      </c>
      <c r="C9307" s="1" t="str">
        <f>"66298936370452"</f>
        <v>66298936370452</v>
      </c>
      <c r="D9307" s="1" t="str">
        <f>"51490-KR6-305TW"</f>
        <v>51490-KR6-305TW</v>
      </c>
      <c r="E9307" s="1" t="s">
        <v>4566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</row>
    <row r="9308" spans="1:11" ht="30" x14ac:dyDescent="0.2">
      <c r="A9308" s="1" t="s">
        <v>3887</v>
      </c>
      <c r="B9308" s="1" t="s">
        <v>3955</v>
      </c>
      <c r="C9308" s="1" t="str">
        <f>"40R114"</f>
        <v>40R114</v>
      </c>
      <c r="D9308" s="1" t="str">
        <f>"40R114"</f>
        <v>40R114</v>
      </c>
      <c r="E9308" s="1" t="s">
        <v>4566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</row>
    <row r="9309" spans="1:11" x14ac:dyDescent="0.2">
      <c r="A9309" s="1" t="s">
        <v>3887</v>
      </c>
      <c r="B9309" s="1" t="s">
        <v>3956</v>
      </c>
      <c r="C9309" s="1" t="str">
        <f>"66298936413990"</f>
        <v>66298936413990</v>
      </c>
      <c r="D9309" s="1" t="str">
        <f>"3EN-23145-00JP"</f>
        <v>3EN-23145-00JP</v>
      </c>
      <c r="E9309" s="1" t="s">
        <v>4566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</row>
    <row r="9310" spans="1:11" x14ac:dyDescent="0.2">
      <c r="A9310" s="1" t="s">
        <v>3887</v>
      </c>
      <c r="B9310" s="1" t="s">
        <v>3957</v>
      </c>
      <c r="C9310" s="1" t="str">
        <f>"66298936458617"</f>
        <v>66298936458617</v>
      </c>
      <c r="D9310" s="1" t="str">
        <f>"91255-463-003JP"</f>
        <v>91255-463-003JP</v>
      </c>
      <c r="E9310" s="1" t="s">
        <v>4566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</row>
    <row r="9311" spans="1:11" x14ac:dyDescent="0.2">
      <c r="A9311" s="1" t="s">
        <v>3887</v>
      </c>
      <c r="B9311" s="1" t="s">
        <v>3958</v>
      </c>
      <c r="C9311" s="1" t="str">
        <f>"66298934805179"</f>
        <v>66298934805179</v>
      </c>
      <c r="D9311" s="1" t="str">
        <f>"40-58-10"</f>
        <v>40-58-10</v>
      </c>
      <c r="E9311" s="1" t="s">
        <v>4566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</row>
    <row r="9312" spans="1:11" ht="45" x14ac:dyDescent="0.2">
      <c r="A9312" s="1" t="s">
        <v>3887</v>
      </c>
      <c r="B9312" s="1" t="s">
        <v>3959</v>
      </c>
      <c r="C9312" s="1" t="str">
        <f>"66298936502331"</f>
        <v>66298936502331</v>
      </c>
      <c r="D9312" s="1" t="str">
        <f>"4EB-23145-01JP"</f>
        <v>4EB-23145-01JP</v>
      </c>
      <c r="E9312" s="1" t="s">
        <v>4566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</row>
    <row r="9313" spans="1:11" ht="45" x14ac:dyDescent="0.2">
      <c r="A9313" s="1" t="s">
        <v>3887</v>
      </c>
      <c r="B9313" s="1" t="s">
        <v>3959</v>
      </c>
      <c r="C9313" s="1" t="str">
        <f>"51822"</f>
        <v>51822</v>
      </c>
      <c r="D9313" s="1" t="str">
        <f>"51822"</f>
        <v>51822</v>
      </c>
      <c r="E9313" s="1" t="s">
        <v>4566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</row>
    <row r="9314" spans="1:11" ht="45" x14ac:dyDescent="0.2">
      <c r="A9314" s="1" t="s">
        <v>3887</v>
      </c>
      <c r="B9314" s="1" t="s">
        <v>3959</v>
      </c>
      <c r="C9314" s="1" t="str">
        <f>"7374"</f>
        <v>7374</v>
      </c>
      <c r="D9314" s="1" t="str">
        <f>"7374"</f>
        <v>7374</v>
      </c>
      <c r="E9314" s="1" t="s">
        <v>4566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</row>
    <row r="9315" spans="1:11" ht="45" x14ac:dyDescent="0.2">
      <c r="A9315" s="1" t="s">
        <v>3887</v>
      </c>
      <c r="B9315" s="1" t="s">
        <v>3960</v>
      </c>
      <c r="C9315" s="1" t="str">
        <f>"40R069"</f>
        <v>40R069</v>
      </c>
      <c r="D9315" s="1" t="str">
        <f>"40R069"</f>
        <v>40R069</v>
      </c>
      <c r="E9315" s="1" t="s">
        <v>4566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</row>
    <row r="9316" spans="1:11" x14ac:dyDescent="0.2">
      <c r="A9316" s="1" t="s">
        <v>3887</v>
      </c>
      <c r="B9316" s="1" t="s">
        <v>3961</v>
      </c>
      <c r="C9316" s="1" t="str">
        <f>"12802"</f>
        <v>12802</v>
      </c>
      <c r="D9316" s="1" t="str">
        <f>"12802"</f>
        <v>12802</v>
      </c>
      <c r="E9316" s="1" t="s">
        <v>4566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</row>
    <row r="9317" spans="1:11" x14ac:dyDescent="0.2">
      <c r="A9317" s="1" t="s">
        <v>3887</v>
      </c>
      <c r="B9317" s="1" t="s">
        <v>3961</v>
      </c>
      <c r="C9317" s="1" t="str">
        <f>"BR2432RTO"</f>
        <v>BR2432RTO</v>
      </c>
      <c r="D9317" s="1" t="str">
        <f>"BR2432RTO"</f>
        <v>BR2432RTO</v>
      </c>
      <c r="E9317" s="1" t="s">
        <v>4566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</row>
    <row r="9318" spans="1:11" x14ac:dyDescent="0.2">
      <c r="A9318" s="1" t="s">
        <v>3887</v>
      </c>
      <c r="B9318" s="1" t="s">
        <v>3962</v>
      </c>
      <c r="C9318" s="1" t="str">
        <f>"51490-KAE-003"</f>
        <v>51490-KAE-003</v>
      </c>
      <c r="D9318" s="1" t="str">
        <f>"51490-KAE-003"</f>
        <v>51490-KAE-003</v>
      </c>
      <c r="E9318" s="1" t="s">
        <v>4566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</row>
    <row r="9319" spans="1:11" ht="30" x14ac:dyDescent="0.2">
      <c r="A9319" s="1" t="s">
        <v>3887</v>
      </c>
      <c r="B9319" s="1" t="s">
        <v>3963</v>
      </c>
      <c r="C9319" s="1" t="str">
        <f>"91255-KAE-003"</f>
        <v>91255-KAE-003</v>
      </c>
      <c r="D9319" s="1" t="str">
        <f>"91255-KAE-003"</f>
        <v>91255-KAE-003</v>
      </c>
      <c r="E9319" s="1" t="s">
        <v>4566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</row>
    <row r="9320" spans="1:11" ht="30" x14ac:dyDescent="0.2">
      <c r="A9320" s="1" t="s">
        <v>3887</v>
      </c>
      <c r="B9320" s="1" t="s">
        <v>3963</v>
      </c>
      <c r="C9320" s="1" t="str">
        <f>"40R208"</f>
        <v>40R208</v>
      </c>
      <c r="D9320" s="1" t="str">
        <f>"40R208"</f>
        <v>40R208</v>
      </c>
      <c r="E9320" s="1" t="s">
        <v>4566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</row>
    <row r="9321" spans="1:11" x14ac:dyDescent="0.2">
      <c r="A9321" s="1" t="s">
        <v>3887</v>
      </c>
      <c r="B9321" s="1" t="s">
        <v>3964</v>
      </c>
      <c r="C9321" s="1" t="str">
        <f>"66298935910962"</f>
        <v>66298935910962</v>
      </c>
      <c r="D9321" s="1" t="str">
        <f>"93102-42260"</f>
        <v>93102-42260</v>
      </c>
      <c r="E9321" s="1" t="s">
        <v>4566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</row>
    <row r="9322" spans="1:11" ht="30" x14ac:dyDescent="0.2">
      <c r="A9322" s="1" t="s">
        <v>3887</v>
      </c>
      <c r="B9322" s="1" t="s">
        <v>3965</v>
      </c>
      <c r="C9322" s="1" t="str">
        <f>"P40FORK455191"</f>
        <v>P40FORK455191</v>
      </c>
      <c r="D9322" s="1" t="str">
        <f>"P40FORK455191"</f>
        <v>P40FORK455191</v>
      </c>
      <c r="E9322" s="1" t="s">
        <v>4566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</row>
    <row r="9323" spans="1:11" x14ac:dyDescent="0.2">
      <c r="A9323" s="1" t="s">
        <v>3887</v>
      </c>
      <c r="B9323" s="1" t="s">
        <v>3966</v>
      </c>
      <c r="C9323" s="1" t="str">
        <f>"91255-ML3-305JP"</f>
        <v>91255-ML3-305JP</v>
      </c>
      <c r="D9323" s="1" t="str">
        <f>"91255-ML3-305JP"</f>
        <v>91255-ML3-305JP</v>
      </c>
      <c r="E9323" s="1" t="s">
        <v>4566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</row>
    <row r="9324" spans="1:11" x14ac:dyDescent="0.2">
      <c r="A9324" s="1" t="s">
        <v>3887</v>
      </c>
      <c r="B9324" s="1" t="s">
        <v>3966</v>
      </c>
      <c r="C9324" s="1" t="str">
        <f>"1468"</f>
        <v>1468</v>
      </c>
      <c r="D9324" s="1" t="str">
        <f>"1468"</f>
        <v>1468</v>
      </c>
      <c r="E9324" s="1" t="s">
        <v>4566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</row>
    <row r="9325" spans="1:11" x14ac:dyDescent="0.2">
      <c r="A9325" s="1" t="s">
        <v>3887</v>
      </c>
      <c r="B9325" s="1" t="s">
        <v>3967</v>
      </c>
      <c r="C9325" s="1" t="str">
        <f>"66298936550273"</f>
        <v>66298936550273</v>
      </c>
      <c r="D9325" s="1" t="str">
        <f>"5ET-23145-L0JP"</f>
        <v>5ET-23145-L0JP</v>
      </c>
      <c r="E9325" s="1" t="s">
        <v>4566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</row>
    <row r="9326" spans="1:11" x14ac:dyDescent="0.2">
      <c r="A9326" s="1" t="s">
        <v>3887</v>
      </c>
      <c r="B9326" s="1" t="s">
        <v>3968</v>
      </c>
      <c r="C9326" s="1" t="str">
        <f>"66298936596364"</f>
        <v>66298936596364</v>
      </c>
      <c r="D9326" s="1" t="str">
        <f>"51153-36E00JP"</f>
        <v>51153-36E00JP</v>
      </c>
      <c r="E9326" s="1" t="s">
        <v>4566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</row>
    <row r="9327" spans="1:11" x14ac:dyDescent="0.2">
      <c r="A9327" s="1" t="s">
        <v>3887</v>
      </c>
      <c r="B9327" s="1" t="s">
        <v>3969</v>
      </c>
      <c r="C9327" s="1" t="str">
        <f>"66298936637604"</f>
        <v>66298936637604</v>
      </c>
      <c r="D9327" s="1" t="str">
        <f>"51490-KRN-A91JP"</f>
        <v>51490-KRN-A91JP</v>
      </c>
      <c r="E9327" s="1" t="s">
        <v>4566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</row>
    <row r="9328" spans="1:11" x14ac:dyDescent="0.2">
      <c r="A9328" s="1" t="s">
        <v>3887</v>
      </c>
      <c r="B9328" s="1" t="s">
        <v>3970</v>
      </c>
      <c r="C9328" s="1" t="str">
        <f>"CR004"</f>
        <v>CR004</v>
      </c>
      <c r="D9328" s="1" t="str">
        <f>"CR004"</f>
        <v>CR004</v>
      </c>
      <c r="E9328" s="1" t="s">
        <v>4566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</row>
    <row r="9329" spans="1:11" x14ac:dyDescent="0.2">
      <c r="A9329" s="1" t="s">
        <v>3887</v>
      </c>
      <c r="B9329" s="1" t="s">
        <v>3971</v>
      </c>
      <c r="C9329" s="1" t="str">
        <f>"66298937397063"</f>
        <v>66298937397063</v>
      </c>
      <c r="D9329" s="1" t="str">
        <f>"40J056"</f>
        <v>40J056</v>
      </c>
      <c r="E9329" s="1" t="s">
        <v>4566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</row>
    <row r="9330" spans="1:11" ht="30" x14ac:dyDescent="0.2">
      <c r="A9330" s="1" t="s">
        <v>3887</v>
      </c>
      <c r="B9330" s="1" t="s">
        <v>3972</v>
      </c>
      <c r="C9330" s="1" t="str">
        <f>"12132"</f>
        <v>12132</v>
      </c>
      <c r="D9330" s="1" t="str">
        <f>"12132"</f>
        <v>12132</v>
      </c>
      <c r="E9330" s="1" t="s">
        <v>4566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</row>
    <row r="9331" spans="1:11" x14ac:dyDescent="0.2">
      <c r="A9331" s="1" t="s">
        <v>3887</v>
      </c>
      <c r="B9331" s="1" t="s">
        <v>3973</v>
      </c>
      <c r="C9331" s="1" t="str">
        <f>"66298937438317"</f>
        <v>66298937438317</v>
      </c>
      <c r="D9331" s="1" t="str">
        <f>"40J010"</f>
        <v>40J010</v>
      </c>
      <c r="E9331" s="1" t="s">
        <v>4566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</row>
    <row r="9332" spans="1:11" ht="30" x14ac:dyDescent="0.2">
      <c r="A9332" s="1" t="s">
        <v>3887</v>
      </c>
      <c r="B9332" s="1" t="s">
        <v>3974</v>
      </c>
      <c r="C9332" s="1" t="str">
        <f>"1044"</f>
        <v>1044</v>
      </c>
      <c r="D9332" s="1" t="str">
        <f>"1044"</f>
        <v>1044</v>
      </c>
      <c r="E9332" s="1" t="s">
        <v>4566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</row>
    <row r="9333" spans="1:11" ht="30" x14ac:dyDescent="0.2">
      <c r="A9333" s="1" t="s">
        <v>3887</v>
      </c>
      <c r="B9333" s="1" t="s">
        <v>3975</v>
      </c>
      <c r="C9333" s="1" t="str">
        <f>"66298937937924"</f>
        <v>66298937937924</v>
      </c>
      <c r="D9333" s="1" t="str">
        <f>"CR002"</f>
        <v>CR002</v>
      </c>
      <c r="E9333" s="1" t="s">
        <v>4566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</row>
    <row r="9334" spans="1:11" x14ac:dyDescent="0.2">
      <c r="A9334" s="1" t="s">
        <v>3887</v>
      </c>
      <c r="B9334" s="1" t="s">
        <v>3976</v>
      </c>
      <c r="C9334" s="1" t="str">
        <f>"66298937479414"</f>
        <v>66298937479414</v>
      </c>
      <c r="D9334" s="1" t="str">
        <f>"40J069"</f>
        <v>40J069</v>
      </c>
      <c r="E9334" s="1" t="s">
        <v>4566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</row>
    <row r="9335" spans="1:11" ht="30" x14ac:dyDescent="0.2">
      <c r="A9335" s="1" t="s">
        <v>3887</v>
      </c>
      <c r="B9335" s="1" t="s">
        <v>3977</v>
      </c>
      <c r="C9335" s="1" t="str">
        <f>"CR009"</f>
        <v>CR009</v>
      </c>
      <c r="D9335" s="1" t="str">
        <f>"CR009"</f>
        <v>CR009</v>
      </c>
      <c r="E9335" s="1" t="s">
        <v>4566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</row>
    <row r="9336" spans="1:11" ht="30" x14ac:dyDescent="0.2">
      <c r="A9336" s="1" t="s">
        <v>3887</v>
      </c>
      <c r="B9336" s="1" t="s">
        <v>3978</v>
      </c>
      <c r="C9336" s="1" t="str">
        <f>"66298937559232"</f>
        <v>66298937559232</v>
      </c>
      <c r="D9336" s="1" t="str">
        <f>"CR001"</f>
        <v>CR001</v>
      </c>
      <c r="E9336" s="1" t="s">
        <v>4566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</row>
    <row r="9337" spans="1:11" ht="30" x14ac:dyDescent="0.2">
      <c r="A9337" s="1" t="s">
        <v>3887</v>
      </c>
      <c r="B9337" s="1" t="s">
        <v>3979</v>
      </c>
      <c r="C9337" s="1" t="str">
        <f>"66298937521143"</f>
        <v>66298937521143</v>
      </c>
      <c r="D9337" s="1" t="str">
        <f>"40J086"</f>
        <v>40J086</v>
      </c>
      <c r="E9337" s="1" t="s">
        <v>4566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</row>
    <row r="9338" spans="1:11" ht="30" x14ac:dyDescent="0.2">
      <c r="A9338" s="1" t="s">
        <v>3887</v>
      </c>
      <c r="B9338" s="1" t="s">
        <v>3980</v>
      </c>
      <c r="C9338" s="1" t="str">
        <f>"66298937601133"</f>
        <v>66298937601133</v>
      </c>
      <c r="D9338" s="1" t="str">
        <f>"H1040"</f>
        <v>H1040</v>
      </c>
      <c r="E9338" s="1" t="s">
        <v>4566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</row>
    <row r="9339" spans="1:11" x14ac:dyDescent="0.2">
      <c r="A9339" s="1" t="s">
        <v>3887</v>
      </c>
      <c r="B9339" s="1" t="s">
        <v>3981</v>
      </c>
      <c r="C9339" s="1" t="str">
        <f>"66298937644977"</f>
        <v>66298937644977</v>
      </c>
      <c r="D9339" s="1" t="str">
        <f>"CR003"</f>
        <v>CR003</v>
      </c>
      <c r="E9339" s="1" t="s">
        <v>4566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</row>
    <row r="9340" spans="1:11" ht="30" x14ac:dyDescent="0.2">
      <c r="A9340" s="1" t="s">
        <v>3887</v>
      </c>
      <c r="B9340" s="1" t="s">
        <v>3982</v>
      </c>
      <c r="C9340" s="1" t="str">
        <f>"66298937695414"</f>
        <v>66298937695414</v>
      </c>
      <c r="D9340" s="1" t="str">
        <f>"40J052"</f>
        <v>40J052</v>
      </c>
      <c r="E9340" s="1" t="s">
        <v>4566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</row>
    <row r="9341" spans="1:11" ht="30" x14ac:dyDescent="0.2">
      <c r="A9341" s="1" t="s">
        <v>3887</v>
      </c>
      <c r="B9341" s="1" t="s">
        <v>3983</v>
      </c>
      <c r="C9341" s="1" t="str">
        <f>"66298937734176"</f>
        <v>66298937734176</v>
      </c>
      <c r="D9341" s="1" t="str">
        <f>"40J009"</f>
        <v>40J009</v>
      </c>
      <c r="E9341" s="1" t="s">
        <v>4566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</row>
    <row r="9342" spans="1:11" ht="30" x14ac:dyDescent="0.2">
      <c r="A9342" s="1" t="s">
        <v>3887</v>
      </c>
      <c r="B9342" s="1" t="s">
        <v>3984</v>
      </c>
      <c r="C9342" s="1" t="str">
        <f>"CR010"</f>
        <v>CR010</v>
      </c>
      <c r="D9342" s="1" t="str">
        <f>"CR010"</f>
        <v>CR010</v>
      </c>
      <c r="E9342" s="1" t="s">
        <v>4566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</row>
    <row r="9343" spans="1:11" ht="30" x14ac:dyDescent="0.2">
      <c r="A9343" s="1" t="s">
        <v>3887</v>
      </c>
      <c r="B9343" s="1" t="s">
        <v>3985</v>
      </c>
      <c r="C9343" s="1" t="str">
        <f>"66298937775346"</f>
        <v>66298937775346</v>
      </c>
      <c r="D9343" s="1" t="str">
        <f>"40J065"</f>
        <v>40J065</v>
      </c>
      <c r="E9343" s="1" t="s">
        <v>4566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</row>
    <row r="9344" spans="1:11" ht="30" x14ac:dyDescent="0.2">
      <c r="A9344" s="1" t="s">
        <v>3887</v>
      </c>
      <c r="B9344" s="1" t="s">
        <v>3986</v>
      </c>
      <c r="C9344" s="1" t="str">
        <f>"CR005"</f>
        <v>CR005</v>
      </c>
      <c r="D9344" s="1" t="str">
        <f>"CR005"</f>
        <v>CR005</v>
      </c>
      <c r="E9344" s="1" t="s">
        <v>4566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</row>
    <row r="9345" spans="1:11" ht="30" x14ac:dyDescent="0.2">
      <c r="A9345" s="1" t="s">
        <v>3887</v>
      </c>
      <c r="B9345" s="1" t="s">
        <v>3987</v>
      </c>
      <c r="C9345" s="1" t="str">
        <f>"66298937818462"</f>
        <v>66298937818462</v>
      </c>
      <c r="D9345" s="1" t="str">
        <f>"40J084"</f>
        <v>40J084</v>
      </c>
      <c r="E9345" s="1" t="s">
        <v>4566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</row>
    <row r="9346" spans="1:11" ht="30" x14ac:dyDescent="0.2">
      <c r="A9346" s="1" t="s">
        <v>3887</v>
      </c>
      <c r="B9346" s="1" t="s">
        <v>3988</v>
      </c>
      <c r="C9346" s="1" t="str">
        <f>"66298937861506"</f>
        <v>66298937861506</v>
      </c>
      <c r="D9346" s="1" t="str">
        <f>"40J085"</f>
        <v>40J085</v>
      </c>
      <c r="E9346" s="1" t="s">
        <v>4566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</row>
    <row r="9347" spans="1:11" ht="30" x14ac:dyDescent="0.2">
      <c r="A9347" s="1" t="s">
        <v>3887</v>
      </c>
      <c r="B9347" s="1" t="s">
        <v>3989</v>
      </c>
      <c r="C9347" s="1" t="str">
        <f>"66298937900335"</f>
        <v>66298937900335</v>
      </c>
      <c r="D9347" s="1" t="str">
        <f>"40J080"</f>
        <v>40J080</v>
      </c>
      <c r="E9347" s="1" t="s">
        <v>4566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</row>
    <row r="9348" spans="1:11" x14ac:dyDescent="0.2">
      <c r="A9348" s="1" t="s">
        <v>1567</v>
      </c>
      <c r="B9348" s="1" t="s">
        <v>3990</v>
      </c>
      <c r="C9348" s="1" t="str">
        <f>"RO-3122"</f>
        <v>RO-3122</v>
      </c>
      <c r="D9348" s="1" t="str">
        <f>"RO-3122"</f>
        <v>RO-3122</v>
      </c>
      <c r="E9348" s="1" t="s">
        <v>4566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</row>
    <row r="9349" spans="1:11" x14ac:dyDescent="0.2">
      <c r="B9349" s="1" t="s">
        <v>2557</v>
      </c>
    </row>
    <row r="9350" spans="1:11" x14ac:dyDescent="0.2">
      <c r="B9350" s="1" t="s">
        <v>3991</v>
      </c>
    </row>
    <row r="9351" spans="1:11" x14ac:dyDescent="0.2">
      <c r="B9351" s="1" t="s">
        <v>2544</v>
      </c>
    </row>
    <row r="9352" spans="1:11" x14ac:dyDescent="0.2">
      <c r="B9352" s="1" t="s">
        <v>2545</v>
      </c>
    </row>
    <row r="9353" spans="1:11" x14ac:dyDescent="0.2">
      <c r="B9353" s="1" t="s">
        <v>2546</v>
      </c>
    </row>
    <row r="9354" spans="1:11" x14ac:dyDescent="0.2">
      <c r="B9354" s="1" t="s">
        <v>1574</v>
      </c>
    </row>
    <row r="9355" spans="1:11" x14ac:dyDescent="0.2">
      <c r="B9355" s="1" t="s">
        <v>1575</v>
      </c>
    </row>
    <row r="9356" spans="1:11" x14ac:dyDescent="0.2">
      <c r="B9356" s="1" t="s">
        <v>4575</v>
      </c>
    </row>
    <row r="9357" spans="1:11" x14ac:dyDescent="0.2">
      <c r="B9357" s="1" t="s">
        <v>4576</v>
      </c>
    </row>
    <row r="9358" spans="1:11" x14ac:dyDescent="0.2">
      <c r="A9358" s="1" t="s">
        <v>1567</v>
      </c>
      <c r="B9358" s="1" t="s">
        <v>3990</v>
      </c>
      <c r="C9358" s="1" t="str">
        <f>"RO-3123"</f>
        <v>RO-3123</v>
      </c>
      <c r="D9358" s="1" t="str">
        <f>"RO-3123"</f>
        <v>RO-3123</v>
      </c>
      <c r="E9358" s="1" t="s">
        <v>4566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</row>
    <row r="9359" spans="1:11" x14ac:dyDescent="0.2">
      <c r="B9359" s="1" t="s">
        <v>2557</v>
      </c>
    </row>
    <row r="9360" spans="1:11" x14ac:dyDescent="0.2">
      <c r="B9360" s="1" t="s">
        <v>3991</v>
      </c>
    </row>
    <row r="9361" spans="1:11" x14ac:dyDescent="0.2">
      <c r="B9361" s="1" t="s">
        <v>2544</v>
      </c>
    </row>
    <row r="9362" spans="1:11" x14ac:dyDescent="0.2">
      <c r="B9362" s="1" t="s">
        <v>2545</v>
      </c>
    </row>
    <row r="9363" spans="1:11" x14ac:dyDescent="0.2">
      <c r="B9363" s="1" t="s">
        <v>2546</v>
      </c>
    </row>
    <row r="9364" spans="1:11" x14ac:dyDescent="0.2">
      <c r="B9364" s="1" t="s">
        <v>1574</v>
      </c>
    </row>
    <row r="9365" spans="1:11" x14ac:dyDescent="0.2">
      <c r="B9365" s="1" t="s">
        <v>1575</v>
      </c>
    </row>
    <row r="9366" spans="1:11" x14ac:dyDescent="0.2">
      <c r="B9366" s="1" t="s">
        <v>3992</v>
      </c>
    </row>
    <row r="9367" spans="1:11" x14ac:dyDescent="0.2">
      <c r="B9367" s="1" t="s">
        <v>3993</v>
      </c>
    </row>
    <row r="9368" spans="1:11" x14ac:dyDescent="0.2">
      <c r="A9368" s="1" t="s">
        <v>1567</v>
      </c>
      <c r="B9368" s="1" t="s">
        <v>3990</v>
      </c>
      <c r="C9368" s="1" t="str">
        <f>"RO-3126"</f>
        <v>RO-3126</v>
      </c>
      <c r="D9368" s="1" t="str">
        <f>"RO-3126"</f>
        <v>RO-3126</v>
      </c>
      <c r="E9368" s="1" t="s">
        <v>4566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</row>
    <row r="9369" spans="1:11" x14ac:dyDescent="0.2">
      <c r="B9369" s="1" t="s">
        <v>2557</v>
      </c>
    </row>
    <row r="9370" spans="1:11" x14ac:dyDescent="0.2">
      <c r="B9370" s="1" t="s">
        <v>3991</v>
      </c>
    </row>
    <row r="9371" spans="1:11" x14ac:dyDescent="0.2">
      <c r="B9371" s="1" t="s">
        <v>2544</v>
      </c>
    </row>
    <row r="9372" spans="1:11" x14ac:dyDescent="0.2">
      <c r="B9372" s="1" t="s">
        <v>2816</v>
      </c>
    </row>
    <row r="9373" spans="1:11" x14ac:dyDescent="0.2">
      <c r="B9373" s="1" t="s">
        <v>2546</v>
      </c>
    </row>
    <row r="9374" spans="1:11" x14ac:dyDescent="0.2">
      <c r="B9374" s="1" t="s">
        <v>1574</v>
      </c>
    </row>
    <row r="9375" spans="1:11" x14ac:dyDescent="0.2">
      <c r="B9375" s="1" t="s">
        <v>1575</v>
      </c>
    </row>
    <row r="9376" spans="1:11" x14ac:dyDescent="0.2">
      <c r="B9376" s="1" t="s">
        <v>3994</v>
      </c>
    </row>
    <row r="9377" spans="1:11" x14ac:dyDescent="0.2">
      <c r="B9377" s="1" t="s">
        <v>3995</v>
      </c>
    </row>
    <row r="9378" spans="1:11" x14ac:dyDescent="0.2">
      <c r="A9378" s="1" t="s">
        <v>1567</v>
      </c>
      <c r="B9378" s="1" t="s">
        <v>3990</v>
      </c>
      <c r="C9378" s="1" t="str">
        <f>"RO-3177"</f>
        <v>RO-3177</v>
      </c>
      <c r="D9378" s="1" t="str">
        <f>"RO-3177"</f>
        <v>RO-3177</v>
      </c>
      <c r="E9378" s="1" t="s">
        <v>4566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</row>
    <row r="9379" spans="1:11" x14ac:dyDescent="0.2">
      <c r="B9379" s="1" t="s">
        <v>2557</v>
      </c>
    </row>
    <row r="9380" spans="1:11" x14ac:dyDescent="0.2">
      <c r="B9380" s="1" t="s">
        <v>3991</v>
      </c>
    </row>
    <row r="9381" spans="1:11" x14ac:dyDescent="0.2">
      <c r="B9381" s="1" t="s">
        <v>2544</v>
      </c>
    </row>
    <row r="9382" spans="1:11" x14ac:dyDescent="0.2">
      <c r="B9382" s="1" t="s">
        <v>2816</v>
      </c>
    </row>
    <row r="9383" spans="1:11" x14ac:dyDescent="0.2">
      <c r="B9383" s="1" t="s">
        <v>2546</v>
      </c>
    </row>
    <row r="9384" spans="1:11" x14ac:dyDescent="0.2">
      <c r="B9384" s="1" t="s">
        <v>1574</v>
      </c>
    </row>
    <row r="9385" spans="1:11" x14ac:dyDescent="0.2">
      <c r="B9385" s="1" t="s">
        <v>1575</v>
      </c>
    </row>
    <row r="9386" spans="1:11" x14ac:dyDescent="0.2">
      <c r="B9386" s="1" t="s">
        <v>3996</v>
      </c>
    </row>
    <row r="9387" spans="1:11" x14ac:dyDescent="0.2">
      <c r="B9387" s="1" t="s">
        <v>3997</v>
      </c>
    </row>
    <row r="9388" spans="1:11" x14ac:dyDescent="0.2">
      <c r="A9388" s="1" t="s">
        <v>1567</v>
      </c>
      <c r="B9388" s="1" t="s">
        <v>3990</v>
      </c>
      <c r="C9388" s="1" t="str">
        <f>"RO-3176"</f>
        <v>RO-3176</v>
      </c>
      <c r="D9388" s="1" t="str">
        <f>"RO-3176"</f>
        <v>RO-3176</v>
      </c>
      <c r="E9388" s="1" t="s">
        <v>4566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</row>
    <row r="9389" spans="1:11" x14ac:dyDescent="0.2">
      <c r="B9389" s="1" t="s">
        <v>2557</v>
      </c>
    </row>
    <row r="9390" spans="1:11" x14ac:dyDescent="0.2">
      <c r="B9390" s="1" t="s">
        <v>3991</v>
      </c>
    </row>
    <row r="9391" spans="1:11" x14ac:dyDescent="0.2">
      <c r="B9391" s="1" t="s">
        <v>2544</v>
      </c>
    </row>
    <row r="9392" spans="1:11" x14ac:dyDescent="0.2">
      <c r="B9392" s="1" t="s">
        <v>2816</v>
      </c>
    </row>
    <row r="9393" spans="1:11" x14ac:dyDescent="0.2">
      <c r="B9393" s="1" t="s">
        <v>2546</v>
      </c>
    </row>
    <row r="9394" spans="1:11" x14ac:dyDescent="0.2">
      <c r="B9394" s="1" t="s">
        <v>1574</v>
      </c>
    </row>
    <row r="9395" spans="1:11" x14ac:dyDescent="0.2">
      <c r="B9395" s="1" t="s">
        <v>1575</v>
      </c>
    </row>
    <row r="9396" spans="1:11" x14ac:dyDescent="0.2">
      <c r="B9396" s="1" t="s">
        <v>4577</v>
      </c>
    </row>
    <row r="9397" spans="1:11" x14ac:dyDescent="0.2">
      <c r="B9397" s="1" t="s">
        <v>4578</v>
      </c>
    </row>
    <row r="9398" spans="1:11" x14ac:dyDescent="0.2">
      <c r="A9398" s="1" t="s">
        <v>1567</v>
      </c>
      <c r="B9398" s="1" t="s">
        <v>3990</v>
      </c>
      <c r="C9398" s="1" t="str">
        <f>"RO-3125"</f>
        <v>RO-3125</v>
      </c>
      <c r="D9398" s="1" t="str">
        <f>"RO-3125"</f>
        <v>RO-3125</v>
      </c>
      <c r="E9398" s="1" t="s">
        <v>4566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</row>
    <row r="9399" spans="1:11" x14ac:dyDescent="0.2">
      <c r="B9399" s="1" t="s">
        <v>2557</v>
      </c>
    </row>
    <row r="9400" spans="1:11" x14ac:dyDescent="0.2">
      <c r="B9400" s="1" t="s">
        <v>3991</v>
      </c>
    </row>
    <row r="9401" spans="1:11" x14ac:dyDescent="0.2">
      <c r="B9401" s="1" t="s">
        <v>2544</v>
      </c>
    </row>
    <row r="9402" spans="1:11" x14ac:dyDescent="0.2">
      <c r="B9402" s="1" t="s">
        <v>2816</v>
      </c>
    </row>
    <row r="9403" spans="1:11" x14ac:dyDescent="0.2">
      <c r="B9403" s="1" t="s">
        <v>2546</v>
      </c>
    </row>
    <row r="9404" spans="1:11" x14ac:dyDescent="0.2">
      <c r="B9404" s="1" t="s">
        <v>1574</v>
      </c>
    </row>
    <row r="9405" spans="1:11" x14ac:dyDescent="0.2">
      <c r="B9405" s="1" t="s">
        <v>1575</v>
      </c>
    </row>
    <row r="9406" spans="1:11" x14ac:dyDescent="0.2">
      <c r="B9406" s="1" t="s">
        <v>3998</v>
      </c>
    </row>
    <row r="9407" spans="1:11" x14ac:dyDescent="0.2">
      <c r="B9407" s="1" t="s">
        <v>3999</v>
      </c>
    </row>
    <row r="9408" spans="1:11" x14ac:dyDescent="0.2">
      <c r="A9408" s="1" t="s">
        <v>4000</v>
      </c>
      <c r="B9408" s="1" t="s">
        <v>4001</v>
      </c>
      <c r="C9408" s="1" t="str">
        <f>"626-2RS"</f>
        <v>626-2RS</v>
      </c>
      <c r="D9408" s="1" t="str">
        <f>"626-2RS"</f>
        <v>626-2RS</v>
      </c>
      <c r="E9408" s="1" t="s">
        <v>4566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</row>
    <row r="9409" spans="1:11" x14ac:dyDescent="0.2">
      <c r="A9409" s="1" t="s">
        <v>4000</v>
      </c>
      <c r="B9409" s="1" t="s">
        <v>4002</v>
      </c>
      <c r="C9409" s="1" t="str">
        <f>"607-2RS-CN"</f>
        <v>607-2RS-CN</v>
      </c>
      <c r="D9409" s="1" t="str">
        <f>"607-2RS-CN"</f>
        <v>607-2RS-CN</v>
      </c>
      <c r="E9409" s="1" t="s">
        <v>4566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</row>
    <row r="9410" spans="1:11" x14ac:dyDescent="0.2">
      <c r="A9410" s="1" t="s">
        <v>4000</v>
      </c>
      <c r="B9410" s="1" t="s">
        <v>4003</v>
      </c>
      <c r="C9410" s="1" t="str">
        <f>"608-2RS-CN"</f>
        <v>608-2RS-CN</v>
      </c>
      <c r="D9410" s="1" t="str">
        <f>"608-2RS-CN"</f>
        <v>608-2RS-CN</v>
      </c>
      <c r="E9410" s="1" t="s">
        <v>4566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</row>
    <row r="9411" spans="1:11" x14ac:dyDescent="0.2">
      <c r="A9411" s="1" t="s">
        <v>4000</v>
      </c>
      <c r="B9411" s="1" t="s">
        <v>4004</v>
      </c>
      <c r="C9411" s="1" t="str">
        <f>"66298937982492"</f>
        <v>66298937982492</v>
      </c>
      <c r="D9411" s="1" t="str">
        <f>"628-2NSE"</f>
        <v>628-2NSE</v>
      </c>
      <c r="E9411" s="1" t="s">
        <v>4566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</row>
    <row r="9412" spans="1:11" x14ac:dyDescent="0.2">
      <c r="A9412" s="1" t="s">
        <v>4000</v>
      </c>
      <c r="B9412" s="1" t="s">
        <v>4005</v>
      </c>
      <c r="C9412" s="1" t="str">
        <f>"609-2RS-CN"</f>
        <v>609-2RS-CN</v>
      </c>
      <c r="D9412" s="1" t="str">
        <f>"609-2RS-CN"</f>
        <v>609-2RS-CN</v>
      </c>
      <c r="E9412" s="1" t="s">
        <v>4566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</row>
    <row r="9413" spans="1:11" x14ac:dyDescent="0.2">
      <c r="A9413" s="1" t="s">
        <v>4000</v>
      </c>
      <c r="B9413" s="1" t="s">
        <v>4006</v>
      </c>
      <c r="C9413" s="1" t="str">
        <f>"66298938022995"</f>
        <v>66298938022995</v>
      </c>
      <c r="D9413" s="1" t="str">
        <f>"6000-2RS-CN"</f>
        <v>6000-2RS-CN</v>
      </c>
      <c r="E9413" s="1" t="s">
        <v>4566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</row>
    <row r="9414" spans="1:11" x14ac:dyDescent="0.2">
      <c r="A9414" s="1" t="s">
        <v>4000</v>
      </c>
      <c r="B9414" s="1" t="s">
        <v>4007</v>
      </c>
      <c r="C9414" s="1" t="str">
        <f>"66298938062840"</f>
        <v>66298938062840</v>
      </c>
      <c r="D9414" s="1" t="str">
        <f>"6000-2RS"</f>
        <v>6000-2RS</v>
      </c>
      <c r="E9414" s="1" t="s">
        <v>4566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</row>
    <row r="9415" spans="1:11" x14ac:dyDescent="0.2">
      <c r="A9415" s="1" t="s">
        <v>4000</v>
      </c>
      <c r="B9415" s="1" t="s">
        <v>4008</v>
      </c>
      <c r="C9415" s="1" t="str">
        <f>"66298938101959"</f>
        <v>66298938101959</v>
      </c>
      <c r="D9415" s="1" t="str">
        <f>"6200-2RS"</f>
        <v>6200-2RS</v>
      </c>
      <c r="E9415" s="1" t="s">
        <v>4566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</row>
    <row r="9416" spans="1:11" x14ac:dyDescent="0.2">
      <c r="A9416" s="1" t="s">
        <v>4000</v>
      </c>
      <c r="B9416" s="1" t="s">
        <v>4009</v>
      </c>
      <c r="C9416" s="1" t="str">
        <f>"66298938143284"</f>
        <v>66298938143284</v>
      </c>
      <c r="D9416" s="1" t="str">
        <f>"6300-2RS-CN"</f>
        <v>6300-2RS-CN</v>
      </c>
      <c r="E9416" s="1" t="s">
        <v>4566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</row>
    <row r="9417" spans="1:11" x14ac:dyDescent="0.2">
      <c r="A9417" s="1" t="s">
        <v>4000</v>
      </c>
      <c r="B9417" s="1" t="s">
        <v>4010</v>
      </c>
      <c r="C9417" s="1" t="str">
        <f>"66298938184004"</f>
        <v>66298938184004</v>
      </c>
      <c r="D9417" s="1" t="str">
        <f>"6300-ICHBN"</f>
        <v>6300-ICHBN</v>
      </c>
      <c r="E9417" s="1" t="s">
        <v>4566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</row>
    <row r="9418" spans="1:11" x14ac:dyDescent="0.2">
      <c r="A9418" s="1" t="s">
        <v>4000</v>
      </c>
      <c r="B9418" s="1" t="s">
        <v>4011</v>
      </c>
      <c r="C9418" s="1" t="str">
        <f>"66298938222385"</f>
        <v>66298938222385</v>
      </c>
      <c r="D9418" s="1" t="str">
        <f>"6001-2RS-CN"</f>
        <v>6001-2RS-CN</v>
      </c>
      <c r="E9418" s="1" t="s">
        <v>4566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</row>
    <row r="9419" spans="1:11" x14ac:dyDescent="0.2">
      <c r="A9419" s="1" t="s">
        <v>4000</v>
      </c>
      <c r="B9419" s="1" t="s">
        <v>4012</v>
      </c>
      <c r="C9419" s="1" t="str">
        <f>"66298938265362"</f>
        <v>66298938265362</v>
      </c>
      <c r="D9419" s="1" t="str">
        <f>"6001-2NSE-ICHBN"</f>
        <v>6001-2NSE-ICHBN</v>
      </c>
      <c r="E9419" s="1" t="s">
        <v>4566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</row>
    <row r="9420" spans="1:11" x14ac:dyDescent="0.2">
      <c r="A9420" s="1" t="s">
        <v>4000</v>
      </c>
      <c r="B9420" s="1" t="s">
        <v>4013</v>
      </c>
      <c r="C9420" s="1" t="str">
        <f>"66298938305060"</f>
        <v>66298938305060</v>
      </c>
      <c r="D9420" s="1" t="str">
        <f>"6001-2RS"</f>
        <v>6001-2RS</v>
      </c>
      <c r="E9420" s="1" t="s">
        <v>4566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</row>
    <row r="9421" spans="1:11" x14ac:dyDescent="0.2">
      <c r="A9421" s="1" t="s">
        <v>4000</v>
      </c>
      <c r="B9421" s="1" t="s">
        <v>4014</v>
      </c>
      <c r="C9421" s="1" t="str">
        <f>"66298938346012"</f>
        <v>66298938346012</v>
      </c>
      <c r="D9421" s="1" t="str">
        <f>"6001-2RS-SKF"</f>
        <v>6001-2RS-SKF</v>
      </c>
      <c r="E9421" s="1" t="s">
        <v>4566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</row>
    <row r="9422" spans="1:11" x14ac:dyDescent="0.2">
      <c r="A9422" s="1" t="s">
        <v>4000</v>
      </c>
      <c r="B9422" s="1" t="s">
        <v>4015</v>
      </c>
      <c r="C9422" s="1" t="str">
        <f>"66298938426078"</f>
        <v>66298938426078</v>
      </c>
      <c r="D9422" s="1" t="str">
        <f>"6201-2RS-CN"</f>
        <v>6201-2RS-CN</v>
      </c>
      <c r="E9422" s="1" t="s">
        <v>4566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</row>
    <row r="9423" spans="1:11" x14ac:dyDescent="0.2">
      <c r="A9423" s="1" t="s">
        <v>4000</v>
      </c>
      <c r="B9423" s="1" t="s">
        <v>4016</v>
      </c>
      <c r="C9423" s="1" t="str">
        <f>"66298938465809"</f>
        <v>66298938465809</v>
      </c>
      <c r="D9423" s="1" t="str">
        <f>"6201-2RS"</f>
        <v>6201-2RS</v>
      </c>
      <c r="E9423" s="1" t="s">
        <v>4566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</row>
    <row r="9424" spans="1:11" x14ac:dyDescent="0.2">
      <c r="A9424" s="1" t="s">
        <v>4000</v>
      </c>
      <c r="B9424" s="1" t="s">
        <v>4017</v>
      </c>
      <c r="C9424" s="1" t="str">
        <f>"66298938385832"</f>
        <v>66298938385832</v>
      </c>
      <c r="D9424" s="1" t="str">
        <f>"6201-2RSCN"</f>
        <v>6201-2RSCN</v>
      </c>
      <c r="E9424" s="1" t="s">
        <v>4566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</row>
    <row r="9425" spans="1:11" x14ac:dyDescent="0.2">
      <c r="A9425" s="1" t="s">
        <v>4000</v>
      </c>
      <c r="B9425" s="1" t="s">
        <v>4018</v>
      </c>
      <c r="C9425" s="1" t="str">
        <f>"66298938507365"</f>
        <v>66298938507365</v>
      </c>
      <c r="D9425" s="1" t="str">
        <f>"6301-2RSCN"</f>
        <v>6301-2RSCN</v>
      </c>
      <c r="E9425" s="1" t="s">
        <v>4566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</row>
    <row r="9426" spans="1:11" x14ac:dyDescent="0.2">
      <c r="A9426" s="1" t="s">
        <v>4000</v>
      </c>
      <c r="B9426" s="1" t="s">
        <v>4019</v>
      </c>
      <c r="C9426" s="1" t="str">
        <f>"66298940529629"</f>
        <v>66298940529629</v>
      </c>
      <c r="D9426" s="1" t="str">
        <f>"91006-KK0-771GH"</f>
        <v>91006-KK0-771GH</v>
      </c>
      <c r="E9426" s="1" t="s">
        <v>4566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</row>
    <row r="9427" spans="1:11" x14ac:dyDescent="0.2">
      <c r="A9427" s="1" t="s">
        <v>4000</v>
      </c>
      <c r="B9427" s="1" t="s">
        <v>4020</v>
      </c>
      <c r="C9427" s="1" t="str">
        <f>"66298938548859"</f>
        <v>66298938548859</v>
      </c>
      <c r="D9427" s="1" t="str">
        <f>"6902-2RS"</f>
        <v>6902-2RS</v>
      </c>
      <c r="E9427" s="1" t="s">
        <v>4566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</row>
    <row r="9428" spans="1:11" x14ac:dyDescent="0.2">
      <c r="A9428" s="1" t="s">
        <v>4000</v>
      </c>
      <c r="B9428" s="1" t="s">
        <v>4021</v>
      </c>
      <c r="C9428" s="1" t="str">
        <f>"66298938590621"</f>
        <v>66298938590621</v>
      </c>
      <c r="D9428" s="1" t="str">
        <f>"6002-2RS-CN"</f>
        <v>6002-2RS-CN</v>
      </c>
      <c r="E9428" s="1" t="s">
        <v>4566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</row>
    <row r="9429" spans="1:11" x14ac:dyDescent="0.2">
      <c r="A9429" s="1" t="s">
        <v>4000</v>
      </c>
      <c r="B9429" s="1" t="s">
        <v>4022</v>
      </c>
      <c r="C9429" s="1" t="str">
        <f>"66298938633905"</f>
        <v>66298938633905</v>
      </c>
      <c r="D9429" s="1" t="str">
        <f>"6002-2RS/C3"</f>
        <v>6002-2RS/C3</v>
      </c>
      <c r="E9429" s="1" t="s">
        <v>4566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</row>
    <row r="9430" spans="1:11" x14ac:dyDescent="0.2">
      <c r="A9430" s="1" t="s">
        <v>4000</v>
      </c>
      <c r="B9430" s="1" t="s">
        <v>4023</v>
      </c>
      <c r="C9430" s="1" t="str">
        <f>"6202-2RS-CN"</f>
        <v>6202-2RS-CN</v>
      </c>
      <c r="D9430" s="1" t="str">
        <f>"6202-2RS-CN"</f>
        <v>6202-2RS-CN</v>
      </c>
      <c r="E9430" s="1" t="s">
        <v>4566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</row>
    <row r="9431" spans="1:11" x14ac:dyDescent="0.2">
      <c r="A9431" s="1" t="s">
        <v>4000</v>
      </c>
      <c r="B9431" s="1" t="s">
        <v>4024</v>
      </c>
      <c r="C9431" s="1" t="str">
        <f>"6302-2RS-CN"</f>
        <v>6302-2RS-CN</v>
      </c>
      <c r="D9431" s="1" t="str">
        <f>"6302-2RS-CN"</f>
        <v>6302-2RS-CN</v>
      </c>
      <c r="E9431" s="1" t="s">
        <v>4566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</row>
    <row r="9432" spans="1:11" x14ac:dyDescent="0.2">
      <c r="A9432" s="1" t="s">
        <v>4000</v>
      </c>
      <c r="B9432" s="1" t="s">
        <v>4025</v>
      </c>
      <c r="C9432" s="1" t="str">
        <f>"6903-2RS-CN"</f>
        <v>6903-2RS-CN</v>
      </c>
      <c r="D9432" s="1" t="str">
        <f>"6903-2RS-CN"</f>
        <v>6903-2RS-CN</v>
      </c>
      <c r="E9432" s="1" t="s">
        <v>4566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</row>
    <row r="9433" spans="1:11" x14ac:dyDescent="0.2">
      <c r="A9433" s="1" t="s">
        <v>4000</v>
      </c>
      <c r="B9433" s="1" t="s">
        <v>4026</v>
      </c>
      <c r="C9433" s="1" t="str">
        <f>"66298938678488"</f>
        <v>66298938678488</v>
      </c>
      <c r="D9433" s="1" t="str">
        <f>"6003-2RS-CN"</f>
        <v>6003-2RS-CN</v>
      </c>
      <c r="E9433" s="1" t="s">
        <v>4566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</row>
    <row r="9434" spans="1:11" x14ac:dyDescent="0.2">
      <c r="A9434" s="1" t="s">
        <v>4000</v>
      </c>
      <c r="B9434" s="1" t="s">
        <v>4027</v>
      </c>
      <c r="C9434" s="1" t="str">
        <f>"66298938720857"</f>
        <v>66298938720857</v>
      </c>
      <c r="D9434" s="1" t="str">
        <f>"6003-2NSE-ICHBN"</f>
        <v>6003-2NSE-ICHBN</v>
      </c>
      <c r="E9434" s="1" t="s">
        <v>4566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</row>
    <row r="9435" spans="1:11" x14ac:dyDescent="0.2">
      <c r="A9435" s="1" t="s">
        <v>4000</v>
      </c>
      <c r="B9435" s="1" t="s">
        <v>4028</v>
      </c>
      <c r="C9435" s="1" t="str">
        <f>"66298938763678"</f>
        <v>66298938763678</v>
      </c>
      <c r="D9435" s="1" t="str">
        <f>"6003-2RS"</f>
        <v>6003-2RS</v>
      </c>
      <c r="E9435" s="1" t="s">
        <v>4566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</row>
    <row r="9436" spans="1:11" x14ac:dyDescent="0.2">
      <c r="A9436" s="1" t="s">
        <v>4000</v>
      </c>
      <c r="B9436" s="1" t="s">
        <v>4029</v>
      </c>
      <c r="C9436" s="1" t="str">
        <f>"6203-2RS"</f>
        <v>6203-2RS</v>
      </c>
      <c r="D9436" s="1" t="str">
        <f>"6203-2RS"</f>
        <v>6203-2RS</v>
      </c>
      <c r="E9436" s="1" t="s">
        <v>4566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</row>
    <row r="9437" spans="1:11" x14ac:dyDescent="0.2">
      <c r="A9437" s="1" t="s">
        <v>4000</v>
      </c>
      <c r="B9437" s="1" t="s">
        <v>4030</v>
      </c>
      <c r="C9437" s="1" t="str">
        <f>"66298938811101"</f>
        <v>66298938811101</v>
      </c>
      <c r="D9437" s="1" t="str">
        <f>"6303-2RS-ICHBN"</f>
        <v>6303-2RS-ICHBN</v>
      </c>
      <c r="E9437" s="1" t="s">
        <v>4566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</row>
    <row r="9438" spans="1:11" x14ac:dyDescent="0.2">
      <c r="A9438" s="1" t="s">
        <v>4000</v>
      </c>
      <c r="B9438" s="1" t="s">
        <v>4031</v>
      </c>
      <c r="C9438" s="1" t="str">
        <f>"66298938875416"</f>
        <v>66298938875416</v>
      </c>
      <c r="D9438" s="1" t="str">
        <f>"6303-2RS"</f>
        <v>6303-2RS</v>
      </c>
      <c r="E9438" s="1" t="s">
        <v>4566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</row>
    <row r="9439" spans="1:11" x14ac:dyDescent="0.2">
      <c r="A9439" s="1" t="s">
        <v>4000</v>
      </c>
      <c r="B9439" s="1" t="s">
        <v>4032</v>
      </c>
      <c r="C9439" s="1" t="str">
        <f>"66298940703815"</f>
        <v>66298940703815</v>
      </c>
      <c r="D9439" s="1" t="str">
        <f>"91002-MN1-671GH"</f>
        <v>91002-MN1-671GH</v>
      </c>
      <c r="E9439" s="1" t="s">
        <v>4566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</row>
    <row r="9440" spans="1:11" x14ac:dyDescent="0.2">
      <c r="A9440" s="1" t="s">
        <v>4000</v>
      </c>
      <c r="B9440" s="1" t="s">
        <v>4033</v>
      </c>
      <c r="C9440" s="1" t="str">
        <f>"6904-2RS-CN"</f>
        <v>6904-2RS-CN</v>
      </c>
      <c r="D9440" s="1" t="str">
        <f>"6904-2RS-CN"</f>
        <v>6904-2RS-CN</v>
      </c>
      <c r="E9440" s="1" t="s">
        <v>4566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</row>
    <row r="9441" spans="1:11" x14ac:dyDescent="0.2">
      <c r="A9441" s="1" t="s">
        <v>4000</v>
      </c>
      <c r="B9441" s="1" t="s">
        <v>4034</v>
      </c>
      <c r="C9441" s="1" t="str">
        <f>"66298938915480"</f>
        <v>66298938915480</v>
      </c>
      <c r="D9441" s="1" t="str">
        <f>"6004-2RS-CN"</f>
        <v>6004-2RS-CN</v>
      </c>
      <c r="E9441" s="1" t="s">
        <v>4566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</row>
    <row r="9442" spans="1:11" x14ac:dyDescent="0.2">
      <c r="A9442" s="1" t="s">
        <v>4000</v>
      </c>
      <c r="B9442" s="1" t="s">
        <v>4035</v>
      </c>
      <c r="C9442" s="1" t="str">
        <f>"66298938955939"</f>
        <v>66298938955939</v>
      </c>
      <c r="D9442" s="1" t="str">
        <f>"6004-ZZ"</f>
        <v>6004-ZZ</v>
      </c>
      <c r="E9442" s="1" t="s">
        <v>4566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</row>
    <row r="9443" spans="1:11" x14ac:dyDescent="0.2">
      <c r="A9443" s="1" t="s">
        <v>4000</v>
      </c>
      <c r="B9443" s="1" t="s">
        <v>4036</v>
      </c>
      <c r="C9443" s="1" t="str">
        <f>"66298938997317"</f>
        <v>66298938997317</v>
      </c>
      <c r="D9443" s="1" t="str">
        <f>"6204-2RS-CN"</f>
        <v>6204-2RS-CN</v>
      </c>
      <c r="E9443" s="1" t="s">
        <v>4566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</row>
    <row r="9444" spans="1:11" x14ac:dyDescent="0.2">
      <c r="A9444" s="1" t="s">
        <v>4000</v>
      </c>
      <c r="B9444" s="1" t="s">
        <v>4037</v>
      </c>
      <c r="C9444" s="1" t="str">
        <f>"66298939039884"</f>
        <v>66298939039884</v>
      </c>
      <c r="D9444" s="1" t="str">
        <f>"6204-ICHBN"</f>
        <v>6204-ICHBN</v>
      </c>
      <c r="E9444" s="1" t="s">
        <v>4566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</row>
    <row r="9445" spans="1:11" x14ac:dyDescent="0.2">
      <c r="A9445" s="1" t="s">
        <v>4000</v>
      </c>
      <c r="B9445" s="1" t="s">
        <v>4038</v>
      </c>
      <c r="C9445" s="1" t="str">
        <f>"66298939079767"</f>
        <v>66298939079767</v>
      </c>
      <c r="D9445" s="1" t="str">
        <f>"62204-2RS-CN"</f>
        <v>62204-2RS-CN</v>
      </c>
      <c r="E9445" s="1" t="s">
        <v>4566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</row>
    <row r="9446" spans="1:11" x14ac:dyDescent="0.2">
      <c r="A9446" s="1" t="s">
        <v>4000</v>
      </c>
      <c r="B9446" s="1" t="s">
        <v>4039</v>
      </c>
      <c r="C9446" s="1" t="str">
        <f>"66298939121786"</f>
        <v>66298939121786</v>
      </c>
      <c r="D9446" s="1" t="str">
        <f>"6304-2RS-ICH"</f>
        <v>6304-2RS-ICH</v>
      </c>
      <c r="E9446" s="1" t="s">
        <v>4566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</row>
    <row r="9447" spans="1:11" x14ac:dyDescent="0.2">
      <c r="A9447" s="1" t="s">
        <v>4000</v>
      </c>
      <c r="B9447" s="1" t="s">
        <v>4040</v>
      </c>
      <c r="C9447" s="1" t="str">
        <f>"66298939164175"</f>
        <v>66298939164175</v>
      </c>
      <c r="D9447" s="1" t="str">
        <f>"6304-2RS"</f>
        <v>6304-2RS</v>
      </c>
      <c r="E9447" s="1" t="s">
        <v>4566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</row>
    <row r="9448" spans="1:11" x14ac:dyDescent="0.2">
      <c r="A9448" s="1" t="s">
        <v>4000</v>
      </c>
      <c r="B9448" s="1" t="s">
        <v>4041</v>
      </c>
      <c r="C9448" s="1" t="str">
        <f>"66298939207556"</f>
        <v>66298939207556</v>
      </c>
      <c r="D9448" s="1" t="str">
        <f>"60/22-2RS"</f>
        <v>60/22-2RS</v>
      </c>
      <c r="E9448" s="1" t="s">
        <v>4566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</row>
    <row r="9449" spans="1:11" x14ac:dyDescent="0.2">
      <c r="A9449" s="1" t="s">
        <v>4000</v>
      </c>
      <c r="B9449" s="1" t="s">
        <v>4042</v>
      </c>
      <c r="C9449" s="1" t="str">
        <f>"66298939251553"</f>
        <v>66298939251553</v>
      </c>
      <c r="D9449" s="1" t="str">
        <f>"62/22C3"</f>
        <v>62/22C3</v>
      </c>
      <c r="E9449" s="1" t="s">
        <v>4566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</row>
    <row r="9450" spans="1:11" x14ac:dyDescent="0.2">
      <c r="A9450" s="1" t="s">
        <v>4000</v>
      </c>
      <c r="B9450" s="1" t="s">
        <v>4042</v>
      </c>
      <c r="C9450" s="1" t="str">
        <f>"66298939257286"</f>
        <v>66298939257286</v>
      </c>
      <c r="D9450" s="1" t="str">
        <f>"62/22-2RS"</f>
        <v>62/22-2RS</v>
      </c>
      <c r="E9450" s="1" t="s">
        <v>4566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</row>
    <row r="9451" spans="1:11" x14ac:dyDescent="0.2">
      <c r="A9451" s="1" t="s">
        <v>4000</v>
      </c>
      <c r="B9451" s="1" t="s">
        <v>4043</v>
      </c>
      <c r="C9451" s="1" t="str">
        <f>"66298939311110"</f>
        <v>66298939311110</v>
      </c>
      <c r="D9451" s="1" t="str">
        <f>"6905-2RS"</f>
        <v>6905-2RS</v>
      </c>
      <c r="E9451" s="1" t="s">
        <v>4566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</row>
    <row r="9452" spans="1:11" x14ac:dyDescent="0.2">
      <c r="A9452" s="1" t="s">
        <v>4000</v>
      </c>
      <c r="B9452" s="1" t="s">
        <v>4044</v>
      </c>
      <c r="C9452" s="1" t="str">
        <f>"66298939357248"</f>
        <v>66298939357248</v>
      </c>
      <c r="D9452" s="1" t="str">
        <f>"6005-2RS-CN"</f>
        <v>6005-2RS-CN</v>
      </c>
      <c r="E9452" s="1" t="s">
        <v>4566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</row>
    <row r="9453" spans="1:11" x14ac:dyDescent="0.2">
      <c r="A9453" s="1" t="s">
        <v>4000</v>
      </c>
      <c r="B9453" s="1" t="s">
        <v>4045</v>
      </c>
      <c r="C9453" s="1" t="str">
        <f>"66298939402022"</f>
        <v>66298939402022</v>
      </c>
      <c r="D9453" s="1" t="str">
        <f>"6005-2RSICHB"</f>
        <v>6005-2RSICHB</v>
      </c>
      <c r="E9453" s="1" t="s">
        <v>4566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</row>
    <row r="9454" spans="1:11" x14ac:dyDescent="0.2">
      <c r="A9454" s="1" t="s">
        <v>4000</v>
      </c>
      <c r="B9454" s="1" t="s">
        <v>4046</v>
      </c>
      <c r="C9454" s="1" t="str">
        <f>"66298939442931"</f>
        <v>66298939442931</v>
      </c>
      <c r="D9454" s="1" t="str">
        <f>"6005-2RS"</f>
        <v>6005-2RS</v>
      </c>
      <c r="E9454" s="1" t="s">
        <v>4566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</row>
    <row r="9455" spans="1:11" x14ac:dyDescent="0.2">
      <c r="A9455" s="1" t="s">
        <v>4000</v>
      </c>
      <c r="B9455" s="1" t="s">
        <v>4047</v>
      </c>
      <c r="C9455" s="1" t="str">
        <f>"32005-CN"</f>
        <v>32005-CN</v>
      </c>
      <c r="D9455" s="1" t="str">
        <f>"32005-CN"</f>
        <v>32005-CN</v>
      </c>
      <c r="E9455" s="1" t="s">
        <v>4566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</row>
    <row r="9456" spans="1:11" x14ac:dyDescent="0.2">
      <c r="A9456" s="1" t="s">
        <v>4000</v>
      </c>
      <c r="B9456" s="1" t="s">
        <v>4048</v>
      </c>
      <c r="C9456" s="1" t="str">
        <f>"66298939482967"</f>
        <v>66298939482967</v>
      </c>
      <c r="D9456" s="1" t="str">
        <f>"30205-CN"</f>
        <v>30205-CN</v>
      </c>
      <c r="E9456" s="1" t="s">
        <v>4566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</row>
    <row r="9457" spans="1:11" x14ac:dyDescent="0.2">
      <c r="A9457" s="1" t="s">
        <v>4000</v>
      </c>
      <c r="B9457" s="1" t="s">
        <v>4049</v>
      </c>
      <c r="C9457" s="1" t="str">
        <f>"6205-2RS-CN"</f>
        <v>6205-2RS-CN</v>
      </c>
      <c r="D9457" s="1" t="str">
        <f>"6205-2RS-CN"</f>
        <v>6205-2RS-CN</v>
      </c>
      <c r="E9457" s="1" t="s">
        <v>4566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</row>
    <row r="9458" spans="1:11" x14ac:dyDescent="0.2">
      <c r="A9458" s="1" t="s">
        <v>4000</v>
      </c>
      <c r="B9458" s="1" t="s">
        <v>4050</v>
      </c>
      <c r="C9458" s="1" t="str">
        <f>"66298940486883"</f>
        <v>66298940486883</v>
      </c>
      <c r="D9458" s="1" t="str">
        <f>"98305AC4"</f>
        <v>98305AC4</v>
      </c>
      <c r="E9458" s="1" t="s">
        <v>4566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</row>
    <row r="9459" spans="1:11" x14ac:dyDescent="0.2">
      <c r="A9459" s="1" t="s">
        <v>4000</v>
      </c>
      <c r="B9459" s="1" t="s">
        <v>4051</v>
      </c>
      <c r="C9459" s="1" t="str">
        <f>"66298940309931"</f>
        <v>66298940309931</v>
      </c>
      <c r="D9459" s="1" t="str">
        <f>"6305RI"</f>
        <v>6305RI</v>
      </c>
      <c r="E9459" s="1" t="s">
        <v>4566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</row>
    <row r="9460" spans="1:11" x14ac:dyDescent="0.2">
      <c r="A9460" s="1" t="s">
        <v>4000</v>
      </c>
      <c r="B9460" s="1" t="s">
        <v>4052</v>
      </c>
      <c r="C9460" s="1" t="str">
        <f>"6305-2RS-CN"</f>
        <v>6305-2RS-CN</v>
      </c>
      <c r="D9460" s="1" t="str">
        <f>"6305-2RS-CN"</f>
        <v>6305-2RS-CN</v>
      </c>
      <c r="E9460" s="1" t="s">
        <v>4566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</row>
    <row r="9461" spans="1:11" x14ac:dyDescent="0.2">
      <c r="A9461" s="1" t="s">
        <v>4000</v>
      </c>
      <c r="B9461" s="1" t="s">
        <v>4053</v>
      </c>
      <c r="C9461" s="1" t="str">
        <f>"66298939525939"</f>
        <v>66298939525939</v>
      </c>
      <c r="D9461" s="1" t="str">
        <f>"6305-2NSE-ICHBN"</f>
        <v>6305-2NSE-ICHBN</v>
      </c>
      <c r="E9461" s="1" t="s">
        <v>4566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</row>
    <row r="9462" spans="1:11" x14ac:dyDescent="0.2">
      <c r="A9462" s="1" t="s">
        <v>4000</v>
      </c>
      <c r="B9462" s="1" t="s">
        <v>4054</v>
      </c>
      <c r="C9462" s="1" t="str">
        <f>"66298939568596"</f>
        <v>66298939568596</v>
      </c>
      <c r="D9462" s="1" t="str">
        <f>"6305-2RS"</f>
        <v>6305-2RS</v>
      </c>
      <c r="E9462" s="1" t="s">
        <v>4566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</row>
    <row r="9463" spans="1:11" x14ac:dyDescent="0.2">
      <c r="A9463" s="1" t="s">
        <v>4000</v>
      </c>
      <c r="B9463" s="1" t="s">
        <v>4055</v>
      </c>
      <c r="C9463" s="1" t="str">
        <f>"66298940572433"</f>
        <v>66298940572433</v>
      </c>
      <c r="D9463" s="1" t="str">
        <f>"SAC2647-1"</f>
        <v>SAC2647-1</v>
      </c>
      <c r="E9463" s="1" t="s">
        <v>4566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</row>
    <row r="9464" spans="1:11" x14ac:dyDescent="0.2">
      <c r="A9464" s="1" t="s">
        <v>4000</v>
      </c>
      <c r="B9464" s="1" t="s">
        <v>4056</v>
      </c>
      <c r="C9464" s="1" t="str">
        <f>"66298940616884"</f>
        <v>66298940616884</v>
      </c>
      <c r="D9464" s="1" t="str">
        <f>"1070"</f>
        <v>1070</v>
      </c>
      <c r="E9464" s="1" t="s">
        <v>4566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</row>
    <row r="9465" spans="1:11" x14ac:dyDescent="0.2">
      <c r="A9465" s="1" t="s">
        <v>4000</v>
      </c>
      <c r="B9465" s="1" t="s">
        <v>4057</v>
      </c>
      <c r="C9465" s="1" t="str">
        <f>"66298939608431"</f>
        <v>66298939608431</v>
      </c>
      <c r="D9465" s="1" t="str">
        <f>"62/28-2RS"</f>
        <v>62/28-2RS</v>
      </c>
      <c r="E9465" s="1" t="s">
        <v>4566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</row>
    <row r="9466" spans="1:11" x14ac:dyDescent="0.2">
      <c r="A9466" s="1" t="s">
        <v>4000</v>
      </c>
      <c r="B9466" s="1" t="s">
        <v>4058</v>
      </c>
      <c r="C9466" s="1" t="str">
        <f>"66298939653043"</f>
        <v>66298939653043</v>
      </c>
      <c r="D9466" s="1" t="str">
        <f>"83024"</f>
        <v>83024</v>
      </c>
      <c r="E9466" s="1" t="s">
        <v>4566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</row>
    <row r="9467" spans="1:11" x14ac:dyDescent="0.2">
      <c r="A9467" s="1" t="s">
        <v>4000</v>
      </c>
      <c r="B9467" s="1" t="s">
        <v>4059</v>
      </c>
      <c r="C9467" s="1" t="str">
        <f>"66298940386029"</f>
        <v>66298940386029</v>
      </c>
      <c r="D9467" s="1" t="str">
        <f>"28BCS15NSL2"</f>
        <v>28BCS15NSL2</v>
      </c>
      <c r="E9467" s="1" t="s">
        <v>4566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</row>
    <row r="9468" spans="1:11" ht="30" x14ac:dyDescent="0.2">
      <c r="A9468" s="1" t="s">
        <v>4000</v>
      </c>
      <c r="B9468" s="1" t="s">
        <v>4060</v>
      </c>
      <c r="C9468" s="1" t="str">
        <f>"66300304170647"</f>
        <v>66300304170647</v>
      </c>
      <c r="D9468" s="1" t="str">
        <f>"91001-KPF-901GH"</f>
        <v>91001-KPF-901GH</v>
      </c>
      <c r="E9468" s="1" t="s">
        <v>4566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</row>
    <row r="9469" spans="1:11" x14ac:dyDescent="0.2">
      <c r="A9469" s="1" t="s">
        <v>4000</v>
      </c>
      <c r="B9469" s="1" t="s">
        <v>4061</v>
      </c>
      <c r="C9469" s="1" t="str">
        <f>"66298939695933"</f>
        <v>66298939695933</v>
      </c>
      <c r="D9469" s="1" t="str">
        <f>"6906-2RS"</f>
        <v>6906-2RS</v>
      </c>
      <c r="E9469" s="1" t="s">
        <v>4566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</row>
    <row r="9470" spans="1:11" x14ac:dyDescent="0.2">
      <c r="A9470" s="1" t="s">
        <v>4000</v>
      </c>
      <c r="B9470" s="1" t="s">
        <v>4062</v>
      </c>
      <c r="C9470" s="1" t="str">
        <f>"6006-2RS-CN"</f>
        <v>6006-2RS-CN</v>
      </c>
      <c r="D9470" s="1" t="str">
        <f>"6006-2RS-CN"</f>
        <v>6006-2RS-CN</v>
      </c>
      <c r="E9470" s="1" t="s">
        <v>4566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</row>
    <row r="9471" spans="1:11" x14ac:dyDescent="0.2">
      <c r="A9471" s="1" t="s">
        <v>4000</v>
      </c>
      <c r="B9471" s="1" t="s">
        <v>4063</v>
      </c>
      <c r="C9471" s="1" t="str">
        <f>"66298939738265"</f>
        <v>66298939738265</v>
      </c>
      <c r="D9471" s="1" t="str">
        <f>"6006-2RS"</f>
        <v>6006-2RS</v>
      </c>
      <c r="E9471" s="1" t="s">
        <v>4566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</row>
    <row r="9472" spans="1:11" x14ac:dyDescent="0.2">
      <c r="A9472" s="1" t="s">
        <v>4000</v>
      </c>
      <c r="B9472" s="1" t="s">
        <v>4064</v>
      </c>
      <c r="C9472" s="1" t="str">
        <f>"66298939778267"</f>
        <v>66298939778267</v>
      </c>
      <c r="D9472" s="1" t="str">
        <f>"32006-CN"</f>
        <v>32006-CN</v>
      </c>
      <c r="E9472" s="1" t="s">
        <v>4566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</row>
    <row r="9473" spans="1:11" x14ac:dyDescent="0.2">
      <c r="A9473" s="1" t="s">
        <v>4000</v>
      </c>
      <c r="B9473" s="1" t="s">
        <v>4065</v>
      </c>
      <c r="C9473" s="1" t="str">
        <f>"66298940658463"</f>
        <v>66298940658463</v>
      </c>
      <c r="D9473" s="1" t="str">
        <f>"SAC-3055-1"</f>
        <v>SAC-3055-1</v>
      </c>
      <c r="E9473" s="1" t="s">
        <v>4566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</row>
    <row r="9474" spans="1:11" x14ac:dyDescent="0.2">
      <c r="A9474" s="1" t="s">
        <v>4000</v>
      </c>
      <c r="B9474" s="1" t="s">
        <v>4066</v>
      </c>
      <c r="C9474" s="1" t="str">
        <f>"66298939825999"</f>
        <v>66298939825999</v>
      </c>
      <c r="D9474" s="1" t="str">
        <f>"6206-ZZ-ICHBN"</f>
        <v>6206-ZZ-ICHBN</v>
      </c>
      <c r="E9474" s="1" t="s">
        <v>4566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</row>
    <row r="9475" spans="1:11" x14ac:dyDescent="0.2">
      <c r="A9475" s="1" t="s">
        <v>4000</v>
      </c>
      <c r="B9475" s="1" t="s">
        <v>4066</v>
      </c>
      <c r="C9475" s="1" t="str">
        <f>"66298939833181"</f>
        <v>66298939833181</v>
      </c>
      <c r="D9475" s="1" t="str">
        <f>"6206-2RS-ICHBN"</f>
        <v>6206-2RS-ICHBN</v>
      </c>
      <c r="E9475" s="1" t="s">
        <v>4566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</row>
    <row r="9476" spans="1:11" x14ac:dyDescent="0.2">
      <c r="A9476" s="1" t="s">
        <v>4000</v>
      </c>
      <c r="B9476" s="1" t="s">
        <v>4067</v>
      </c>
      <c r="C9476" s="1" t="str">
        <f>"66298939885613"</f>
        <v>66298939885613</v>
      </c>
      <c r="D9476" s="1" t="str">
        <f>"6306/17-2RS"</f>
        <v>6306/17-2RS</v>
      </c>
      <c r="E9476" s="1" t="s">
        <v>4566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</row>
    <row r="9477" spans="1:11" x14ac:dyDescent="0.2">
      <c r="A9477" s="1" t="s">
        <v>4000</v>
      </c>
      <c r="B9477" s="1" t="s">
        <v>4068</v>
      </c>
      <c r="C9477" s="1" t="str">
        <f>"66298939925063"</f>
        <v>66298939925063</v>
      </c>
      <c r="D9477" s="1" t="str">
        <f>"6306-ZNR-ICH"</f>
        <v>6306-ZNR-ICH</v>
      </c>
      <c r="E9477" s="1" t="s">
        <v>4566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</row>
    <row r="9478" spans="1:11" x14ac:dyDescent="0.2">
      <c r="A9478" s="1" t="s">
        <v>4000</v>
      </c>
      <c r="B9478" s="1" t="s">
        <v>4069</v>
      </c>
      <c r="C9478" s="1" t="str">
        <f>"6207-C3-KOYO"</f>
        <v>6207-C3-KOYO</v>
      </c>
      <c r="D9478" s="1" t="str">
        <f>"6207-C3-KOYO"</f>
        <v>6207-C3-KOYO</v>
      </c>
      <c r="E9478" s="1" t="s">
        <v>4566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</row>
    <row r="9479" spans="1:11" x14ac:dyDescent="0.2">
      <c r="A9479" s="1" t="s">
        <v>4000</v>
      </c>
      <c r="B9479" s="1" t="s">
        <v>4070</v>
      </c>
      <c r="C9479" s="1" t="str">
        <f>"6007-2RS-CN"</f>
        <v>6007-2RS-CN</v>
      </c>
      <c r="D9479" s="1" t="str">
        <f>"6007-2RS-CN"</f>
        <v>6007-2RS-CN</v>
      </c>
      <c r="E9479" s="1" t="s">
        <v>4566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</row>
    <row r="9480" spans="1:11" x14ac:dyDescent="0.2">
      <c r="A9480" s="1" t="s">
        <v>4000</v>
      </c>
      <c r="B9480" s="1" t="s">
        <v>4071</v>
      </c>
      <c r="C9480" s="1" t="str">
        <f>"66298939967055"</f>
        <v>66298939967055</v>
      </c>
      <c r="D9480" s="1" t="str">
        <f>"6207-2RSC3"</f>
        <v>6207-2RSC3</v>
      </c>
      <c r="E9480" s="1" t="s">
        <v>4566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</row>
    <row r="9481" spans="1:11" x14ac:dyDescent="0.2">
      <c r="A9481" s="1" t="s">
        <v>4000</v>
      </c>
      <c r="B9481" s="1" t="s">
        <v>4072</v>
      </c>
      <c r="C9481" s="1" t="str">
        <f>"66298940439238"</f>
        <v>66298940439238</v>
      </c>
      <c r="D9481" s="1" t="str">
        <f>"6207-C3"</f>
        <v>6207-C3</v>
      </c>
      <c r="E9481" s="1" t="s">
        <v>4566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</row>
    <row r="9482" spans="1:11" x14ac:dyDescent="0.2">
      <c r="A9482" s="1" t="s">
        <v>4000</v>
      </c>
      <c r="B9482" s="1" t="s">
        <v>4073</v>
      </c>
      <c r="C9482" s="1" t="str">
        <f>"66298940019351"</f>
        <v>66298940019351</v>
      </c>
      <c r="D9482" s="1" t="str">
        <f>"6307-ZNR-ICHBN"</f>
        <v>6307-ZNR-ICHBN</v>
      </c>
      <c r="E9482" s="1" t="s">
        <v>4566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</row>
    <row r="9483" spans="1:11" x14ac:dyDescent="0.2">
      <c r="A9483" s="1" t="s">
        <v>4000</v>
      </c>
      <c r="B9483" s="1" t="s">
        <v>4074</v>
      </c>
      <c r="C9483" s="1" t="str">
        <f>"6908ZZCM"</f>
        <v>6908ZZCM</v>
      </c>
      <c r="D9483" s="1" t="str">
        <f>"6908ZZCM"</f>
        <v>6908ZZCM</v>
      </c>
      <c r="E9483" s="1" t="s">
        <v>4566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</row>
    <row r="9484" spans="1:11" x14ac:dyDescent="0.2">
      <c r="A9484" s="1" t="s">
        <v>4000</v>
      </c>
      <c r="B9484" s="1" t="s">
        <v>4075</v>
      </c>
      <c r="C9484" s="1" t="str">
        <f>"6008-2RS"</f>
        <v>6008-2RS</v>
      </c>
      <c r="D9484" s="1" t="str">
        <f>"6008-2RS"</f>
        <v>6008-2RS</v>
      </c>
      <c r="E9484" s="1" t="s">
        <v>4566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</row>
    <row r="9485" spans="1:11" x14ac:dyDescent="0.2">
      <c r="A9485" s="1" t="s">
        <v>4000</v>
      </c>
      <c r="B9485" s="1" t="s">
        <v>4076</v>
      </c>
      <c r="C9485" s="1" t="str">
        <f>"66298940101219"</f>
        <v>66298940101219</v>
      </c>
      <c r="D9485" s="1" t="str">
        <f>"DG-4070-A"</f>
        <v>DG-4070-A</v>
      </c>
      <c r="E9485" s="1" t="s">
        <v>4566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</row>
    <row r="9486" spans="1:11" x14ac:dyDescent="0.2">
      <c r="A9486" s="1" t="s">
        <v>4000</v>
      </c>
      <c r="B9486" s="1" t="s">
        <v>4077</v>
      </c>
      <c r="C9486" s="1" t="str">
        <f>"66298940188147"</f>
        <v>66298940188147</v>
      </c>
      <c r="D9486" s="1" t="str">
        <f>"30208-CN"</f>
        <v>30208-CN</v>
      </c>
      <c r="E9486" s="1" t="s">
        <v>4566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</row>
    <row r="9487" spans="1:11" x14ac:dyDescent="0.2">
      <c r="A9487" s="1" t="s">
        <v>18</v>
      </c>
      <c r="B9487" s="1" t="s">
        <v>4078</v>
      </c>
      <c r="C9487" s="1" t="str">
        <f>"66298940829368"</f>
        <v>66298940829368</v>
      </c>
      <c r="D9487" s="1" t="str">
        <f>"817"</f>
        <v>817</v>
      </c>
      <c r="E9487" s="1" t="s">
        <v>4566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</row>
    <row r="9488" spans="1:11" x14ac:dyDescent="0.2">
      <c r="A9488" s="1" t="s">
        <v>18</v>
      </c>
      <c r="B9488" s="1" t="s">
        <v>4079</v>
      </c>
      <c r="C9488" s="1" t="str">
        <f>"66298940874552"</f>
        <v>66298940874552</v>
      </c>
      <c r="D9488" s="1" t="str">
        <f>"1382"</f>
        <v>1382</v>
      </c>
      <c r="E9488" s="1" t="s">
        <v>4566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1</v>
      </c>
    </row>
    <row r="9489" spans="1:11" x14ac:dyDescent="0.2">
      <c r="A9489" s="1" t="s">
        <v>18</v>
      </c>
      <c r="B9489" s="1" t="s">
        <v>4080</v>
      </c>
      <c r="C9489" s="1" t="str">
        <f>"66298940922228"</f>
        <v>66298940922228</v>
      </c>
      <c r="D9489" s="1" t="str">
        <f>"4158"</f>
        <v>4158</v>
      </c>
      <c r="E9489" s="1" t="s">
        <v>4566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1</v>
      </c>
    </row>
    <row r="9490" spans="1:11" x14ac:dyDescent="0.2">
      <c r="A9490" s="1" t="s">
        <v>18</v>
      </c>
      <c r="B9490" s="1" t="s">
        <v>4080</v>
      </c>
      <c r="C9490" s="1" t="str">
        <f>"WA032"</f>
        <v>WA032</v>
      </c>
      <c r="D9490" s="1" t="str">
        <f>"WA032"</f>
        <v>WA032</v>
      </c>
      <c r="E9490" s="1" t="s">
        <v>4566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</row>
    <row r="9491" spans="1:11" x14ac:dyDescent="0.2">
      <c r="A9491" s="1" t="s">
        <v>18</v>
      </c>
      <c r="B9491" s="1" t="s">
        <v>4081</v>
      </c>
      <c r="C9491" s="1" t="str">
        <f>"66298940787514"</f>
        <v>66298940787514</v>
      </c>
      <c r="D9491" s="1" t="str">
        <f>"1365"</f>
        <v>1365</v>
      </c>
      <c r="E9491" s="1" t="s">
        <v>4566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</row>
    <row r="9492" spans="1:11" x14ac:dyDescent="0.2">
      <c r="A9492" s="1" t="s">
        <v>18</v>
      </c>
      <c r="B9492" s="1" t="s">
        <v>4082</v>
      </c>
      <c r="C9492" s="1" t="str">
        <f>"66298940962453"</f>
        <v>66298940962453</v>
      </c>
      <c r="D9492" s="1" t="str">
        <f>"WA055-AMARILLO"</f>
        <v>WA055-AMARILLO</v>
      </c>
      <c r="E9492" s="1" t="s">
        <v>4566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</row>
    <row r="9493" spans="1:11" x14ac:dyDescent="0.2">
      <c r="A9493" s="1" t="s">
        <v>18</v>
      </c>
      <c r="B9493" s="1" t="s">
        <v>4083</v>
      </c>
      <c r="C9493" s="1" t="str">
        <f>"66298941005248"</f>
        <v>66298941005248</v>
      </c>
      <c r="D9493" s="1" t="str">
        <f>"WA055-BLANCO"</f>
        <v>WA055-BLANCO</v>
      </c>
      <c r="E9493" s="1" t="s">
        <v>4566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</row>
    <row r="9494" spans="1:11" x14ac:dyDescent="0.2">
      <c r="A9494" s="1" t="s">
        <v>18</v>
      </c>
      <c r="B9494" s="1" t="s">
        <v>4084</v>
      </c>
      <c r="C9494" s="1" t="str">
        <f>"66298941044965"</f>
        <v>66298941044965</v>
      </c>
      <c r="D9494" s="1" t="str">
        <f>"WA055-CELESTE"</f>
        <v>WA055-CELESTE</v>
      </c>
      <c r="E9494" s="1" t="s">
        <v>4566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</row>
    <row r="9495" spans="1:11" x14ac:dyDescent="0.2">
      <c r="A9495" s="1" t="s">
        <v>98</v>
      </c>
      <c r="B9495" s="1" t="s">
        <v>4085</v>
      </c>
      <c r="C9495" s="1" t="str">
        <f>"66298941087470"</f>
        <v>66298941087470</v>
      </c>
      <c r="D9495" s="1" t="str">
        <f>"400769"</f>
        <v>400769</v>
      </c>
      <c r="E9495" s="1" t="s">
        <v>4566</v>
      </c>
      <c r="F9495" s="1">
        <v>50</v>
      </c>
      <c r="G9495" s="1">
        <v>1228</v>
      </c>
      <c r="H9495" s="1">
        <v>61400</v>
      </c>
      <c r="I9495" s="1">
        <v>0</v>
      </c>
      <c r="J9495" s="1">
        <v>50</v>
      </c>
      <c r="K9495" s="1">
        <v>0</v>
      </c>
    </row>
    <row r="9496" spans="1:11" x14ac:dyDescent="0.2">
      <c r="A9496" s="1" t="s">
        <v>98</v>
      </c>
      <c r="B9496" s="1" t="s">
        <v>4086</v>
      </c>
      <c r="C9496" s="1" t="str">
        <f>"66298941132041"</f>
        <v>66298941132041</v>
      </c>
      <c r="D9496" s="1" t="str">
        <f>"B095B"</f>
        <v>B095B</v>
      </c>
      <c r="E9496" s="1" t="s">
        <v>4566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</row>
    <row r="9497" spans="1:11" x14ac:dyDescent="0.2">
      <c r="A9497" s="1" t="s">
        <v>98</v>
      </c>
      <c r="B9497" s="1" t="s">
        <v>4087</v>
      </c>
      <c r="C9497" s="1" t="str">
        <f>"B095"</f>
        <v>B095</v>
      </c>
      <c r="D9497" s="1" t="str">
        <f>"B095"</f>
        <v>B095</v>
      </c>
      <c r="E9497" s="1" t="s">
        <v>4566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</row>
    <row r="9498" spans="1:11" x14ac:dyDescent="0.2">
      <c r="A9498" s="1" t="s">
        <v>98</v>
      </c>
      <c r="B9498" s="1" t="s">
        <v>4088</v>
      </c>
      <c r="C9498" s="1" t="str">
        <f>"66298941223294"</f>
        <v>66298941223294</v>
      </c>
      <c r="D9498" s="1" t="str">
        <f>"400768"</f>
        <v>400768</v>
      </c>
      <c r="E9498" s="1" t="s">
        <v>4566</v>
      </c>
      <c r="F9498" s="1">
        <v>50</v>
      </c>
      <c r="G9498" s="1">
        <v>936</v>
      </c>
      <c r="H9498" s="1">
        <v>46800</v>
      </c>
      <c r="I9498" s="1">
        <v>0</v>
      </c>
      <c r="J9498" s="1">
        <v>50</v>
      </c>
      <c r="K9498" s="1">
        <v>0</v>
      </c>
    </row>
    <row r="9499" spans="1:11" x14ac:dyDescent="0.2">
      <c r="A9499" s="1" t="s">
        <v>98</v>
      </c>
      <c r="B9499" s="1" t="s">
        <v>4089</v>
      </c>
      <c r="C9499" s="1" t="str">
        <f>"66298941264145"</f>
        <v>66298941264145</v>
      </c>
      <c r="D9499" s="1" t="str">
        <f>"CP013"</f>
        <v>CP013</v>
      </c>
      <c r="E9499" s="1" t="s">
        <v>4566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</row>
    <row r="9500" spans="1:11" x14ac:dyDescent="0.2">
      <c r="A9500" s="1" t="s">
        <v>4090</v>
      </c>
      <c r="B9500" s="1" t="s">
        <v>4091</v>
      </c>
      <c r="C9500" s="1" t="str">
        <f>"CMST2201-0331"</f>
        <v>CMST2201-0331</v>
      </c>
      <c r="D9500" s="1" t="str">
        <f>"CMST2201-0331"</f>
        <v>CMST2201-0331</v>
      </c>
      <c r="E9500" s="1" t="s">
        <v>4566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</row>
    <row r="9501" spans="1:11" x14ac:dyDescent="0.2">
      <c r="A9501" s="1" t="s">
        <v>4092</v>
      </c>
      <c r="B9501" s="1" t="s">
        <v>4093</v>
      </c>
      <c r="C9501" s="1" t="str">
        <f>"NB007"</f>
        <v>NB007</v>
      </c>
      <c r="D9501" s="1" t="str">
        <f>"NB007"</f>
        <v>NB007</v>
      </c>
      <c r="E9501" s="1" t="s">
        <v>4566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</row>
    <row r="9502" spans="1:11" ht="30" x14ac:dyDescent="0.2">
      <c r="A9502" s="1" t="s">
        <v>98</v>
      </c>
      <c r="B9502" s="1" t="s">
        <v>4094</v>
      </c>
      <c r="C9502" s="1" t="str">
        <f>"66298941302631"</f>
        <v>66298941302631</v>
      </c>
      <c r="D9502" s="1" t="str">
        <f>"NB009"</f>
        <v>NB009</v>
      </c>
      <c r="E9502" s="1" t="s">
        <v>4566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</row>
    <row r="9503" spans="1:11" x14ac:dyDescent="0.2">
      <c r="A9503" s="1" t="s">
        <v>98</v>
      </c>
      <c r="B9503" s="1" t="s">
        <v>4095</v>
      </c>
      <c r="C9503" s="1" t="str">
        <f>"66298941348939"</f>
        <v>66298941348939</v>
      </c>
      <c r="D9503" s="1" t="str">
        <f>"84905"</f>
        <v>84905</v>
      </c>
      <c r="E9503" s="1" t="s">
        <v>4566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</row>
    <row r="9504" spans="1:11" x14ac:dyDescent="0.2">
      <c r="A9504" s="1" t="s">
        <v>98</v>
      </c>
      <c r="B9504" s="1" t="s">
        <v>4096</v>
      </c>
      <c r="C9504" s="1" t="str">
        <f>"66298941399997"</f>
        <v>66298941399997</v>
      </c>
      <c r="D9504" s="1" t="str">
        <f>"NB001"</f>
        <v>NB001</v>
      </c>
      <c r="E9504" s="1" t="s">
        <v>4566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</row>
    <row r="9505" spans="1:11" x14ac:dyDescent="0.2">
      <c r="A9505" s="1" t="s">
        <v>4092</v>
      </c>
      <c r="B9505" s="1" t="s">
        <v>4096</v>
      </c>
      <c r="C9505" s="1" t="str">
        <f>"NB006"</f>
        <v>NB006</v>
      </c>
      <c r="D9505" s="1" t="str">
        <f>"NB006"</f>
        <v>NB006</v>
      </c>
      <c r="E9505" s="1" t="s">
        <v>4566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</row>
    <row r="9506" spans="1:11" x14ac:dyDescent="0.2">
      <c r="A9506" s="1" t="s">
        <v>98</v>
      </c>
      <c r="B9506" s="1" t="s">
        <v>4097</v>
      </c>
      <c r="C9506" s="1" t="str">
        <f>"66298941439805"</f>
        <v>66298941439805</v>
      </c>
      <c r="D9506" s="1" t="str">
        <f>"23802-KAE-870BR"</f>
        <v>23802-KAE-870BR</v>
      </c>
      <c r="E9506" s="1" t="s">
        <v>4566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</row>
    <row r="9507" spans="1:11" x14ac:dyDescent="0.2">
      <c r="A9507" s="1" t="s">
        <v>98</v>
      </c>
      <c r="B9507" s="1" t="s">
        <v>4098</v>
      </c>
      <c r="C9507" s="1" t="str">
        <f>"66298941482242"</f>
        <v>66298941482242</v>
      </c>
      <c r="D9507" s="1" t="str">
        <f>"NB002"</f>
        <v>NB002</v>
      </c>
      <c r="E9507" s="1" t="s">
        <v>4566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</row>
    <row r="9508" spans="1:11" x14ac:dyDescent="0.2">
      <c r="A9508" s="1" t="s">
        <v>4092</v>
      </c>
      <c r="B9508" s="1" t="s">
        <v>4099</v>
      </c>
      <c r="C9508" s="1" t="str">
        <f>"BR470.16"</f>
        <v>BR470.16</v>
      </c>
      <c r="D9508" s="1" t="str">
        <f>"BR470.16"</f>
        <v>BR470.16</v>
      </c>
      <c r="E9508" s="1" t="s">
        <v>4566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</row>
    <row r="9509" spans="1:11" x14ac:dyDescent="0.2">
      <c r="A9509" s="1" t="s">
        <v>98</v>
      </c>
      <c r="B9509" s="1" t="s">
        <v>4100</v>
      </c>
      <c r="C9509" s="1" t="str">
        <f>"66298941523654"</f>
        <v>66298941523654</v>
      </c>
      <c r="D9509" s="1" t="str">
        <f>"NB008"</f>
        <v>NB008</v>
      </c>
      <c r="E9509" s="1" t="s">
        <v>4566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</row>
    <row r="9510" spans="1:11" x14ac:dyDescent="0.2">
      <c r="A9510" s="1" t="s">
        <v>4092</v>
      </c>
      <c r="B9510" s="1" t="s">
        <v>4101</v>
      </c>
      <c r="C9510" s="1" t="str">
        <f>"49CC75"</f>
        <v>49CC75</v>
      </c>
      <c r="D9510" s="1" t="str">
        <f>"49CC75"</f>
        <v>49CC75</v>
      </c>
      <c r="E9510" s="1" t="s">
        <v>4566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</row>
    <row r="9511" spans="1:11" x14ac:dyDescent="0.2">
      <c r="A9511" s="1" t="s">
        <v>98</v>
      </c>
      <c r="B9511" s="1" t="s">
        <v>4102</v>
      </c>
      <c r="C9511" s="1" t="str">
        <f>"66298941566597"</f>
        <v>66298941566597</v>
      </c>
      <c r="D9511" s="1" t="str">
        <f>"83028"</f>
        <v>83028</v>
      </c>
      <c r="E9511" s="1" t="s">
        <v>4566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</row>
    <row r="9512" spans="1:11" x14ac:dyDescent="0.2">
      <c r="A9512" s="1" t="s">
        <v>98</v>
      </c>
      <c r="B9512" s="1" t="s">
        <v>4103</v>
      </c>
      <c r="C9512" s="1" t="str">
        <f>"66298941608595"</f>
        <v>66298941608595</v>
      </c>
      <c r="D9512" s="1" t="str">
        <f>"S-500"</f>
        <v>S-500</v>
      </c>
      <c r="E9512" s="1" t="s">
        <v>4566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</row>
    <row r="9513" spans="1:11" x14ac:dyDescent="0.2">
      <c r="A9513" s="1" t="s">
        <v>3887</v>
      </c>
      <c r="B9513" s="1" t="s">
        <v>4104</v>
      </c>
      <c r="C9513" s="1" t="str">
        <f>"38BE211900JP"</f>
        <v>38BE211900JP</v>
      </c>
      <c r="D9513" s="1" t="str">
        <f>"38BE211900JP"</f>
        <v>38BE211900JP</v>
      </c>
      <c r="E9513" s="1" t="s">
        <v>4566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</row>
    <row r="9514" spans="1:11" x14ac:dyDescent="0.2">
      <c r="A9514" s="1" t="s">
        <v>98</v>
      </c>
      <c r="B9514" s="1" t="s">
        <v>4105</v>
      </c>
      <c r="C9514" s="1" t="str">
        <f>"66298941656387"</f>
        <v>66298941656387</v>
      </c>
      <c r="D9514" s="1" t="str">
        <f>"5H0-12119-00JP"</f>
        <v>5H0-12119-00JP</v>
      </c>
      <c r="E9514" s="1" t="s">
        <v>4566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</row>
    <row r="9515" spans="1:11" x14ac:dyDescent="0.2">
      <c r="A9515" s="1" t="s">
        <v>98</v>
      </c>
      <c r="B9515" s="1" t="s">
        <v>4106</v>
      </c>
      <c r="C9515" s="1" t="str">
        <f>"66298941700772"</f>
        <v>66298941700772</v>
      </c>
      <c r="D9515" s="1" t="str">
        <f>"12208-413-003JP"</f>
        <v>12208-413-003JP</v>
      </c>
      <c r="E9515" s="1" t="s">
        <v>4566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</row>
    <row r="9516" spans="1:11" x14ac:dyDescent="0.2">
      <c r="A9516" s="1" t="s">
        <v>4107</v>
      </c>
      <c r="B9516" s="1" t="s">
        <v>4106</v>
      </c>
      <c r="C9516" s="1" t="str">
        <f>"CR008-A"</f>
        <v>CR008-A</v>
      </c>
      <c r="D9516" s="1" t="str">
        <f>"CR008-A"</f>
        <v>CR008-A</v>
      </c>
      <c r="E9516" s="1" t="s">
        <v>4566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</row>
    <row r="9517" spans="1:11" x14ac:dyDescent="0.2">
      <c r="A9517" s="1" t="s">
        <v>98</v>
      </c>
      <c r="B9517" s="1" t="s">
        <v>4108</v>
      </c>
      <c r="C9517" s="1" t="str">
        <f>"66298941741496"</f>
        <v>66298941741496</v>
      </c>
      <c r="D9517" s="1" t="str">
        <f>"5ER-E2119-00JP"</f>
        <v>5ER-E2119-00JP</v>
      </c>
      <c r="E9517" s="1" t="s">
        <v>4566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</row>
    <row r="9518" spans="1:11" x14ac:dyDescent="0.2">
      <c r="A9518" s="1" t="s">
        <v>98</v>
      </c>
      <c r="B9518" s="1" t="s">
        <v>4109</v>
      </c>
      <c r="C9518" s="1" t="str">
        <f>"66298941833931"</f>
        <v>66298941833931</v>
      </c>
      <c r="D9518" s="1" t="str">
        <f>"09289-05015JP"</f>
        <v>09289-05015JP</v>
      </c>
      <c r="E9518" s="1" t="s">
        <v>4566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</row>
    <row r="9519" spans="1:11" x14ac:dyDescent="0.2">
      <c r="A9519" s="1" t="s">
        <v>3887</v>
      </c>
      <c r="B9519" s="1" t="s">
        <v>4110</v>
      </c>
      <c r="C9519" s="1" t="str">
        <f>"66298941785269"</f>
        <v>66298941785269</v>
      </c>
      <c r="D9519" s="1" t="str">
        <f>"09289-05011JP"</f>
        <v>09289-05011JP</v>
      </c>
      <c r="E9519" s="1" t="s">
        <v>4566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</row>
    <row r="9520" spans="1:11" x14ac:dyDescent="0.2">
      <c r="A9520" s="1" t="s">
        <v>98</v>
      </c>
      <c r="B9520" s="1" t="s">
        <v>4111</v>
      </c>
      <c r="C9520" s="1" t="str">
        <f>"66298941873932"</f>
        <v>66298941873932</v>
      </c>
      <c r="D9520" s="1" t="str">
        <f>"39-2017-19"</f>
        <v>39-2017-19</v>
      </c>
      <c r="E9520" s="1" t="s">
        <v>4566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</row>
    <row r="9521" spans="1:11" x14ac:dyDescent="0.2">
      <c r="A9521" s="1" t="s">
        <v>98</v>
      </c>
      <c r="B9521" s="1" t="s">
        <v>4112</v>
      </c>
      <c r="C9521" s="1" t="str">
        <f>"66298941915655"</f>
        <v>66298941915655</v>
      </c>
      <c r="D9521" s="1" t="str">
        <f>"33M-12119-00GY"</f>
        <v>33M-12119-00GY</v>
      </c>
      <c r="E9521" s="1" t="s">
        <v>4566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</row>
    <row r="9522" spans="1:11" x14ac:dyDescent="0.2">
      <c r="A9522" s="1" t="s">
        <v>98</v>
      </c>
      <c r="B9522" s="1" t="s">
        <v>4113</v>
      </c>
      <c r="C9522" s="1" t="str">
        <f>"66298941963736"</f>
        <v>66298941963736</v>
      </c>
      <c r="D9522" s="1" t="str">
        <f>"12209-GB4-681JP"</f>
        <v>12209-GB4-681JP</v>
      </c>
      <c r="E9522" s="1" t="s">
        <v>4566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</row>
    <row r="9523" spans="1:11" x14ac:dyDescent="0.2">
      <c r="A9523" s="1" t="s">
        <v>98</v>
      </c>
      <c r="B9523" s="1" t="s">
        <v>4114</v>
      </c>
      <c r="C9523" s="1" t="str">
        <f>"66298942014364"</f>
        <v>66298942014364</v>
      </c>
      <c r="D9523" s="1" t="str">
        <f>"12209-MN1-671JP"</f>
        <v>12209-MN1-671JP</v>
      </c>
      <c r="E9523" s="1" t="s">
        <v>4566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</row>
    <row r="9524" spans="1:11" ht="30" x14ac:dyDescent="0.2">
      <c r="A9524" s="1" t="s">
        <v>98</v>
      </c>
      <c r="B9524" s="1" t="s">
        <v>4115</v>
      </c>
      <c r="C9524" s="1" t="str">
        <f>"66298942056942"</f>
        <v>66298942056942</v>
      </c>
      <c r="D9524" s="1" t="str">
        <f>"4LS-E2119-00JP"</f>
        <v>4LS-E2119-00JP</v>
      </c>
      <c r="E9524" s="1" t="s">
        <v>4566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</row>
    <row r="9525" spans="1:11" x14ac:dyDescent="0.2">
      <c r="A9525" s="1" t="s">
        <v>4107</v>
      </c>
      <c r="B9525" s="1" t="s">
        <v>4116</v>
      </c>
      <c r="C9525" s="1" t="str">
        <f>"44BBN-J"</f>
        <v>44BBN-J</v>
      </c>
      <c r="D9525" s="1" t="str">
        <f>"44BBN-J"</f>
        <v>44BBN-J</v>
      </c>
      <c r="E9525" s="1" t="s">
        <v>4566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</row>
    <row r="9526" spans="1:11" x14ac:dyDescent="0.2">
      <c r="A9526" s="1" t="s">
        <v>98</v>
      </c>
      <c r="B9526" s="1" t="s">
        <v>4117</v>
      </c>
      <c r="C9526" s="1" t="str">
        <f>"66298942100278"</f>
        <v>66298942100278</v>
      </c>
      <c r="D9526" s="1" t="str">
        <f>"LX180-F7-9"</f>
        <v>LX180-F7-9</v>
      </c>
      <c r="E9526" s="1" t="s">
        <v>4566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</row>
    <row r="9527" spans="1:11" x14ac:dyDescent="0.2">
      <c r="A9527" s="1" t="s">
        <v>98</v>
      </c>
      <c r="B9527" s="1" t="s">
        <v>4118</v>
      </c>
      <c r="C9527" s="1" t="str">
        <f>"66298942145949"</f>
        <v>66298942145949</v>
      </c>
      <c r="D9527" s="1" t="str">
        <f>"CD002"</f>
        <v>CD002</v>
      </c>
      <c r="E9527" s="1" t="s">
        <v>4566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</row>
    <row r="9528" spans="1:11" x14ac:dyDescent="0.2">
      <c r="A9528" s="1" t="s">
        <v>98</v>
      </c>
      <c r="B9528" s="1" t="s">
        <v>4119</v>
      </c>
      <c r="C9528" s="1" t="str">
        <f>"66298942185031"</f>
        <v>66298942185031</v>
      </c>
      <c r="D9528" s="1" t="str">
        <f>"83034"</f>
        <v>83034</v>
      </c>
      <c r="E9528" s="1" t="s">
        <v>4566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</row>
    <row r="9529" spans="1:11" x14ac:dyDescent="0.2">
      <c r="A9529" s="1" t="s">
        <v>98</v>
      </c>
      <c r="B9529" s="1" t="s">
        <v>4120</v>
      </c>
      <c r="C9529" s="1" t="str">
        <f>"66298942224288"</f>
        <v>66298942224288</v>
      </c>
      <c r="D9529" s="1" t="str">
        <f>"84912"</f>
        <v>84912</v>
      </c>
      <c r="E9529" s="1" t="s">
        <v>4566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</row>
    <row r="9530" spans="1:11" x14ac:dyDescent="0.2">
      <c r="A9530" s="1" t="s">
        <v>15</v>
      </c>
      <c r="B9530" s="1" t="s">
        <v>4121</v>
      </c>
      <c r="C9530" s="1" t="str">
        <f>"10503"</f>
        <v>10503</v>
      </c>
      <c r="D9530" s="1" t="str">
        <f>"10503"</f>
        <v>10503</v>
      </c>
      <c r="E9530" s="1" t="s">
        <v>4566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</row>
    <row r="9531" spans="1:11" x14ac:dyDescent="0.2">
      <c r="A9531" s="1" t="s">
        <v>15</v>
      </c>
      <c r="B9531" s="1" t="s">
        <v>4122</v>
      </c>
      <c r="C9531" s="1" t="str">
        <f>"66298942265594"</f>
        <v>66298942265594</v>
      </c>
      <c r="D9531" s="1" t="str">
        <f>"H177"</f>
        <v>H177</v>
      </c>
      <c r="E9531" s="1" t="s">
        <v>4566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</row>
    <row r="9532" spans="1:11" x14ac:dyDescent="0.2">
      <c r="A9532" s="1" t="s">
        <v>15</v>
      </c>
      <c r="B9532" s="1" t="s">
        <v>4123</v>
      </c>
      <c r="C9532" s="1" t="str">
        <f>"999"</f>
        <v>999</v>
      </c>
      <c r="D9532" s="1" t="str">
        <f>"999"</f>
        <v>999</v>
      </c>
      <c r="E9532" s="1" t="s">
        <v>4566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</row>
    <row r="9533" spans="1:11" x14ac:dyDescent="0.2">
      <c r="A9533" s="1" t="s">
        <v>15</v>
      </c>
      <c r="B9533" s="1" t="s">
        <v>4124</v>
      </c>
      <c r="C9533" s="1" t="str">
        <f>"11738"</f>
        <v>11738</v>
      </c>
      <c r="D9533" s="1" t="str">
        <f>"11738"</f>
        <v>11738</v>
      </c>
      <c r="E9533" s="1" t="s">
        <v>4566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1</v>
      </c>
    </row>
    <row r="9534" spans="1:11" x14ac:dyDescent="0.2">
      <c r="A9534" s="1" t="s">
        <v>15</v>
      </c>
      <c r="B9534" s="1" t="s">
        <v>4125</v>
      </c>
      <c r="C9534" s="1" t="str">
        <f>"11739"</f>
        <v>11739</v>
      </c>
      <c r="D9534" s="1" t="str">
        <f>"11739"</f>
        <v>11739</v>
      </c>
      <c r="E9534" s="1" t="s">
        <v>4566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1</v>
      </c>
    </row>
    <row r="9535" spans="1:11" x14ac:dyDescent="0.2">
      <c r="A9535" s="1" t="s">
        <v>98</v>
      </c>
      <c r="B9535" s="1" t="s">
        <v>4126</v>
      </c>
      <c r="C9535" s="1" t="str">
        <f>"66298942304165"</f>
        <v>66298942304165</v>
      </c>
      <c r="D9535" s="1" t="str">
        <f>"569"</f>
        <v>569</v>
      </c>
      <c r="E9535" s="1" t="s">
        <v>4566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</row>
    <row r="9536" spans="1:11" x14ac:dyDescent="0.2">
      <c r="A9536" s="1" t="s">
        <v>98</v>
      </c>
      <c r="B9536" s="1" t="s">
        <v>4127</v>
      </c>
      <c r="C9536" s="1" t="str">
        <f>"66298942344793"</f>
        <v>66298942344793</v>
      </c>
      <c r="D9536" s="1" t="str">
        <f>"QB007"</f>
        <v>QB007</v>
      </c>
      <c r="E9536" s="1" t="s">
        <v>4566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</row>
    <row r="9537" spans="1:11" x14ac:dyDescent="0.2">
      <c r="A9537" s="1" t="s">
        <v>98</v>
      </c>
      <c r="B9537" s="1" t="s">
        <v>4128</v>
      </c>
      <c r="C9537" s="1" t="str">
        <f>"66298942385060"</f>
        <v>66298942385060</v>
      </c>
      <c r="D9537" s="1" t="str">
        <f>"R035-B"</f>
        <v>R035-B</v>
      </c>
      <c r="E9537" s="1" t="s">
        <v>4566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</row>
    <row r="9538" spans="1:11" x14ac:dyDescent="0.2">
      <c r="A9538" s="1" t="s">
        <v>204</v>
      </c>
      <c r="B9538" s="1" t="s">
        <v>4129</v>
      </c>
      <c r="C9538" s="1" t="str">
        <f>"66298942428893"</f>
        <v>66298942428893</v>
      </c>
      <c r="D9538" s="1" t="str">
        <f>"400974"</f>
        <v>400974</v>
      </c>
      <c r="E9538" s="1" t="s">
        <v>4566</v>
      </c>
      <c r="F9538" s="1">
        <v>24</v>
      </c>
      <c r="G9538" s="1">
        <v>12899</v>
      </c>
      <c r="H9538" s="1">
        <v>309576</v>
      </c>
      <c r="I9538" s="1">
        <v>0</v>
      </c>
      <c r="J9538" s="1">
        <v>24</v>
      </c>
      <c r="K9538" s="1">
        <v>0</v>
      </c>
    </row>
    <row r="9539" spans="1:11" x14ac:dyDescent="0.2">
      <c r="A9539" s="1" t="s">
        <v>204</v>
      </c>
      <c r="B9539" s="1" t="s">
        <v>4130</v>
      </c>
      <c r="C9539" s="1" t="str">
        <f>"66298942536211"</f>
        <v>66298942536211</v>
      </c>
      <c r="D9539" s="1" t="str">
        <f>"400975"</f>
        <v>400975</v>
      </c>
      <c r="E9539" s="1" t="s">
        <v>4566</v>
      </c>
      <c r="F9539" s="1">
        <v>22</v>
      </c>
      <c r="G9539" s="1">
        <v>2934</v>
      </c>
      <c r="H9539" s="1">
        <v>64548</v>
      </c>
      <c r="I9539" s="1">
        <v>0</v>
      </c>
      <c r="J9539" s="1">
        <v>22</v>
      </c>
      <c r="K9539" s="1">
        <v>0</v>
      </c>
    </row>
    <row r="9540" spans="1:11" x14ac:dyDescent="0.2">
      <c r="A9540" s="1" t="s">
        <v>204</v>
      </c>
      <c r="B9540" s="1" t="s">
        <v>4131</v>
      </c>
      <c r="C9540" s="1" t="str">
        <f>"66298942473027"</f>
        <v>66298942473027</v>
      </c>
      <c r="D9540" s="1" t="str">
        <f>"PP-30105-999"</f>
        <v>PP-30105-999</v>
      </c>
      <c r="E9540" s="1" t="s">
        <v>4566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</row>
    <row r="9541" spans="1:11" x14ac:dyDescent="0.2">
      <c r="A9541" s="1" t="s">
        <v>204</v>
      </c>
      <c r="B9541" s="1" t="s">
        <v>4131</v>
      </c>
      <c r="C9541" s="1" t="str">
        <f>"66298942478951"</f>
        <v>66298942478951</v>
      </c>
      <c r="D9541" s="1" t="str">
        <f>"M112"</f>
        <v>M112</v>
      </c>
      <c r="E9541" s="1" t="s">
        <v>4566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</row>
    <row r="9542" spans="1:11" x14ac:dyDescent="0.2">
      <c r="A9542" s="1" t="s">
        <v>204</v>
      </c>
      <c r="B9542" s="1" t="s">
        <v>4132</v>
      </c>
      <c r="C9542" s="1" t="str">
        <f>"66298942578586"</f>
        <v>66298942578586</v>
      </c>
      <c r="D9542" s="1" t="str">
        <f>"400976"</f>
        <v>400976</v>
      </c>
      <c r="E9542" s="1" t="s">
        <v>4566</v>
      </c>
      <c r="F9542" s="1">
        <v>22</v>
      </c>
      <c r="G9542" s="1">
        <v>3647</v>
      </c>
      <c r="H9542" s="1">
        <v>80234</v>
      </c>
      <c r="I9542" s="1">
        <v>0</v>
      </c>
      <c r="J9542" s="1">
        <v>22</v>
      </c>
      <c r="K9542" s="1">
        <v>0</v>
      </c>
    </row>
    <row r="9543" spans="1:11" x14ac:dyDescent="0.2">
      <c r="A9543" s="1" t="s">
        <v>2291</v>
      </c>
      <c r="B9543" s="1" t="s">
        <v>4133</v>
      </c>
      <c r="C9543" s="1" t="str">
        <f>"66298942618895"</f>
        <v>66298942618895</v>
      </c>
      <c r="D9543" s="1" t="str">
        <f>"R019"</f>
        <v>R019</v>
      </c>
      <c r="E9543" s="1" t="s">
        <v>4566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</row>
    <row r="9544" spans="1:11" x14ac:dyDescent="0.2">
      <c r="A9544" s="1" t="s">
        <v>18</v>
      </c>
      <c r="B9544" s="1" t="s">
        <v>4134</v>
      </c>
      <c r="C9544" s="1" t="str">
        <f>"2513"</f>
        <v>2513</v>
      </c>
      <c r="D9544" s="1" t="str">
        <f>"2513"</f>
        <v>2513</v>
      </c>
      <c r="E9544" s="1" t="s">
        <v>4566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</row>
    <row r="9545" spans="1:11" x14ac:dyDescent="0.2">
      <c r="A9545" s="1" t="s">
        <v>3441</v>
      </c>
      <c r="B9545" s="1" t="s">
        <v>4135</v>
      </c>
      <c r="C9545" s="1" t="str">
        <f>"66298942660722"</f>
        <v>66298942660722</v>
      </c>
      <c r="D9545" s="1" t="str">
        <f>"80909"</f>
        <v>80909</v>
      </c>
      <c r="E9545" s="1" t="s">
        <v>4566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</row>
    <row r="9546" spans="1:11" x14ac:dyDescent="0.2">
      <c r="A9546" s="1" t="s">
        <v>1413</v>
      </c>
      <c r="B9546" s="1" t="s">
        <v>4136</v>
      </c>
      <c r="C9546" s="1" t="str">
        <f>"B97F1640000"</f>
        <v>B97F1640000</v>
      </c>
      <c r="D9546" s="1" t="str">
        <f>"B97F1640000"</f>
        <v>B97F1640000</v>
      </c>
      <c r="E9546" s="1" t="s">
        <v>4566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</row>
    <row r="9547" spans="1:11" x14ac:dyDescent="0.2">
      <c r="A9547" s="1" t="s">
        <v>98</v>
      </c>
      <c r="B9547" s="1" t="s">
        <v>4137</v>
      </c>
      <c r="C9547" s="1" t="str">
        <f>"66298942707037"</f>
        <v>66298942707037</v>
      </c>
      <c r="D9547" s="1" t="str">
        <f>"Y295"</f>
        <v>Y295</v>
      </c>
      <c r="E9547" s="1" t="s">
        <v>4566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</row>
    <row r="9548" spans="1:11" x14ac:dyDescent="0.2">
      <c r="A9548" s="1" t="s">
        <v>3441</v>
      </c>
      <c r="B9548" s="1" t="s">
        <v>4138</v>
      </c>
      <c r="C9548" s="1" t="str">
        <f>"66298942747220"</f>
        <v>66298942747220</v>
      </c>
      <c r="D9548" s="1" t="str">
        <f>"84898"</f>
        <v>84898</v>
      </c>
      <c r="E9548" s="1" t="s">
        <v>4566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</row>
    <row r="9549" spans="1:11" x14ac:dyDescent="0.2">
      <c r="A9549" s="1" t="s">
        <v>15</v>
      </c>
      <c r="B9549" s="1" t="s">
        <v>4139</v>
      </c>
      <c r="C9549" s="1" t="str">
        <f>"66298942788554"</f>
        <v>66298942788554</v>
      </c>
      <c r="D9549" s="1" t="str">
        <f>"7836"</f>
        <v>7836</v>
      </c>
      <c r="E9549" s="1" t="s">
        <v>4566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</row>
    <row r="9550" spans="1:11" x14ac:dyDescent="0.2">
      <c r="A9550" s="1" t="s">
        <v>15</v>
      </c>
      <c r="B9550" s="1" t="s">
        <v>4140</v>
      </c>
      <c r="C9550" s="1" t="str">
        <f>"66298942834150"</f>
        <v>66298942834150</v>
      </c>
      <c r="D9550" s="1" t="str">
        <f>"1612"</f>
        <v>1612</v>
      </c>
      <c r="E9550" s="1" t="s">
        <v>4566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</row>
    <row r="9551" spans="1:11" x14ac:dyDescent="0.2">
      <c r="A9551" s="1" t="s">
        <v>15</v>
      </c>
      <c r="B9551" s="1" t="s">
        <v>4141</v>
      </c>
      <c r="C9551" s="1" t="str">
        <f>"11630"</f>
        <v>11630</v>
      </c>
      <c r="D9551" s="1" t="str">
        <f>"11630"</f>
        <v>11630</v>
      </c>
      <c r="E9551" s="1" t="s">
        <v>4566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</row>
    <row r="9552" spans="1:11" x14ac:dyDescent="0.2">
      <c r="A9552" s="1" t="s">
        <v>15</v>
      </c>
      <c r="B9552" s="1" t="s">
        <v>4142</v>
      </c>
      <c r="C9552" s="1" t="str">
        <f>"800649"</f>
        <v>800649</v>
      </c>
      <c r="D9552" s="1" t="str">
        <f>"800649"</f>
        <v>800649</v>
      </c>
      <c r="E9552" s="1" t="s">
        <v>4566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</row>
    <row r="9553" spans="1:11" x14ac:dyDescent="0.2">
      <c r="A9553" s="1" t="s">
        <v>15</v>
      </c>
      <c r="B9553" s="1" t="s">
        <v>4143</v>
      </c>
      <c r="C9553" s="1" t="str">
        <f>"66298942873927"</f>
        <v>66298942873927</v>
      </c>
      <c r="D9553" s="1" t="str">
        <f>"1602"</f>
        <v>1602</v>
      </c>
      <c r="E9553" s="1" t="s">
        <v>4566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</row>
    <row r="9554" spans="1:11" x14ac:dyDescent="0.2">
      <c r="A9554" s="1" t="s">
        <v>15</v>
      </c>
      <c r="B9554" s="1" t="s">
        <v>4144</v>
      </c>
      <c r="C9554" s="1" t="str">
        <f>"RPP9007ZPC"</f>
        <v>RPP9007ZPC</v>
      </c>
      <c r="D9554" s="1" t="str">
        <f>"RPP9007ZPC"</f>
        <v>RPP9007ZPC</v>
      </c>
      <c r="E9554" s="1" t="s">
        <v>4566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</row>
    <row r="9555" spans="1:11" x14ac:dyDescent="0.2">
      <c r="A9555" s="1" t="s">
        <v>15</v>
      </c>
      <c r="B9555" s="1" t="s">
        <v>4145</v>
      </c>
      <c r="C9555" s="1" t="str">
        <f>"66298942914550"</f>
        <v>66298942914550</v>
      </c>
      <c r="D9555" s="1" t="str">
        <f>"716C98"</f>
        <v>716C98</v>
      </c>
      <c r="E9555" s="1" t="s">
        <v>4566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</row>
    <row r="9556" spans="1:11" x14ac:dyDescent="0.2">
      <c r="A9556" s="1" t="s">
        <v>15</v>
      </c>
      <c r="B9556" s="1" t="s">
        <v>4146</v>
      </c>
      <c r="C9556" s="1" t="str">
        <f>"12147"</f>
        <v>12147</v>
      </c>
      <c r="D9556" s="1" t="str">
        <f>"12147"</f>
        <v>12147</v>
      </c>
      <c r="E9556" s="1" t="s">
        <v>4566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</row>
    <row r="9557" spans="1:11" x14ac:dyDescent="0.2">
      <c r="A9557" s="1" t="s">
        <v>15</v>
      </c>
      <c r="B9557" s="1" t="s">
        <v>4147</v>
      </c>
      <c r="C9557" s="1" t="str">
        <f>"H047"</f>
        <v>H047</v>
      </c>
      <c r="D9557" s="1" t="str">
        <f>"H047"</f>
        <v>H047</v>
      </c>
      <c r="E9557" s="1" t="s">
        <v>4566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</row>
    <row r="9558" spans="1:11" x14ac:dyDescent="0.2">
      <c r="A9558" s="1" t="s">
        <v>15</v>
      </c>
      <c r="B9558" s="1" t="s">
        <v>4148</v>
      </c>
      <c r="C9558" s="1" t="str">
        <f>"66298942958238"</f>
        <v>66298942958238</v>
      </c>
      <c r="D9558" s="1" t="str">
        <f>"702003"</f>
        <v>702003</v>
      </c>
      <c r="E9558" s="1" t="s">
        <v>4566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</row>
    <row r="9559" spans="1:11" x14ac:dyDescent="0.2">
      <c r="A9559" s="1" t="s">
        <v>15</v>
      </c>
      <c r="B9559" s="1" t="s">
        <v>4149</v>
      </c>
      <c r="C9559" s="1" t="str">
        <f>"66298942997297"</f>
        <v>66298942997297</v>
      </c>
      <c r="D9559" s="1" t="str">
        <f>"3394"</f>
        <v>3394</v>
      </c>
      <c r="E9559" s="1" t="s">
        <v>4566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</row>
    <row r="9560" spans="1:11" x14ac:dyDescent="0.2">
      <c r="A9560" s="1" t="s">
        <v>15</v>
      </c>
      <c r="B9560" s="1" t="s">
        <v>4150</v>
      </c>
      <c r="C9560" s="1" t="str">
        <f>"11609"</f>
        <v>11609</v>
      </c>
      <c r="D9560" s="1" t="str">
        <f>"11609"</f>
        <v>11609</v>
      </c>
      <c r="E9560" s="1" t="s">
        <v>4566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</row>
    <row r="9561" spans="1:11" x14ac:dyDescent="0.2">
      <c r="A9561" s="1" t="s">
        <v>15</v>
      </c>
      <c r="B9561" s="1" t="s">
        <v>4151</v>
      </c>
      <c r="C9561" s="1" t="str">
        <f>"11962"</f>
        <v>11962</v>
      </c>
      <c r="D9561" s="1" t="str">
        <f>"11962"</f>
        <v>11962</v>
      </c>
      <c r="E9561" s="1" t="s">
        <v>4566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1</v>
      </c>
    </row>
    <row r="9562" spans="1:11" x14ac:dyDescent="0.2">
      <c r="A9562" s="1" t="s">
        <v>15</v>
      </c>
      <c r="B9562" s="1" t="s">
        <v>4152</v>
      </c>
      <c r="C9562" s="1" t="str">
        <f>"66298943038571"</f>
        <v>66298943038571</v>
      </c>
      <c r="D9562" s="1" t="str">
        <f>"800657"</f>
        <v>800657</v>
      </c>
      <c r="E9562" s="1" t="s">
        <v>4566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</row>
    <row r="9563" spans="1:11" x14ac:dyDescent="0.2">
      <c r="A9563" s="1" t="s">
        <v>15</v>
      </c>
      <c r="B9563" s="1" t="s">
        <v>4153</v>
      </c>
      <c r="C9563" s="1" t="str">
        <f>"66298943078471"</f>
        <v>66298943078471</v>
      </c>
      <c r="D9563" s="1" t="str">
        <f>"1579"</f>
        <v>1579</v>
      </c>
      <c r="E9563" s="1" t="s">
        <v>4566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</row>
    <row r="9564" spans="1:11" x14ac:dyDescent="0.2">
      <c r="A9564" s="1" t="s">
        <v>15</v>
      </c>
      <c r="B9564" s="1" t="s">
        <v>4154</v>
      </c>
      <c r="C9564" s="1" t="str">
        <f>"11627"</f>
        <v>11627</v>
      </c>
      <c r="D9564" s="1" t="str">
        <f>"11627"</f>
        <v>11627</v>
      </c>
      <c r="E9564" s="1" t="s">
        <v>4566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</row>
    <row r="9565" spans="1:11" x14ac:dyDescent="0.2">
      <c r="A9565" s="1" t="s">
        <v>15</v>
      </c>
      <c r="B9565" s="1" t="s">
        <v>4155</v>
      </c>
      <c r="C9565" s="1" t="str">
        <f>"18524"</f>
        <v>18524</v>
      </c>
      <c r="D9565" s="1" t="str">
        <f>"18524"</f>
        <v>18524</v>
      </c>
      <c r="E9565" s="1" t="s">
        <v>4566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</row>
    <row r="9566" spans="1:11" x14ac:dyDescent="0.2">
      <c r="A9566" s="1" t="s">
        <v>98</v>
      </c>
      <c r="B9566" s="1" t="s">
        <v>4156</v>
      </c>
      <c r="C9566" s="1" t="str">
        <f>"66298943120254"</f>
        <v>66298943120254</v>
      </c>
      <c r="D9566" s="1" t="str">
        <f>"81771"</f>
        <v>81771</v>
      </c>
      <c r="E9566" s="1" t="s">
        <v>4566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</row>
    <row r="9567" spans="1:11" x14ac:dyDescent="0.2">
      <c r="A9567" s="1" t="s">
        <v>98</v>
      </c>
      <c r="B9567" s="1" t="s">
        <v>4157</v>
      </c>
      <c r="C9567" s="1" t="str">
        <f>"66298943172358"</f>
        <v>66298943172358</v>
      </c>
      <c r="D9567" s="1" t="str">
        <f>"QH002"</f>
        <v>QH002</v>
      </c>
      <c r="E9567" s="1" t="s">
        <v>4566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</row>
    <row r="9568" spans="1:11" x14ac:dyDescent="0.2">
      <c r="A9568" s="1" t="s">
        <v>98</v>
      </c>
      <c r="B9568" s="1" t="s">
        <v>4158</v>
      </c>
      <c r="C9568" s="1" t="str">
        <f>"66298943228023"</f>
        <v>66298943228023</v>
      </c>
      <c r="D9568" s="1" t="str">
        <f>"2FB-H2917-00"</f>
        <v>2FB-H2917-00</v>
      </c>
      <c r="E9568" s="1" t="s">
        <v>4566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</row>
    <row r="9569" spans="1:11" x14ac:dyDescent="0.2">
      <c r="A9569" s="1" t="s">
        <v>98</v>
      </c>
      <c r="B9569" s="1" t="s">
        <v>4159</v>
      </c>
      <c r="C9569" s="1" t="str">
        <f>"66298943275647"</f>
        <v>66298943275647</v>
      </c>
      <c r="D9569" s="1" t="str">
        <f>"80310"</f>
        <v>80310</v>
      </c>
      <c r="E9569" s="1" t="s">
        <v>4566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</row>
    <row r="9570" spans="1:11" x14ac:dyDescent="0.2">
      <c r="A9570" s="1" t="s">
        <v>98</v>
      </c>
      <c r="B9570" s="1" t="s">
        <v>4160</v>
      </c>
      <c r="C9570" s="1" t="str">
        <f>"66298943319692"</f>
        <v>66298943319692</v>
      </c>
      <c r="D9570" s="1" t="str">
        <f>"QH001"</f>
        <v>QH001</v>
      </c>
      <c r="E9570" s="1" t="s">
        <v>4566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</row>
    <row r="9571" spans="1:11" x14ac:dyDescent="0.2">
      <c r="A9571" s="1" t="s">
        <v>98</v>
      </c>
      <c r="B9571" s="1" t="s">
        <v>4161</v>
      </c>
      <c r="C9571" s="1" t="str">
        <f>"66298943361183"</f>
        <v>66298943361183</v>
      </c>
      <c r="D9571" s="1" t="str">
        <f>"80312"</f>
        <v>80312</v>
      </c>
      <c r="E9571" s="1" t="s">
        <v>4566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</row>
    <row r="9572" spans="1:11" x14ac:dyDescent="0.2">
      <c r="A9572" s="1" t="s">
        <v>98</v>
      </c>
      <c r="B9572" s="1" t="s">
        <v>4162</v>
      </c>
      <c r="C9572" s="1" t="str">
        <f>"66298943610666"</f>
        <v>66298943610666</v>
      </c>
      <c r="D9572" s="1" t="str">
        <f>"BG001"</f>
        <v>BG001</v>
      </c>
      <c r="E9572" s="1" t="s">
        <v>4566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</row>
    <row r="9573" spans="1:11" x14ac:dyDescent="0.2">
      <c r="A9573" s="1" t="s">
        <v>4163</v>
      </c>
      <c r="B9573" s="1" t="s">
        <v>4162</v>
      </c>
      <c r="C9573" s="1" t="str">
        <f>"QG007"</f>
        <v>QG007</v>
      </c>
      <c r="D9573" s="1" t="str">
        <f>"QG007"</f>
        <v>QG007</v>
      </c>
      <c r="E9573" s="1" t="s">
        <v>4566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</row>
    <row r="9574" spans="1:11" x14ac:dyDescent="0.2">
      <c r="A9574" s="1" t="s">
        <v>98</v>
      </c>
      <c r="B9574" s="1" t="s">
        <v>4164</v>
      </c>
      <c r="C9574" s="1" t="str">
        <f>"66298943404653"</f>
        <v>66298943404653</v>
      </c>
      <c r="D9574" s="1" t="str">
        <f>"BG002"</f>
        <v>BG002</v>
      </c>
      <c r="E9574" s="1" t="s">
        <v>4566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</row>
    <row r="9575" spans="1:11" x14ac:dyDescent="0.2">
      <c r="A9575" s="1" t="s">
        <v>98</v>
      </c>
      <c r="B9575" s="1" t="s">
        <v>4165</v>
      </c>
      <c r="C9575" s="1" t="str">
        <f>"66298943445925"</f>
        <v>66298943445925</v>
      </c>
      <c r="D9575" s="1" t="str">
        <f>"80313"</f>
        <v>80313</v>
      </c>
      <c r="E9575" s="1" t="s">
        <v>4566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</row>
    <row r="9576" spans="1:11" x14ac:dyDescent="0.2">
      <c r="A9576" s="1" t="s">
        <v>98</v>
      </c>
      <c r="B9576" s="1" t="s">
        <v>4166</v>
      </c>
      <c r="C9576" s="1" t="str">
        <f>"66298943486698"</f>
        <v>66298943486698</v>
      </c>
      <c r="D9576" s="1" t="str">
        <f>"QH003"</f>
        <v>QH003</v>
      </c>
      <c r="E9576" s="1" t="s">
        <v>4566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</row>
    <row r="9577" spans="1:11" x14ac:dyDescent="0.2">
      <c r="A9577" s="1" t="s">
        <v>98</v>
      </c>
      <c r="B9577" s="1" t="s">
        <v>4167</v>
      </c>
      <c r="C9577" s="1" t="str">
        <f>"66298943565420"</f>
        <v>66298943565420</v>
      </c>
      <c r="D9577" s="1" t="str">
        <f>"BG005"</f>
        <v>BG005</v>
      </c>
      <c r="E9577" s="1" t="s">
        <v>4566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</row>
    <row r="9578" spans="1:11" x14ac:dyDescent="0.2">
      <c r="A9578" s="1" t="s">
        <v>98</v>
      </c>
      <c r="B9578" s="1" t="s">
        <v>4168</v>
      </c>
      <c r="C9578" s="1" t="str">
        <f>"66298943522776"</f>
        <v>66298943522776</v>
      </c>
      <c r="D9578" s="1" t="str">
        <f>"BG006"</f>
        <v>BG006</v>
      </c>
      <c r="E9578" s="1" t="s">
        <v>4566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</row>
    <row r="9579" spans="1:11" x14ac:dyDescent="0.2">
      <c r="A9579" s="1" t="s">
        <v>4169</v>
      </c>
      <c r="B9579" s="1" t="s">
        <v>4170</v>
      </c>
      <c r="C9579" s="1" t="str">
        <f>"82852"</f>
        <v>82852</v>
      </c>
      <c r="D9579" s="1" t="str">
        <f>"82852"</f>
        <v>82852</v>
      </c>
      <c r="E9579" s="1" t="s">
        <v>4566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</row>
    <row r="9580" spans="1:11" x14ac:dyDescent="0.2">
      <c r="A9580" s="1" t="s">
        <v>4169</v>
      </c>
      <c r="B9580" s="1" t="s">
        <v>4171</v>
      </c>
      <c r="C9580" s="1" t="str">
        <f>"SWITCH-CR"</f>
        <v>SWITCH-CR</v>
      </c>
      <c r="D9580" s="1" t="str">
        <f>"SWITCH-CR"</f>
        <v>SWITCH-CR</v>
      </c>
      <c r="E9580" s="1" t="s">
        <v>4566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</row>
    <row r="9581" spans="1:11" x14ac:dyDescent="0.2">
      <c r="A9581" s="1" t="s">
        <v>4163</v>
      </c>
      <c r="B9581" s="1" t="s">
        <v>4171</v>
      </c>
      <c r="C9581" s="1" t="str">
        <f>"80311"</f>
        <v>80311</v>
      </c>
      <c r="D9581" s="1" t="str">
        <f>"80311"</f>
        <v>80311</v>
      </c>
      <c r="E9581" s="1" t="s">
        <v>4566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</row>
    <row r="9582" spans="1:11" x14ac:dyDescent="0.2">
      <c r="A9582" s="1" t="s">
        <v>98</v>
      </c>
      <c r="B9582" s="1" t="s">
        <v>4172</v>
      </c>
      <c r="C9582" s="1" t="str">
        <f>"66298943650584"</f>
        <v>66298943650584</v>
      </c>
      <c r="D9582" s="1" t="str">
        <f>"400445"</f>
        <v>400445</v>
      </c>
      <c r="E9582" s="1" t="s">
        <v>4566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</row>
    <row r="9583" spans="1:11" x14ac:dyDescent="0.2">
      <c r="A9583" s="1" t="s">
        <v>98</v>
      </c>
      <c r="B9583" s="1" t="s">
        <v>4173</v>
      </c>
      <c r="C9583" s="1" t="str">
        <f>"66298943687679"</f>
        <v>66298943687679</v>
      </c>
      <c r="D9583" s="1" t="str">
        <f>"35750-GS3-003JP"</f>
        <v>35750-GS3-003JP</v>
      </c>
      <c r="E9583" s="1" t="s">
        <v>4566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</row>
    <row r="9584" spans="1:11" x14ac:dyDescent="0.2">
      <c r="A9584" s="1" t="s">
        <v>4174</v>
      </c>
      <c r="B9584" s="1" t="s">
        <v>4175</v>
      </c>
      <c r="C9584" s="1" t="str">
        <f>"66298943727021"</f>
        <v>66298943727021</v>
      </c>
      <c r="D9584" s="1" t="str">
        <f>"49CC03"</f>
        <v>49CC03</v>
      </c>
      <c r="E9584" s="1" t="s">
        <v>4566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</row>
    <row r="9585" spans="1:11" x14ac:dyDescent="0.2">
      <c r="A9585" s="1" t="s">
        <v>4174</v>
      </c>
      <c r="B9585" s="1" t="s">
        <v>4176</v>
      </c>
      <c r="C9585" s="1" t="str">
        <f>"66298943770297"</f>
        <v>66298943770297</v>
      </c>
      <c r="D9585" s="1" t="str">
        <f>"82111"</f>
        <v>82111</v>
      </c>
      <c r="E9585" s="1" t="s">
        <v>4566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</row>
    <row r="9586" spans="1:11" x14ac:dyDescent="0.2">
      <c r="A9586" s="1" t="s">
        <v>4174</v>
      </c>
      <c r="B9586" s="1" t="s">
        <v>4177</v>
      </c>
      <c r="C9586" s="1" t="str">
        <f>"B202"</f>
        <v>B202</v>
      </c>
      <c r="D9586" s="1" t="str">
        <f>"B202"</f>
        <v>B202</v>
      </c>
      <c r="E9586" s="1" t="s">
        <v>4566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</row>
    <row r="9587" spans="1:11" x14ac:dyDescent="0.2">
      <c r="A9587" s="1" t="s">
        <v>4174</v>
      </c>
      <c r="B9587" s="1" t="s">
        <v>4178</v>
      </c>
      <c r="C9587" s="1" t="str">
        <f>"B214"</f>
        <v>B214</v>
      </c>
      <c r="D9587" s="1" t="str">
        <f>"B214"</f>
        <v>B214</v>
      </c>
      <c r="E9587" s="1" t="s">
        <v>4566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</row>
    <row r="9588" spans="1:11" x14ac:dyDescent="0.2">
      <c r="A9588" s="1" t="s">
        <v>4174</v>
      </c>
      <c r="B9588" s="1" t="s">
        <v>4179</v>
      </c>
      <c r="C9588" s="1" t="str">
        <f>"B204"</f>
        <v>B204</v>
      </c>
      <c r="D9588" s="1" t="str">
        <f>"B204"</f>
        <v>B204</v>
      </c>
      <c r="E9588" s="1" t="s">
        <v>4566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</row>
    <row r="9589" spans="1:11" x14ac:dyDescent="0.2">
      <c r="A9589" s="1" t="s">
        <v>4174</v>
      </c>
      <c r="B9589" s="1" t="s">
        <v>4180</v>
      </c>
      <c r="C9589" s="1" t="str">
        <f>"66298943811165"</f>
        <v>66298943811165</v>
      </c>
      <c r="D9589" s="1" t="str">
        <f>"C021"</f>
        <v>C021</v>
      </c>
      <c r="E9589" s="1" t="s">
        <v>4566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</row>
    <row r="9590" spans="1:11" x14ac:dyDescent="0.2">
      <c r="A9590" s="1" t="s">
        <v>4174</v>
      </c>
      <c r="B9590" s="1" t="s">
        <v>4181</v>
      </c>
      <c r="C9590" s="1" t="str">
        <f>"66298943855473"</f>
        <v>66298943855473</v>
      </c>
      <c r="D9590" s="1" t="str">
        <f>"B217"</f>
        <v>B217</v>
      </c>
      <c r="E9590" s="1" t="s">
        <v>4566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</row>
    <row r="9591" spans="1:11" x14ac:dyDescent="0.2">
      <c r="A9591" s="1" t="s">
        <v>4174</v>
      </c>
      <c r="B9591" s="1" t="s">
        <v>4182</v>
      </c>
      <c r="C9591" s="1" t="str">
        <f>"66298943899663"</f>
        <v>66298943899663</v>
      </c>
      <c r="D9591" s="1" t="str">
        <f>"83168"</f>
        <v>83168</v>
      </c>
      <c r="E9591" s="1" t="s">
        <v>4566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</row>
    <row r="9592" spans="1:11" x14ac:dyDescent="0.2">
      <c r="A9592" s="1" t="s">
        <v>4174</v>
      </c>
      <c r="B9592" s="1" t="s">
        <v>4183</v>
      </c>
      <c r="C9592" s="1" t="str">
        <f>"66298943946033"</f>
        <v>66298943946033</v>
      </c>
      <c r="D9592" s="1" t="str">
        <f>"82874"</f>
        <v>82874</v>
      </c>
      <c r="E9592" s="1" t="s">
        <v>4566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</row>
    <row r="9593" spans="1:11" x14ac:dyDescent="0.2">
      <c r="A9593" s="1" t="s">
        <v>4174</v>
      </c>
      <c r="B9593" s="1" t="s">
        <v>4184</v>
      </c>
      <c r="C9593" s="1" t="str">
        <f>"66298943998590"</f>
        <v>66298943998590</v>
      </c>
      <c r="D9593" s="1" t="str">
        <f>"B215"</f>
        <v>B215</v>
      </c>
      <c r="E9593" s="1" t="s">
        <v>4566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</row>
    <row r="9594" spans="1:11" x14ac:dyDescent="0.2">
      <c r="A9594" s="1" t="s">
        <v>4174</v>
      </c>
      <c r="B9594" s="1" t="s">
        <v>4185</v>
      </c>
      <c r="C9594" s="1" t="str">
        <f>"B226"</f>
        <v>B226</v>
      </c>
      <c r="D9594" s="1" t="str">
        <f>"B226"</f>
        <v>B226</v>
      </c>
      <c r="E9594" s="1" t="s">
        <v>4566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</row>
    <row r="9595" spans="1:11" x14ac:dyDescent="0.2">
      <c r="A9595" s="1" t="s">
        <v>4174</v>
      </c>
      <c r="B9595" s="1" t="s">
        <v>4186</v>
      </c>
      <c r="C9595" s="1" t="str">
        <f>"TAB-UNIV"</f>
        <v>TAB-UNIV</v>
      </c>
      <c r="D9595" s="1" t="str">
        <f>"TAB-UNIV"</f>
        <v>TAB-UNIV</v>
      </c>
      <c r="E9595" s="1" t="s">
        <v>4566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</row>
    <row r="9596" spans="1:11" x14ac:dyDescent="0.2">
      <c r="A9596" s="1" t="s">
        <v>4174</v>
      </c>
      <c r="B9596" s="1" t="s">
        <v>4187</v>
      </c>
      <c r="C9596" s="1" t="str">
        <f>"B231"</f>
        <v>B231</v>
      </c>
      <c r="D9596" s="1" t="str">
        <f>"B231"</f>
        <v>B231</v>
      </c>
      <c r="E9596" s="1" t="s">
        <v>4566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</row>
    <row r="9597" spans="1:11" x14ac:dyDescent="0.2">
      <c r="A9597" s="1" t="s">
        <v>4174</v>
      </c>
      <c r="B9597" s="1" t="s">
        <v>4188</v>
      </c>
      <c r="C9597" s="1" t="str">
        <f>"TAB-YBR"</f>
        <v>TAB-YBR</v>
      </c>
      <c r="D9597" s="1" t="str">
        <f>"TAB-YBR"</f>
        <v>TAB-YBR</v>
      </c>
      <c r="E9597" s="1" t="s">
        <v>4566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</row>
    <row r="9598" spans="1:11" x14ac:dyDescent="0.2">
      <c r="A9598" s="1" t="s">
        <v>4189</v>
      </c>
      <c r="B9598" s="1" t="s">
        <v>4190</v>
      </c>
      <c r="C9598" s="1" t="str">
        <f>"66298944046725"</f>
        <v>66298944046725</v>
      </c>
      <c r="D9598" s="1" t="str">
        <f>"001413"</f>
        <v>001413</v>
      </c>
      <c r="E9598" s="1" t="s">
        <v>4566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</row>
    <row r="9599" spans="1:11" x14ac:dyDescent="0.2">
      <c r="A9599" s="1" t="s">
        <v>4189</v>
      </c>
      <c r="B9599" s="1" t="s">
        <v>4191</v>
      </c>
      <c r="C9599" s="1" t="str">
        <f>"66298944089486"</f>
        <v>66298944089486</v>
      </c>
      <c r="D9599" s="1" t="str">
        <f>"Y291"</f>
        <v>Y291</v>
      </c>
      <c r="E9599" s="1" t="s">
        <v>4566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</row>
    <row r="9600" spans="1:11" x14ac:dyDescent="0.2">
      <c r="A9600" s="1" t="s">
        <v>4189</v>
      </c>
      <c r="B9600" s="1" t="s">
        <v>4192</v>
      </c>
      <c r="C9600" s="1" t="str">
        <f>"66298944132304"</f>
        <v>66298944132304</v>
      </c>
      <c r="D9600" s="1" t="str">
        <f>"Y290"</f>
        <v>Y290</v>
      </c>
      <c r="E9600" s="1" t="s">
        <v>4566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</row>
    <row r="9601" spans="1:11" x14ac:dyDescent="0.2">
      <c r="A9601" s="1" t="s">
        <v>4189</v>
      </c>
      <c r="B9601" s="1" t="s">
        <v>4193</v>
      </c>
      <c r="C9601" s="1" t="str">
        <f>"Y246"</f>
        <v>Y246</v>
      </c>
      <c r="D9601" s="1" t="str">
        <f>"Y246"</f>
        <v>Y246</v>
      </c>
      <c r="E9601" s="1" t="s">
        <v>4566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</row>
    <row r="9602" spans="1:11" x14ac:dyDescent="0.2">
      <c r="A9602" s="1" t="s">
        <v>4189</v>
      </c>
      <c r="B9602" s="1" t="s">
        <v>4194</v>
      </c>
      <c r="C9602" s="1" t="str">
        <f>"Y049-NEGRO"</f>
        <v>Y049-NEGRO</v>
      </c>
      <c r="D9602" s="1" t="str">
        <f>"Y049-NEGRO"</f>
        <v>Y049-NEGRO</v>
      </c>
      <c r="E9602" s="1" t="s">
        <v>4566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</row>
    <row r="9603" spans="1:11" x14ac:dyDescent="0.2">
      <c r="A9603" s="1" t="s">
        <v>4189</v>
      </c>
      <c r="B9603" s="1" t="s">
        <v>4195</v>
      </c>
      <c r="C9603" s="1" t="str">
        <f>"Y049-ROJO"</f>
        <v>Y049-ROJO</v>
      </c>
      <c r="D9603" s="1" t="str">
        <f>"Y049-ROJO"</f>
        <v>Y049-ROJO</v>
      </c>
      <c r="E9603" s="1" t="s">
        <v>4566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</row>
    <row r="9604" spans="1:11" x14ac:dyDescent="0.2">
      <c r="A9604" s="1" t="s">
        <v>4189</v>
      </c>
      <c r="B9604" s="1" t="s">
        <v>4196</v>
      </c>
      <c r="C9604" s="1" t="str">
        <f>"EMHJ52200"</f>
        <v>EMHJ52200</v>
      </c>
      <c r="D9604" s="1" t="str">
        <f>"EMHJ52200"</f>
        <v>EMHJ52200</v>
      </c>
      <c r="E9604" s="1" t="s">
        <v>4566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</row>
    <row r="9605" spans="1:11" x14ac:dyDescent="0.2">
      <c r="A9605" s="1" t="s">
        <v>4189</v>
      </c>
      <c r="B9605" s="1" t="s">
        <v>4197</v>
      </c>
      <c r="C9605" s="1" t="str">
        <f>"66298944171873"</f>
        <v>66298944171873</v>
      </c>
      <c r="D9605" s="1" t="str">
        <f>"72-0186"</f>
        <v>72-0186</v>
      </c>
      <c r="E9605" s="1" t="s">
        <v>4566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</row>
    <row r="9606" spans="1:11" x14ac:dyDescent="0.2">
      <c r="A9606" s="1" t="s">
        <v>4189</v>
      </c>
      <c r="B9606" s="1" t="s">
        <v>4198</v>
      </c>
      <c r="C9606" s="1" t="str">
        <f>"Y067"</f>
        <v>Y067</v>
      </c>
      <c r="D9606" s="1" t="str">
        <f>"Y067"</f>
        <v>Y067</v>
      </c>
      <c r="E9606" s="1" t="s">
        <v>4566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</row>
    <row r="9607" spans="1:11" x14ac:dyDescent="0.2">
      <c r="A9607" s="1" t="s">
        <v>4189</v>
      </c>
      <c r="B9607" s="1" t="s">
        <v>4199</v>
      </c>
      <c r="C9607" s="1" t="str">
        <f>"66298944208805"</f>
        <v>66298944208805</v>
      </c>
      <c r="D9607" s="1" t="str">
        <f>"Y124"</f>
        <v>Y124</v>
      </c>
      <c r="E9607" s="1" t="s">
        <v>4566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</row>
    <row r="9608" spans="1:11" x14ac:dyDescent="0.2">
      <c r="A9608" s="1" t="s">
        <v>4189</v>
      </c>
      <c r="B9608" s="1" t="s">
        <v>4200</v>
      </c>
      <c r="C9608" s="1" t="str">
        <f>"66298944246502"</f>
        <v>66298944246502</v>
      </c>
      <c r="D9608" s="1" t="str">
        <f>"B12012374"</f>
        <v>B12012374</v>
      </c>
      <c r="E9608" s="1" t="s">
        <v>4566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</row>
    <row r="9609" spans="1:11" x14ac:dyDescent="0.2">
      <c r="A9609" s="1" t="s">
        <v>4189</v>
      </c>
      <c r="B9609" s="1" t="s">
        <v>4201</v>
      </c>
      <c r="C9609" s="1" t="str">
        <f>"66298944282390"</f>
        <v>66298944282390</v>
      </c>
      <c r="D9609" s="1" t="str">
        <f>"B12012377"</f>
        <v>B12012377</v>
      </c>
      <c r="E9609" s="1" t="s">
        <v>4566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</row>
    <row r="9610" spans="1:11" x14ac:dyDescent="0.2">
      <c r="A9610" s="1" t="s">
        <v>1413</v>
      </c>
      <c r="B9610" s="1" t="s">
        <v>4202</v>
      </c>
      <c r="C9610" s="1" t="str">
        <f>"66298842472019"</f>
        <v>66298842472019</v>
      </c>
      <c r="D9610" s="1" t="str">
        <f>"Y167"</f>
        <v>Y167</v>
      </c>
      <c r="E9610" s="1" t="s">
        <v>4566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</row>
    <row r="9611" spans="1:11" x14ac:dyDescent="0.2">
      <c r="A9611" s="1" t="s">
        <v>1413</v>
      </c>
      <c r="B9611" s="1" t="s">
        <v>4203</v>
      </c>
      <c r="C9611" s="1" t="str">
        <f>"66298842514806"</f>
        <v>66298842514806</v>
      </c>
      <c r="D9611" s="1" t="str">
        <f>"Y170-1"</f>
        <v>Y170-1</v>
      </c>
      <c r="E9611" s="1" t="s">
        <v>4566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</row>
    <row r="9612" spans="1:11" x14ac:dyDescent="0.2">
      <c r="A9612" s="1" t="s">
        <v>4189</v>
      </c>
      <c r="B9612" s="1" t="s">
        <v>4204</v>
      </c>
      <c r="C9612" s="1" t="str">
        <f>"66298944321722"</f>
        <v>66298944321722</v>
      </c>
      <c r="D9612" s="1" t="str">
        <f>"12088-NEGRO"</f>
        <v>12088-NEGRO</v>
      </c>
      <c r="E9612" s="1" t="s">
        <v>4566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</row>
    <row r="9613" spans="1:11" x14ac:dyDescent="0.2">
      <c r="A9613" s="1" t="s">
        <v>4189</v>
      </c>
      <c r="B9613" s="1" t="s">
        <v>4205</v>
      </c>
      <c r="C9613" s="1" t="str">
        <f>"Y068-NEGRO"</f>
        <v>Y068-NEGRO</v>
      </c>
      <c r="D9613" s="1" t="str">
        <f>"Y068-NEGRO"</f>
        <v>Y068-NEGRO</v>
      </c>
      <c r="E9613" s="1" t="s">
        <v>4566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</row>
    <row r="9614" spans="1:11" x14ac:dyDescent="0.2">
      <c r="A9614" s="1" t="s">
        <v>4189</v>
      </c>
      <c r="B9614" s="1" t="s">
        <v>4206</v>
      </c>
      <c r="C9614" s="1" t="str">
        <f>"66298944361617"</f>
        <v>66298944361617</v>
      </c>
      <c r="D9614" s="1" t="str">
        <f>"Y084-B"</f>
        <v>Y084-B</v>
      </c>
      <c r="E9614" s="1" t="s">
        <v>4566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</row>
    <row r="9615" spans="1:11" x14ac:dyDescent="0.2">
      <c r="A9615" s="1" t="s">
        <v>4189</v>
      </c>
      <c r="B9615" s="1" t="s">
        <v>4207</v>
      </c>
      <c r="C9615" s="1" t="str">
        <f>"66298944405914"</f>
        <v>66298944405914</v>
      </c>
      <c r="D9615" s="1" t="str">
        <f>"AA004"</f>
        <v>AA004</v>
      </c>
      <c r="E9615" s="1" t="s">
        <v>4566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</row>
    <row r="9616" spans="1:11" x14ac:dyDescent="0.2">
      <c r="A9616" s="1" t="s">
        <v>4189</v>
      </c>
      <c r="B9616" s="1" t="s">
        <v>4208</v>
      </c>
      <c r="C9616" s="1" t="str">
        <f>"66298944447797"</f>
        <v>66298944447797</v>
      </c>
      <c r="D9616" s="1" t="str">
        <f>"AA012"</f>
        <v>AA012</v>
      </c>
      <c r="E9616" s="1" t="s">
        <v>4566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</row>
    <row r="9617" spans="1:11" x14ac:dyDescent="0.2">
      <c r="A9617" s="1" t="s">
        <v>4189</v>
      </c>
      <c r="B9617" s="1" t="s">
        <v>4209</v>
      </c>
      <c r="C9617" s="1" t="str">
        <f>"66298944484968"</f>
        <v>66298944484968</v>
      </c>
      <c r="D9617" s="1" t="str">
        <f>"AA021"</f>
        <v>AA021</v>
      </c>
      <c r="E9617" s="1" t="s">
        <v>4566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</row>
    <row r="9618" spans="1:11" x14ac:dyDescent="0.2">
      <c r="A9618" s="1" t="s">
        <v>4189</v>
      </c>
      <c r="B9618" s="1" t="s">
        <v>4210</v>
      </c>
      <c r="C9618" s="1" t="str">
        <f>"66298944526673"</f>
        <v>66298944526673</v>
      </c>
      <c r="D9618" s="1" t="str">
        <f>"400801"</f>
        <v>400801</v>
      </c>
      <c r="E9618" s="1" t="s">
        <v>4566</v>
      </c>
      <c r="F9618" s="1">
        <v>36</v>
      </c>
      <c r="G9618" s="1">
        <v>1644</v>
      </c>
      <c r="H9618" s="1">
        <v>59184</v>
      </c>
      <c r="I9618" s="1">
        <v>0</v>
      </c>
      <c r="J9618" s="1">
        <v>36</v>
      </c>
      <c r="K9618" s="1">
        <v>0</v>
      </c>
    </row>
    <row r="9619" spans="1:11" x14ac:dyDescent="0.2">
      <c r="A9619" s="1" t="s">
        <v>4189</v>
      </c>
      <c r="B9619" s="1" t="s">
        <v>4211</v>
      </c>
      <c r="C9619" s="1" t="str">
        <f>"66298944566458"</f>
        <v>66298944566458</v>
      </c>
      <c r="D9619" s="1" t="str">
        <f>"AA002-CHAPA"</f>
        <v>AA002-CHAPA</v>
      </c>
      <c r="E9619" s="1" t="s">
        <v>4566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</row>
    <row r="9620" spans="1:11" x14ac:dyDescent="0.2">
      <c r="A9620" s="1" t="s">
        <v>4189</v>
      </c>
      <c r="B9620" s="1" t="s">
        <v>4212</v>
      </c>
      <c r="C9620" s="1" t="str">
        <f>"66298944606092"</f>
        <v>66298944606092</v>
      </c>
      <c r="D9620" s="1" t="str">
        <f>"AA005"</f>
        <v>AA005</v>
      </c>
      <c r="E9620" s="1" t="s">
        <v>4566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</row>
    <row r="9621" spans="1:11" x14ac:dyDescent="0.2">
      <c r="A9621" s="1" t="s">
        <v>4189</v>
      </c>
      <c r="B9621" s="1" t="s">
        <v>4213</v>
      </c>
      <c r="C9621" s="1" t="str">
        <f>"66298944651816"</f>
        <v>66298944651816</v>
      </c>
      <c r="D9621" s="1" t="str">
        <f>"AA009"</f>
        <v>AA009</v>
      </c>
      <c r="E9621" s="1" t="s">
        <v>4566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</row>
    <row r="9622" spans="1:11" x14ac:dyDescent="0.2">
      <c r="A9622" s="1" t="s">
        <v>4189</v>
      </c>
      <c r="B9622" s="1" t="s">
        <v>4214</v>
      </c>
      <c r="C9622" s="1" t="str">
        <f>"66298944693720"</f>
        <v>66298944693720</v>
      </c>
      <c r="D9622" s="1" t="str">
        <f>"400805"</f>
        <v>400805</v>
      </c>
      <c r="E9622" s="1" t="s">
        <v>4566</v>
      </c>
      <c r="F9622" s="1">
        <v>76</v>
      </c>
      <c r="G9622" s="1">
        <v>3847</v>
      </c>
      <c r="H9622" s="1">
        <v>292372</v>
      </c>
      <c r="I9622" s="1">
        <v>0</v>
      </c>
      <c r="J9622" s="1">
        <v>76</v>
      </c>
      <c r="K9622" s="1">
        <v>0</v>
      </c>
    </row>
    <row r="9623" spans="1:11" x14ac:dyDescent="0.2">
      <c r="A9623" s="1" t="s">
        <v>4189</v>
      </c>
      <c r="B9623" s="1" t="s">
        <v>4215</v>
      </c>
      <c r="C9623" s="1" t="str">
        <f>"66298944733232"</f>
        <v>66298944733232</v>
      </c>
      <c r="D9623" s="1" t="str">
        <f>"588023"</f>
        <v>588023</v>
      </c>
      <c r="E9623" s="1" t="s">
        <v>4566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</row>
    <row r="9624" spans="1:11" x14ac:dyDescent="0.2">
      <c r="A9624" s="1" t="s">
        <v>4189</v>
      </c>
      <c r="B9624" s="1" t="s">
        <v>4216</v>
      </c>
      <c r="C9624" s="1" t="str">
        <f>"AA002"</f>
        <v>AA002</v>
      </c>
      <c r="D9624" s="1" t="str">
        <f>"AA002"</f>
        <v>AA002</v>
      </c>
      <c r="E9624" s="1" t="s">
        <v>4566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</row>
    <row r="9625" spans="1:11" x14ac:dyDescent="0.2">
      <c r="A9625" s="1" t="s">
        <v>4189</v>
      </c>
      <c r="B9625" s="1" t="s">
        <v>4217</v>
      </c>
      <c r="C9625" s="1" t="str">
        <f>"66298944768833"</f>
        <v>66298944768833</v>
      </c>
      <c r="D9625" s="1" t="str">
        <f>"AA006"</f>
        <v>AA006</v>
      </c>
      <c r="E9625" s="1" t="s">
        <v>4566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</row>
    <row r="9626" spans="1:11" x14ac:dyDescent="0.2">
      <c r="A9626" s="1" t="s">
        <v>4189</v>
      </c>
      <c r="B9626" s="1" t="s">
        <v>4218</v>
      </c>
      <c r="C9626" s="1" t="str">
        <f>"66298944810609"</f>
        <v>66298944810609</v>
      </c>
      <c r="D9626" s="1" t="str">
        <f>"AA008"</f>
        <v>AA008</v>
      </c>
      <c r="E9626" s="1" t="s">
        <v>4566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</row>
    <row r="9627" spans="1:11" x14ac:dyDescent="0.2">
      <c r="A9627" s="1" t="s">
        <v>4189</v>
      </c>
      <c r="B9627" s="1" t="s">
        <v>4219</v>
      </c>
      <c r="C9627" s="1" t="str">
        <f>"66298944853640"</f>
        <v>66298944853640</v>
      </c>
      <c r="D9627" s="1" t="str">
        <f>"AA013"</f>
        <v>AA013</v>
      </c>
      <c r="E9627" s="1" t="s">
        <v>4566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</row>
    <row r="9628" spans="1:11" x14ac:dyDescent="0.2">
      <c r="A9628" s="1" t="s">
        <v>4189</v>
      </c>
      <c r="B9628" s="1" t="s">
        <v>4220</v>
      </c>
      <c r="C9628" s="1" t="str">
        <f>"AA003"</f>
        <v>AA003</v>
      </c>
      <c r="D9628" s="1" t="str">
        <f>"AA003"</f>
        <v>AA003</v>
      </c>
      <c r="E9628" s="1" t="s">
        <v>4566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</row>
    <row r="9629" spans="1:11" x14ac:dyDescent="0.2">
      <c r="A9629" s="1" t="s">
        <v>4189</v>
      </c>
      <c r="B9629" s="1" t="s">
        <v>4220</v>
      </c>
      <c r="C9629" s="1" t="str">
        <f>"AA001"</f>
        <v>AA001</v>
      </c>
      <c r="D9629" s="1" t="str">
        <f>"AA001"</f>
        <v>AA001</v>
      </c>
      <c r="E9629" s="1" t="s">
        <v>4566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</row>
    <row r="9630" spans="1:11" x14ac:dyDescent="0.2">
      <c r="A9630" s="1" t="s">
        <v>4189</v>
      </c>
      <c r="B9630" s="1" t="s">
        <v>4221</v>
      </c>
      <c r="C9630" s="1" t="str">
        <f>"66298944961086"</f>
        <v>66298944961086</v>
      </c>
      <c r="D9630" s="1" t="str">
        <f>"C018"</f>
        <v>C018</v>
      </c>
      <c r="E9630" s="1" t="s">
        <v>4566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</row>
    <row r="9631" spans="1:11" x14ac:dyDescent="0.2">
      <c r="A9631" s="1" t="s">
        <v>4189</v>
      </c>
      <c r="B9631" s="1" t="s">
        <v>4222</v>
      </c>
      <c r="C9631" s="1" t="str">
        <f>"AA007"</f>
        <v>AA007</v>
      </c>
      <c r="D9631" s="1" t="str">
        <f>"AA007"</f>
        <v>AA007</v>
      </c>
      <c r="E9631" s="1" t="s">
        <v>4566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</row>
    <row r="9632" spans="1:11" ht="30" x14ac:dyDescent="0.2">
      <c r="A9632" s="1" t="s">
        <v>4189</v>
      </c>
      <c r="B9632" s="1" t="s">
        <v>4223</v>
      </c>
      <c r="C9632" s="1" t="str">
        <f>"66298945044274"</f>
        <v>66298945044274</v>
      </c>
      <c r="D9632" s="1" t="str">
        <f>"400802"</f>
        <v>400802</v>
      </c>
      <c r="E9632" s="1" t="s">
        <v>4566</v>
      </c>
      <c r="F9632" s="1">
        <v>152</v>
      </c>
      <c r="G9632" s="1">
        <v>2082</v>
      </c>
      <c r="H9632" s="1">
        <v>316464</v>
      </c>
      <c r="I9632" s="1">
        <v>0</v>
      </c>
      <c r="J9632" s="1">
        <v>152</v>
      </c>
      <c r="K9632" s="1">
        <v>0</v>
      </c>
    </row>
    <row r="9633" spans="1:11" x14ac:dyDescent="0.2">
      <c r="A9633" s="1" t="s">
        <v>4224</v>
      </c>
      <c r="B9633" s="1" t="s">
        <v>4225</v>
      </c>
      <c r="C9633" s="1" t="str">
        <f>"AA018"</f>
        <v>AA018</v>
      </c>
      <c r="D9633" s="1" t="str">
        <f>"AA018"</f>
        <v>AA018</v>
      </c>
      <c r="E9633" s="1" t="s">
        <v>4566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</row>
    <row r="9634" spans="1:11" x14ac:dyDescent="0.2">
      <c r="A9634" s="1" t="s">
        <v>4189</v>
      </c>
      <c r="B9634" s="1" t="s">
        <v>4226</v>
      </c>
      <c r="C9634" s="1" t="str">
        <f>"AA014"</f>
        <v>AA014</v>
      </c>
      <c r="D9634" s="1" t="str">
        <f>"AA014"</f>
        <v>AA014</v>
      </c>
      <c r="E9634" s="1" t="s">
        <v>4566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</row>
    <row r="9635" spans="1:11" ht="30" x14ac:dyDescent="0.2">
      <c r="A9635" s="1" t="s">
        <v>4189</v>
      </c>
      <c r="B9635" s="1" t="s">
        <v>4227</v>
      </c>
      <c r="C9635" s="1" t="str">
        <f>"66298945128669"</f>
        <v>66298945128669</v>
      </c>
      <c r="D9635" s="1" t="str">
        <f>"400767"</f>
        <v>400767</v>
      </c>
      <c r="E9635" s="1" t="s">
        <v>4566</v>
      </c>
      <c r="F9635" s="1">
        <v>400</v>
      </c>
      <c r="G9635" s="1">
        <v>915</v>
      </c>
      <c r="H9635" s="1">
        <v>366000</v>
      </c>
      <c r="I9635" s="1">
        <v>0</v>
      </c>
      <c r="J9635" s="1">
        <v>400</v>
      </c>
      <c r="K9635" s="1">
        <v>0</v>
      </c>
    </row>
    <row r="9636" spans="1:11" x14ac:dyDescent="0.2">
      <c r="A9636" s="1" t="s">
        <v>4189</v>
      </c>
      <c r="B9636" s="1" t="s">
        <v>4228</v>
      </c>
      <c r="C9636" s="1" t="str">
        <f>"EMHJ52332"</f>
        <v>EMHJ52332</v>
      </c>
      <c r="D9636" s="1" t="str">
        <f>"EMHJ52332"</f>
        <v>EMHJ52332</v>
      </c>
      <c r="E9636" s="1" t="s">
        <v>4566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</row>
    <row r="9637" spans="1:11" x14ac:dyDescent="0.2">
      <c r="A9637" s="1" t="s">
        <v>4189</v>
      </c>
      <c r="B9637" s="1" t="s">
        <v>4229</v>
      </c>
      <c r="C9637" s="1" t="str">
        <f>"EMHJ52151"</f>
        <v>EMHJ52151</v>
      </c>
      <c r="D9637" s="1" t="str">
        <f>"EMHJ52151"</f>
        <v>EMHJ52151</v>
      </c>
      <c r="E9637" s="1" t="s">
        <v>4566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</row>
    <row r="9638" spans="1:11" x14ac:dyDescent="0.2">
      <c r="A9638" s="1" t="s">
        <v>4189</v>
      </c>
      <c r="B9638" s="1" t="s">
        <v>4230</v>
      </c>
      <c r="C9638" s="1" t="str">
        <f>"EMHJ51837"</f>
        <v>EMHJ51837</v>
      </c>
      <c r="D9638" s="1" t="str">
        <f>"EMHJ51837"</f>
        <v>EMHJ51837</v>
      </c>
      <c r="E9638" s="1" t="s">
        <v>4566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</row>
    <row r="9639" spans="1:11" x14ac:dyDescent="0.2">
      <c r="A9639" s="1" t="s">
        <v>4189</v>
      </c>
      <c r="B9639" s="1" t="s">
        <v>4231</v>
      </c>
      <c r="C9639" s="1" t="str">
        <f>"EMHJ51810"</f>
        <v>EMHJ51810</v>
      </c>
      <c r="D9639" s="1" t="str">
        <f>"EMHJ51810"</f>
        <v>EMHJ51810</v>
      </c>
      <c r="E9639" s="1" t="s">
        <v>4566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</row>
    <row r="9640" spans="1:11" x14ac:dyDescent="0.2">
      <c r="A9640" s="1" t="s">
        <v>4189</v>
      </c>
      <c r="B9640" s="1" t="s">
        <v>4232</v>
      </c>
      <c r="C9640" s="1" t="str">
        <f>"Y241"</f>
        <v>Y241</v>
      </c>
      <c r="D9640" s="1" t="str">
        <f>"Y241"</f>
        <v>Y241</v>
      </c>
      <c r="E9640" s="1" t="s">
        <v>4566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</row>
    <row r="9641" spans="1:11" x14ac:dyDescent="0.2">
      <c r="A9641" s="1" t="s">
        <v>4233</v>
      </c>
      <c r="B9641" s="1" t="s">
        <v>4234</v>
      </c>
      <c r="C9641" s="1" t="str">
        <f>"66298945167666"</f>
        <v>66298945167666</v>
      </c>
      <c r="D9641" s="1" t="str">
        <f>"603"</f>
        <v>603</v>
      </c>
      <c r="E9641" s="1" t="s">
        <v>4566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</row>
    <row r="9642" spans="1:11" x14ac:dyDescent="0.2">
      <c r="A9642" s="1" t="s">
        <v>4233</v>
      </c>
      <c r="B9642" s="1" t="s">
        <v>4234</v>
      </c>
      <c r="C9642" s="1" t="str">
        <f>"AA017"</f>
        <v>AA017</v>
      </c>
      <c r="D9642" s="1" t="str">
        <f>"AA017"</f>
        <v>AA017</v>
      </c>
      <c r="E9642" s="1" t="s">
        <v>4566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</row>
    <row r="9643" spans="1:11" x14ac:dyDescent="0.2">
      <c r="A9643" s="1" t="s">
        <v>4189</v>
      </c>
      <c r="B9643" s="1" t="s">
        <v>4235</v>
      </c>
      <c r="C9643" s="1" t="str">
        <f>"66298945208123"</f>
        <v>66298945208123</v>
      </c>
      <c r="D9643" s="1" t="str">
        <f>"Y005"</f>
        <v>Y005</v>
      </c>
      <c r="E9643" s="1" t="s">
        <v>4566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</row>
    <row r="9644" spans="1:11" x14ac:dyDescent="0.2">
      <c r="A9644" s="1" t="s">
        <v>4189</v>
      </c>
      <c r="B9644" s="1" t="s">
        <v>4236</v>
      </c>
      <c r="C9644" s="1" t="str">
        <f>"66298945251727"</f>
        <v>66298945251727</v>
      </c>
      <c r="D9644" s="1" t="str">
        <f>"61421H2C000H000"</f>
        <v>61421H2C000H000</v>
      </c>
      <c r="E9644" s="1" t="s">
        <v>4566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</row>
    <row r="9645" spans="1:11" x14ac:dyDescent="0.2">
      <c r="A9645" s="1" t="s">
        <v>1413</v>
      </c>
      <c r="B9645" s="1" t="s">
        <v>4237</v>
      </c>
      <c r="C9645" s="1" t="str">
        <f>"12053"</f>
        <v>12053</v>
      </c>
      <c r="D9645" s="1" t="str">
        <f>"12053"</f>
        <v>12053</v>
      </c>
      <c r="E9645" s="1" t="s">
        <v>4566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</row>
    <row r="9646" spans="1:11" x14ac:dyDescent="0.2">
      <c r="A9646" s="1" t="s">
        <v>4189</v>
      </c>
      <c r="B9646" s="1" t="s">
        <v>4238</v>
      </c>
      <c r="C9646" s="1" t="str">
        <f>"66298945294415"</f>
        <v>66298945294415</v>
      </c>
      <c r="D9646" s="1" t="str">
        <f>"R092-AZUL"</f>
        <v>R092-AZUL</v>
      </c>
      <c r="E9646" s="1" t="s">
        <v>4566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</row>
    <row r="9647" spans="1:11" x14ac:dyDescent="0.2">
      <c r="A9647" s="1" t="s">
        <v>4189</v>
      </c>
      <c r="B9647" s="1" t="s">
        <v>4239</v>
      </c>
      <c r="C9647" s="1" t="str">
        <f>"66298945335969"</f>
        <v>66298945335969</v>
      </c>
      <c r="D9647" s="1" t="str">
        <f>"R092-CROMADO"</f>
        <v>R092-CROMADO</v>
      </c>
      <c r="E9647" s="1" t="s">
        <v>4566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</row>
    <row r="9648" spans="1:11" x14ac:dyDescent="0.2">
      <c r="A9648" s="1" t="s">
        <v>4189</v>
      </c>
      <c r="B9648" s="1" t="s">
        <v>4240</v>
      </c>
      <c r="C9648" s="1" t="str">
        <f>"66298945374427"</f>
        <v>66298945374427</v>
      </c>
      <c r="D9648" s="1" t="str">
        <f>"R092-DORADO"</f>
        <v>R092-DORADO</v>
      </c>
      <c r="E9648" s="1" t="s">
        <v>4566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</row>
    <row r="9649" spans="1:11" x14ac:dyDescent="0.2">
      <c r="A9649" s="1" t="s">
        <v>4189</v>
      </c>
      <c r="B9649" s="1" t="s">
        <v>4241</v>
      </c>
      <c r="C9649" s="1" t="str">
        <f>"66298945416982"</f>
        <v>66298945416982</v>
      </c>
      <c r="D9649" s="1" t="str">
        <f>"R092-NEGRO"</f>
        <v>R092-NEGRO</v>
      </c>
      <c r="E9649" s="1" t="s">
        <v>4566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</row>
    <row r="9650" spans="1:11" x14ac:dyDescent="0.2">
      <c r="A9650" s="1" t="s">
        <v>4189</v>
      </c>
      <c r="B9650" s="1" t="s">
        <v>4242</v>
      </c>
      <c r="C9650" s="1" t="str">
        <f>"66298945458193"</f>
        <v>66298945458193</v>
      </c>
      <c r="D9650" s="1" t="str">
        <f>"R092-ROJO"</f>
        <v>R092-ROJO</v>
      </c>
      <c r="E9650" s="1" t="s">
        <v>4566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</row>
    <row r="9651" spans="1:11" x14ac:dyDescent="0.2">
      <c r="A9651" s="1" t="s">
        <v>4243</v>
      </c>
      <c r="B9651" s="1" t="s">
        <v>4244</v>
      </c>
      <c r="C9651" s="1" t="str">
        <f>"Y098-AZUL"</f>
        <v>Y098-AZUL</v>
      </c>
      <c r="D9651" s="1" t="str">
        <f>"Y098-AZUL"</f>
        <v>Y098-AZUL</v>
      </c>
      <c r="E9651" s="1" t="s">
        <v>4566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</row>
    <row r="9652" spans="1:11" x14ac:dyDescent="0.2">
      <c r="A9652" s="1" t="s">
        <v>4243</v>
      </c>
      <c r="B9652" s="1" t="s">
        <v>4245</v>
      </c>
      <c r="C9652" s="1" t="str">
        <f>"Y098-NEGRO"</f>
        <v>Y098-NEGRO</v>
      </c>
      <c r="D9652" s="1" t="str">
        <f>"Y098-NEGRO"</f>
        <v>Y098-NEGRO</v>
      </c>
      <c r="E9652" s="1" t="s">
        <v>4566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</row>
    <row r="9653" spans="1:11" x14ac:dyDescent="0.2">
      <c r="A9653" s="1" t="s">
        <v>4243</v>
      </c>
      <c r="B9653" s="1" t="s">
        <v>4246</v>
      </c>
      <c r="C9653" s="1" t="str">
        <f>"66298945501009"</f>
        <v>66298945501009</v>
      </c>
      <c r="D9653" s="1" t="str">
        <f>"Y161"</f>
        <v>Y161</v>
      </c>
      <c r="E9653" s="1" t="s">
        <v>4566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</row>
    <row r="9654" spans="1:11" x14ac:dyDescent="0.2">
      <c r="A9654" s="1" t="s">
        <v>4243</v>
      </c>
      <c r="B9654" s="1" t="s">
        <v>4247</v>
      </c>
      <c r="C9654" s="1" t="str">
        <f>"Y070-NEGRO"</f>
        <v>Y070-NEGRO</v>
      </c>
      <c r="D9654" s="1" t="str">
        <f>"Y070-NEGRO"</f>
        <v>Y070-NEGRO</v>
      </c>
      <c r="E9654" s="1" t="s">
        <v>4566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</row>
    <row r="9655" spans="1:11" x14ac:dyDescent="0.2">
      <c r="A9655" s="1" t="s">
        <v>4243</v>
      </c>
      <c r="B9655" s="1" t="s">
        <v>4248</v>
      </c>
      <c r="C9655" s="1" t="str">
        <f>"Y070-ROJO"</f>
        <v>Y070-ROJO</v>
      </c>
      <c r="D9655" s="1" t="str">
        <f>"Y070-ROJO"</f>
        <v>Y070-ROJO</v>
      </c>
      <c r="E9655" s="1" t="s">
        <v>4566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</row>
    <row r="9656" spans="1:11" x14ac:dyDescent="0.2">
      <c r="A9656" s="1" t="s">
        <v>4243</v>
      </c>
      <c r="B9656" s="1" t="s">
        <v>4249</v>
      </c>
      <c r="C9656" s="1" t="str">
        <f>"Y026-NEGRO"</f>
        <v>Y026-NEGRO</v>
      </c>
      <c r="D9656" s="1" t="str">
        <f>"Y026-NEGRO"</f>
        <v>Y026-NEGRO</v>
      </c>
      <c r="E9656" s="1" t="s">
        <v>4566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</row>
    <row r="9657" spans="1:11" x14ac:dyDescent="0.2">
      <c r="A9657" s="1" t="s">
        <v>4243</v>
      </c>
      <c r="B9657" s="1" t="s">
        <v>4250</v>
      </c>
      <c r="C9657" s="1" t="str">
        <f>"Y027-ROJO"</f>
        <v>Y027-ROJO</v>
      </c>
      <c r="D9657" s="1" t="str">
        <f>"Y027-ROJO"</f>
        <v>Y027-ROJO</v>
      </c>
      <c r="E9657" s="1" t="s">
        <v>4566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</row>
    <row r="9658" spans="1:11" x14ac:dyDescent="0.2">
      <c r="A9658" s="1" t="s">
        <v>4243</v>
      </c>
      <c r="B9658" s="1" t="s">
        <v>4251</v>
      </c>
      <c r="C9658" s="1" t="str">
        <f>"66298945543423"</f>
        <v>66298945543423</v>
      </c>
      <c r="D9658" s="1" t="str">
        <f>"588012"</f>
        <v>588012</v>
      </c>
      <c r="E9658" s="1" t="s">
        <v>4566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</row>
    <row r="9659" spans="1:11" x14ac:dyDescent="0.2">
      <c r="A9659" s="1" t="s">
        <v>4243</v>
      </c>
      <c r="B9659" s="1" t="s">
        <v>4252</v>
      </c>
      <c r="C9659" s="1" t="str">
        <f>"Y024"</f>
        <v>Y024</v>
      </c>
      <c r="D9659" s="1" t="str">
        <f>"Y024"</f>
        <v>Y024</v>
      </c>
      <c r="E9659" s="1" t="s">
        <v>4566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</row>
    <row r="9660" spans="1:11" x14ac:dyDescent="0.2">
      <c r="A9660" s="1" t="s">
        <v>4243</v>
      </c>
      <c r="B9660" s="1" t="s">
        <v>4253</v>
      </c>
      <c r="C9660" s="1" t="str">
        <f>"66298945586843"</f>
        <v>66298945586843</v>
      </c>
      <c r="D9660" s="1" t="str">
        <f>"Y294"</f>
        <v>Y294</v>
      </c>
      <c r="E9660" s="1" t="s">
        <v>4566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</row>
    <row r="9661" spans="1:11" x14ac:dyDescent="0.2">
      <c r="A9661" s="1" t="s">
        <v>4243</v>
      </c>
      <c r="B9661" s="1" t="s">
        <v>4254</v>
      </c>
      <c r="C9661" s="1" t="str">
        <f>"66298945631992"</f>
        <v>66298945631992</v>
      </c>
      <c r="D9661" s="1" t="str">
        <f>"Y057"</f>
        <v>Y057</v>
      </c>
      <c r="E9661" s="1" t="s">
        <v>4566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</row>
    <row r="9662" spans="1:11" x14ac:dyDescent="0.2">
      <c r="A9662" s="1" t="s">
        <v>4243</v>
      </c>
      <c r="B9662" s="1" t="s">
        <v>4255</v>
      </c>
      <c r="C9662" s="1" t="str">
        <f>"66298945670212"</f>
        <v>66298945670212</v>
      </c>
      <c r="D9662" s="1" t="str">
        <f>"53111H2C000HA97"</f>
        <v>53111H2C000HA97</v>
      </c>
      <c r="E9662" s="1" t="s">
        <v>4566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</row>
    <row r="9663" spans="1:11" x14ac:dyDescent="0.2">
      <c r="A9663" s="1" t="s">
        <v>4243</v>
      </c>
      <c r="B9663" s="1" t="s">
        <v>4256</v>
      </c>
      <c r="C9663" s="1" t="str">
        <f>"53111H2C000HA28"</f>
        <v>53111H2C000HA28</v>
      </c>
      <c r="D9663" s="1" t="str">
        <f>"53111H2C000HA28"</f>
        <v>53111H2C000HA28</v>
      </c>
      <c r="E9663" s="1" t="s">
        <v>4566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</row>
    <row r="9664" spans="1:11" x14ac:dyDescent="0.2">
      <c r="A9664" s="1" t="s">
        <v>4243</v>
      </c>
      <c r="B9664" s="1" t="s">
        <v>4257</v>
      </c>
      <c r="C9664" s="1" t="str">
        <f>"Y334-BLANCO"</f>
        <v>Y334-BLANCO</v>
      </c>
      <c r="D9664" s="1" t="str">
        <f>"Y334-BLANCO"</f>
        <v>Y334-BLANCO</v>
      </c>
      <c r="E9664" s="1" t="s">
        <v>4566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</row>
    <row r="9665" spans="1:11" x14ac:dyDescent="0.2">
      <c r="A9665" s="1" t="s">
        <v>4243</v>
      </c>
      <c r="B9665" s="1" t="s">
        <v>4258</v>
      </c>
      <c r="C9665" s="1" t="str">
        <f>"Y334-NEGRO"</f>
        <v>Y334-NEGRO</v>
      </c>
      <c r="D9665" s="1" t="str">
        <f>"Y334-NEGRO"</f>
        <v>Y334-NEGRO</v>
      </c>
      <c r="E9665" s="1" t="s">
        <v>4566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</row>
    <row r="9666" spans="1:11" x14ac:dyDescent="0.2">
      <c r="A9666" s="1" t="s">
        <v>4243</v>
      </c>
      <c r="B9666" s="1" t="s">
        <v>4259</v>
      </c>
      <c r="C9666" s="1" t="str">
        <f>"52JF0597"</f>
        <v>52JF0597</v>
      </c>
      <c r="D9666" s="1" t="str">
        <f>"52JF0597"</f>
        <v>52JF0597</v>
      </c>
      <c r="E9666" s="1" t="s">
        <v>4566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</row>
    <row r="9667" spans="1:11" x14ac:dyDescent="0.2">
      <c r="A9667" s="1" t="s">
        <v>4243</v>
      </c>
      <c r="B9667" s="1" t="s">
        <v>4260</v>
      </c>
      <c r="C9667" s="1" t="str">
        <f>"Y008"</f>
        <v>Y008</v>
      </c>
      <c r="D9667" s="1" t="str">
        <f>"Y008"</f>
        <v>Y008</v>
      </c>
      <c r="E9667" s="1" t="s">
        <v>4566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</row>
    <row r="9668" spans="1:11" x14ac:dyDescent="0.2">
      <c r="A9668" s="1" t="s">
        <v>4243</v>
      </c>
      <c r="B9668" s="1" t="s">
        <v>4261</v>
      </c>
      <c r="C9668" s="1" t="str">
        <f>"Y056"</f>
        <v>Y056</v>
      </c>
      <c r="D9668" s="1" t="str">
        <f>"Y056"</f>
        <v>Y056</v>
      </c>
      <c r="E9668" s="1" t="s">
        <v>4566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</row>
    <row r="9669" spans="1:11" x14ac:dyDescent="0.2">
      <c r="A9669" s="1" t="s">
        <v>4243</v>
      </c>
      <c r="B9669" s="1" t="s">
        <v>4262</v>
      </c>
      <c r="C9669" s="1" t="str">
        <f>"Y021"</f>
        <v>Y021</v>
      </c>
      <c r="D9669" s="1" t="str">
        <f>"Y021"</f>
        <v>Y021</v>
      </c>
      <c r="E9669" s="1" t="s">
        <v>4566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</row>
    <row r="9670" spans="1:11" x14ac:dyDescent="0.2">
      <c r="A9670" s="1" t="s">
        <v>4243</v>
      </c>
      <c r="B9670" s="1" t="s">
        <v>4263</v>
      </c>
      <c r="C9670" s="1" t="str">
        <f>"Y059-ROJO"</f>
        <v>Y059-ROJO</v>
      </c>
      <c r="D9670" s="1" t="str">
        <f>"Y059-ROJO"</f>
        <v>Y059-ROJO</v>
      </c>
      <c r="E9670" s="1" t="s">
        <v>4566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</row>
    <row r="9671" spans="1:11" x14ac:dyDescent="0.2">
      <c r="A9671" s="1" t="s">
        <v>4243</v>
      </c>
      <c r="B9671" s="1" t="s">
        <v>4264</v>
      </c>
      <c r="C9671" s="1" t="str">
        <f>"Y038-BLANCO"</f>
        <v>Y038-BLANCO</v>
      </c>
      <c r="D9671" s="1" t="str">
        <f>"Y038-BLANCO"</f>
        <v>Y038-BLANCO</v>
      </c>
      <c r="E9671" s="1" t="s">
        <v>4566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</row>
    <row r="9672" spans="1:11" x14ac:dyDescent="0.2">
      <c r="A9672" s="1" t="s">
        <v>4243</v>
      </c>
      <c r="B9672" s="1" t="s">
        <v>4265</v>
      </c>
      <c r="C9672" s="1" t="str">
        <f>"Y038-ROJO"</f>
        <v>Y038-ROJO</v>
      </c>
      <c r="D9672" s="1" t="str">
        <f>"Y038-ROJO"</f>
        <v>Y038-ROJO</v>
      </c>
      <c r="E9672" s="1" t="s">
        <v>4566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</row>
    <row r="9673" spans="1:11" x14ac:dyDescent="0.2">
      <c r="A9673" s="1" t="s">
        <v>4243</v>
      </c>
      <c r="B9673" s="1" t="s">
        <v>4266</v>
      </c>
      <c r="C9673" s="1" t="str">
        <f>"Y015-2"</f>
        <v>Y015-2</v>
      </c>
      <c r="D9673" s="1" t="str">
        <f>"Y015-2"</f>
        <v>Y015-2</v>
      </c>
      <c r="E9673" s="1" t="s">
        <v>4566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</row>
    <row r="9674" spans="1:11" x14ac:dyDescent="0.2">
      <c r="A9674" s="1" t="s">
        <v>4243</v>
      </c>
      <c r="B9674" s="1" t="s">
        <v>4267</v>
      </c>
      <c r="C9674" s="1" t="str">
        <f>"66298945750213"</f>
        <v>66298945750213</v>
      </c>
      <c r="D9674" s="1" t="str">
        <f>"Y015-3"</f>
        <v>Y015-3</v>
      </c>
      <c r="E9674" s="1" t="s">
        <v>4566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</row>
    <row r="9675" spans="1:11" x14ac:dyDescent="0.2">
      <c r="A9675" s="1" t="s">
        <v>4243</v>
      </c>
      <c r="B9675" s="1" t="s">
        <v>4268</v>
      </c>
      <c r="C9675" s="1" t="str">
        <f>"Y015-1"</f>
        <v>Y015-1</v>
      </c>
      <c r="D9675" s="1" t="str">
        <f>"Y015-1"</f>
        <v>Y015-1</v>
      </c>
      <c r="E9675" s="1" t="s">
        <v>4566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</row>
    <row r="9676" spans="1:11" x14ac:dyDescent="0.2">
      <c r="A9676" s="1" t="s">
        <v>4243</v>
      </c>
      <c r="B9676" s="1" t="s">
        <v>4269</v>
      </c>
      <c r="C9676" s="1" t="str">
        <f>"66298945791791"</f>
        <v>66298945791791</v>
      </c>
      <c r="D9676" s="1" t="str">
        <f>"E021"</f>
        <v>E021</v>
      </c>
      <c r="E9676" s="1" t="s">
        <v>4566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</row>
    <row r="9677" spans="1:11" x14ac:dyDescent="0.2">
      <c r="A9677" s="1" t="s">
        <v>4243</v>
      </c>
      <c r="B9677" s="1" t="s">
        <v>4270</v>
      </c>
      <c r="C9677" s="1" t="str">
        <f>"B97F163A0000"</f>
        <v>B97F163A0000</v>
      </c>
      <c r="D9677" s="1" t="str">
        <f>"B97F163A0000"</f>
        <v>B97F163A0000</v>
      </c>
      <c r="E9677" s="1" t="s">
        <v>4566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</row>
    <row r="9678" spans="1:11" x14ac:dyDescent="0.2">
      <c r="A9678" s="1" t="s">
        <v>4243</v>
      </c>
      <c r="B9678" s="1" t="s">
        <v>4271</v>
      </c>
      <c r="C9678" s="1" t="str">
        <f>"66298945831356"</f>
        <v>66298945831356</v>
      </c>
      <c r="D9678" s="1" t="str">
        <f>"Y110"</f>
        <v>Y110</v>
      </c>
      <c r="E9678" s="1" t="s">
        <v>4566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</row>
    <row r="9679" spans="1:11" x14ac:dyDescent="0.2">
      <c r="A9679" s="1" t="s">
        <v>4243</v>
      </c>
      <c r="B9679" s="1" t="s">
        <v>4272</v>
      </c>
      <c r="C9679" s="1" t="str">
        <f>"66298945871430"</f>
        <v>66298945871430</v>
      </c>
      <c r="D9679" s="1" t="str">
        <f>"Y292"</f>
        <v>Y292</v>
      </c>
      <c r="E9679" s="1" t="s">
        <v>4566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</row>
    <row r="9680" spans="1:11" x14ac:dyDescent="0.2">
      <c r="A9680" s="1" t="s">
        <v>4243</v>
      </c>
      <c r="B9680" s="1" t="s">
        <v>4273</v>
      </c>
      <c r="C9680" s="1" t="str">
        <f>"66298945910268"</f>
        <v>66298945910268</v>
      </c>
      <c r="D9680" s="1" t="str">
        <f>"FZ012"</f>
        <v>FZ012</v>
      </c>
      <c r="E9680" s="1" t="s">
        <v>4566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</row>
    <row r="9681" spans="1:11" x14ac:dyDescent="0.2">
      <c r="A9681" s="1" t="s">
        <v>4243</v>
      </c>
      <c r="B9681" s="1" t="s">
        <v>4274</v>
      </c>
      <c r="C9681" s="1" t="str">
        <f>"B97F1629000"</f>
        <v>B97F1629000</v>
      </c>
      <c r="D9681" s="1" t="str">
        <f>"B97F1629000"</f>
        <v>B97F1629000</v>
      </c>
      <c r="E9681" s="1" t="s">
        <v>4566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</row>
    <row r="9682" spans="1:11" x14ac:dyDescent="0.2">
      <c r="A9682" s="1" t="s">
        <v>4243</v>
      </c>
      <c r="B9682" s="1" t="s">
        <v>4275</v>
      </c>
      <c r="C9682" s="1" t="str">
        <f>"66298945954908"</f>
        <v>66298945954908</v>
      </c>
      <c r="D9682" s="1" t="str">
        <f>"63111H2C003H000"</f>
        <v>63111H2C003H000</v>
      </c>
      <c r="E9682" s="1" t="s">
        <v>4566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</row>
    <row r="9683" spans="1:11" x14ac:dyDescent="0.2">
      <c r="A9683" s="1" t="s">
        <v>4243</v>
      </c>
      <c r="B9683" s="1" t="s">
        <v>4276</v>
      </c>
      <c r="C9683" s="1" t="str">
        <f>"66298945992580"</f>
        <v>66298945992580</v>
      </c>
      <c r="D9683" s="1" t="str">
        <f>"Y063"</f>
        <v>Y063</v>
      </c>
      <c r="E9683" s="1" t="s">
        <v>4566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</row>
    <row r="9684" spans="1:11" x14ac:dyDescent="0.2">
      <c r="A9684" s="1" t="s">
        <v>4243</v>
      </c>
      <c r="B9684" s="1" t="s">
        <v>4277</v>
      </c>
      <c r="C9684" s="1" t="str">
        <f>"Y042-BLANCO"</f>
        <v>Y042-BLANCO</v>
      </c>
      <c r="D9684" s="1" t="str">
        <f>"Y042-BLANCO"</f>
        <v>Y042-BLANCO</v>
      </c>
      <c r="E9684" s="1" t="s">
        <v>4566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</row>
    <row r="9685" spans="1:11" x14ac:dyDescent="0.2">
      <c r="A9685" s="1" t="s">
        <v>4243</v>
      </c>
      <c r="B9685" s="1" t="s">
        <v>4278</v>
      </c>
      <c r="C9685" s="1" t="str">
        <f>"Y042-NEGRO"</f>
        <v>Y042-NEGRO</v>
      </c>
      <c r="D9685" s="1" t="str">
        <f>"Y042-NEGRO"</f>
        <v>Y042-NEGRO</v>
      </c>
      <c r="E9685" s="1" t="s">
        <v>4566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</row>
    <row r="9686" spans="1:11" x14ac:dyDescent="0.2">
      <c r="A9686" s="1" t="s">
        <v>4243</v>
      </c>
      <c r="B9686" s="1" t="s">
        <v>4279</v>
      </c>
      <c r="C9686" s="1" t="str">
        <f>"Y042-ROJO"</f>
        <v>Y042-ROJO</v>
      </c>
      <c r="D9686" s="1" t="str">
        <f>"Y042-ROJO"</f>
        <v>Y042-ROJO</v>
      </c>
      <c r="E9686" s="1" t="s">
        <v>4566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</row>
    <row r="9687" spans="1:11" x14ac:dyDescent="0.2">
      <c r="A9687" s="1" t="s">
        <v>4243</v>
      </c>
      <c r="B9687" s="1" t="s">
        <v>4280</v>
      </c>
      <c r="C9687" s="1" t="str">
        <f>"Y052"</f>
        <v>Y052</v>
      </c>
      <c r="D9687" s="1" t="str">
        <f>"Y052"</f>
        <v>Y052</v>
      </c>
      <c r="E9687" s="1" t="s">
        <v>4566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</row>
    <row r="9688" spans="1:11" x14ac:dyDescent="0.2">
      <c r="A9688" s="1" t="s">
        <v>4243</v>
      </c>
      <c r="B9688" s="1" t="s">
        <v>4281</v>
      </c>
      <c r="C9688" s="1" t="str">
        <f>"Y164-AZUL"</f>
        <v>Y164-AZUL</v>
      </c>
      <c r="D9688" s="1" t="str">
        <f>"Y164-AZUL"</f>
        <v>Y164-AZUL</v>
      </c>
      <c r="E9688" s="1" t="s">
        <v>4566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</row>
    <row r="9689" spans="1:11" x14ac:dyDescent="0.2">
      <c r="A9689" s="1" t="s">
        <v>4189</v>
      </c>
      <c r="B9689" s="1" t="s">
        <v>4282</v>
      </c>
      <c r="C9689" s="1" t="str">
        <f>"Y187-ROJO"</f>
        <v>Y187-ROJO</v>
      </c>
      <c r="D9689" s="1" t="str">
        <f>"Y187-ROJO"</f>
        <v>Y187-ROJO</v>
      </c>
      <c r="E9689" s="1" t="s">
        <v>4566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</row>
    <row r="9690" spans="1:11" x14ac:dyDescent="0.2">
      <c r="A9690" s="1" t="s">
        <v>4189</v>
      </c>
      <c r="B9690" s="1" t="s">
        <v>4283</v>
      </c>
      <c r="C9690" s="1" t="str">
        <f>"Y013-NEGRO"</f>
        <v>Y013-NEGRO</v>
      </c>
      <c r="D9690" s="1" t="str">
        <f>"Y013-NEGRO"</f>
        <v>Y013-NEGRO</v>
      </c>
      <c r="E9690" s="1" t="s">
        <v>4566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</row>
    <row r="9691" spans="1:11" x14ac:dyDescent="0.2">
      <c r="A9691" s="1" t="s">
        <v>4189</v>
      </c>
      <c r="B9691" s="1" t="s">
        <v>4284</v>
      </c>
      <c r="C9691" s="1" t="str">
        <f>"Y013-ROJO"</f>
        <v>Y013-ROJO</v>
      </c>
      <c r="D9691" s="1" t="str">
        <f>"Y013-ROJO"</f>
        <v>Y013-ROJO</v>
      </c>
      <c r="E9691" s="1" t="s">
        <v>4566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</row>
    <row r="9692" spans="1:11" x14ac:dyDescent="0.2">
      <c r="A9692" s="1" t="s">
        <v>4189</v>
      </c>
      <c r="B9692" s="1" t="s">
        <v>4285</v>
      </c>
      <c r="C9692" s="1" t="str">
        <f>"Y335-BLANCO"</f>
        <v>Y335-BLANCO</v>
      </c>
      <c r="D9692" s="1" t="str">
        <f>"Y335-BLANCO"</f>
        <v>Y335-BLANCO</v>
      </c>
      <c r="E9692" s="1" t="s">
        <v>4566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</row>
    <row r="9693" spans="1:11" ht="30" x14ac:dyDescent="0.2">
      <c r="A9693" s="1" t="s">
        <v>4189</v>
      </c>
      <c r="B9693" s="1" t="s">
        <v>4286</v>
      </c>
      <c r="C9693" s="1" t="str">
        <f>"Y041-NEGRO"</f>
        <v>Y041-NEGRO</v>
      </c>
      <c r="D9693" s="1" t="str">
        <f>"Y041-NEGRO"</f>
        <v>Y041-NEGRO</v>
      </c>
      <c r="E9693" s="1" t="s">
        <v>4566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</row>
    <row r="9694" spans="1:11" x14ac:dyDescent="0.2">
      <c r="A9694" s="1" t="s">
        <v>4189</v>
      </c>
      <c r="B9694" s="1" t="s">
        <v>4287</v>
      </c>
      <c r="C9694" s="1" t="str">
        <f>"Y041-ROJO"</f>
        <v>Y041-ROJO</v>
      </c>
      <c r="D9694" s="1" t="str">
        <f>"Y041-ROJO"</f>
        <v>Y041-ROJO</v>
      </c>
      <c r="E9694" s="1" t="s">
        <v>4566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</row>
    <row r="9695" spans="1:11" ht="30" x14ac:dyDescent="0.2">
      <c r="A9695" s="1" t="s">
        <v>4189</v>
      </c>
      <c r="B9695" s="1" t="s">
        <v>4288</v>
      </c>
      <c r="C9695" s="1" t="str">
        <f>"Y058"</f>
        <v>Y058</v>
      </c>
      <c r="D9695" s="1" t="str">
        <f>"Y058"</f>
        <v>Y058</v>
      </c>
      <c r="E9695" s="1" t="s">
        <v>4566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</row>
    <row r="9696" spans="1:11" ht="30" x14ac:dyDescent="0.2">
      <c r="A9696" s="1" t="s">
        <v>4189</v>
      </c>
      <c r="B9696" s="1" t="s">
        <v>4289</v>
      </c>
      <c r="C9696" s="1" t="str">
        <f>"Y053"</f>
        <v>Y053</v>
      </c>
      <c r="D9696" s="1" t="str">
        <f>"Y053"</f>
        <v>Y053</v>
      </c>
      <c r="E9696" s="1" t="s">
        <v>4566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</row>
    <row r="9697" spans="1:11" x14ac:dyDescent="0.2">
      <c r="A9697" s="1" t="s">
        <v>4189</v>
      </c>
      <c r="B9697" s="1" t="s">
        <v>4290</v>
      </c>
      <c r="C9697" s="1" t="str">
        <f>"66298946079846"</f>
        <v>66298946079846</v>
      </c>
      <c r="D9697" s="1" t="str">
        <f>"Y163-BLANCO"</f>
        <v>Y163-BLANCO</v>
      </c>
      <c r="E9697" s="1" t="s">
        <v>4566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</row>
    <row r="9698" spans="1:11" x14ac:dyDescent="0.2">
      <c r="A9698" s="1" t="s">
        <v>1413</v>
      </c>
      <c r="B9698" s="1" t="s">
        <v>4291</v>
      </c>
      <c r="C9698" s="1" t="str">
        <f>"Y040-NEGRO"</f>
        <v>Y040-NEGRO</v>
      </c>
      <c r="D9698" s="1" t="str">
        <f>"Y040-NEGRO"</f>
        <v>Y040-NEGRO</v>
      </c>
      <c r="E9698" s="1" t="s">
        <v>4566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</row>
    <row r="9699" spans="1:11" x14ac:dyDescent="0.2">
      <c r="A9699" s="1" t="s">
        <v>4189</v>
      </c>
      <c r="B9699" s="1" t="s">
        <v>4292</v>
      </c>
      <c r="C9699" s="1" t="str">
        <f>"66298946121785"</f>
        <v>66298946121785</v>
      </c>
      <c r="D9699" s="1" t="str">
        <f>"Y004-AZUL"</f>
        <v>Y004-AZUL</v>
      </c>
      <c r="E9699" s="1" t="s">
        <v>4566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</row>
    <row r="9700" spans="1:11" x14ac:dyDescent="0.2">
      <c r="A9700" s="1" t="s">
        <v>4189</v>
      </c>
      <c r="B9700" s="1" t="s">
        <v>4293</v>
      </c>
      <c r="C9700" s="1" t="str">
        <f>"66298946169417"</f>
        <v>66298946169417</v>
      </c>
      <c r="D9700" s="1" t="str">
        <f>"Y004-GRIS"</f>
        <v>Y004-GRIS</v>
      </c>
      <c r="E9700" s="1" t="s">
        <v>4566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</row>
    <row r="9701" spans="1:11" x14ac:dyDescent="0.2">
      <c r="A9701" s="1" t="s">
        <v>4189</v>
      </c>
      <c r="B9701" s="1" t="s">
        <v>4294</v>
      </c>
      <c r="C9701" s="1" t="str">
        <f>"66298946220737"</f>
        <v>66298946220737</v>
      </c>
      <c r="D9701" s="1" t="str">
        <f>"Y004-ROJO"</f>
        <v>Y004-ROJO</v>
      </c>
      <c r="E9701" s="1" t="s">
        <v>4566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</row>
    <row r="9702" spans="1:11" x14ac:dyDescent="0.2">
      <c r="A9702" s="1" t="s">
        <v>4189</v>
      </c>
      <c r="B9702" s="1" t="s">
        <v>4295</v>
      </c>
      <c r="C9702" s="1" t="str">
        <f>"Y104-AZUL"</f>
        <v>Y104-AZUL</v>
      </c>
      <c r="D9702" s="1" t="str">
        <f>"Y104-AZUL"</f>
        <v>Y104-AZUL</v>
      </c>
      <c r="E9702" s="1" t="s">
        <v>4566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</row>
    <row r="9703" spans="1:11" x14ac:dyDescent="0.2">
      <c r="A9703" s="1" t="s">
        <v>4189</v>
      </c>
      <c r="B9703" s="1" t="s">
        <v>4296</v>
      </c>
      <c r="C9703" s="1" t="str">
        <f>"66298946262495"</f>
        <v>66298946262495</v>
      </c>
      <c r="D9703" s="1" t="str">
        <f>"Y075-B"</f>
        <v>Y075-B</v>
      </c>
      <c r="E9703" s="1" t="s">
        <v>4566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</row>
    <row r="9704" spans="1:11" ht="30" x14ac:dyDescent="0.2">
      <c r="A9704" s="1" t="s">
        <v>4189</v>
      </c>
      <c r="B9704" s="1" t="s">
        <v>4297</v>
      </c>
      <c r="C9704" s="1" t="str">
        <f>"Y101-BLANCO/ROJO"</f>
        <v>Y101-BLANCO/ROJO</v>
      </c>
      <c r="D9704" s="1" t="str">
        <f>"Y101-BLANCO/ROJO"</f>
        <v>Y101-BLANCO/ROJO</v>
      </c>
      <c r="E9704" s="1" t="s">
        <v>4566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</row>
    <row r="9705" spans="1:11" x14ac:dyDescent="0.2">
      <c r="A9705" s="1" t="s">
        <v>4189</v>
      </c>
      <c r="B9705" s="1" t="s">
        <v>4298</v>
      </c>
      <c r="C9705" s="1" t="str">
        <f>"66298946306539"</f>
        <v>66298946306539</v>
      </c>
      <c r="D9705" s="1" t="str">
        <f>"FZ013N"</f>
        <v>FZ013N</v>
      </c>
      <c r="E9705" s="1" t="s">
        <v>4566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</row>
    <row r="9706" spans="1:11" x14ac:dyDescent="0.2">
      <c r="A9706" s="1" t="s">
        <v>4189</v>
      </c>
      <c r="B9706" s="1" t="s">
        <v>4299</v>
      </c>
      <c r="C9706" s="1" t="str">
        <f>"66298946347260"</f>
        <v>66298946347260</v>
      </c>
      <c r="D9706" s="1" t="str">
        <f>"FZ013R"</f>
        <v>FZ013R</v>
      </c>
      <c r="E9706" s="1" t="s">
        <v>4566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</row>
    <row r="9707" spans="1:11" x14ac:dyDescent="0.2">
      <c r="A9707" s="1" t="s">
        <v>4189</v>
      </c>
      <c r="B9707" s="1" t="s">
        <v>4300</v>
      </c>
      <c r="C9707" s="1" t="str">
        <f>"Y012-ROJO"</f>
        <v>Y012-ROJO</v>
      </c>
      <c r="D9707" s="1" t="str">
        <f>"Y012-ROJO"</f>
        <v>Y012-ROJO</v>
      </c>
      <c r="E9707" s="1" t="s">
        <v>4566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</row>
    <row r="9708" spans="1:11" x14ac:dyDescent="0.2">
      <c r="A9708" s="1" t="s">
        <v>4189</v>
      </c>
      <c r="B9708" s="1" t="s">
        <v>4301</v>
      </c>
      <c r="C9708" s="1" t="str">
        <f>"Y337-BLANCO"</f>
        <v>Y337-BLANCO</v>
      </c>
      <c r="D9708" s="1" t="str">
        <f>"Y337-BLANCO"</f>
        <v>Y337-BLANCO</v>
      </c>
      <c r="E9708" s="1" t="s">
        <v>4566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</row>
    <row r="9709" spans="1:11" x14ac:dyDescent="0.2">
      <c r="A9709" s="1" t="s">
        <v>4189</v>
      </c>
      <c r="B9709" s="1" t="s">
        <v>4302</v>
      </c>
      <c r="C9709" s="1" t="str">
        <f>"Y339-BLANCO"</f>
        <v>Y339-BLANCO</v>
      </c>
      <c r="D9709" s="1" t="str">
        <f>"Y339-BLANCO"</f>
        <v>Y339-BLANCO</v>
      </c>
      <c r="E9709" s="1" t="s">
        <v>4566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</row>
    <row r="9710" spans="1:11" x14ac:dyDescent="0.2">
      <c r="A9710" s="1" t="s">
        <v>4189</v>
      </c>
      <c r="B9710" s="1" t="s">
        <v>4303</v>
      </c>
      <c r="C9710" s="1" t="str">
        <f>"Y339-NEGRO"</f>
        <v>Y339-NEGRO</v>
      </c>
      <c r="D9710" s="1" t="str">
        <f>"Y339-NEGRO"</f>
        <v>Y339-NEGRO</v>
      </c>
      <c r="E9710" s="1" t="s">
        <v>4566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</row>
    <row r="9711" spans="1:11" x14ac:dyDescent="0.2">
      <c r="A9711" s="1" t="s">
        <v>4189</v>
      </c>
      <c r="B9711" s="1" t="s">
        <v>4304</v>
      </c>
      <c r="C9711" s="1" t="str">
        <f>"66298946390046"</f>
        <v>66298946390046</v>
      </c>
      <c r="D9711" s="1" t="str">
        <f>"FZ010N"</f>
        <v>FZ010N</v>
      </c>
      <c r="E9711" s="1" t="s">
        <v>4566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</row>
    <row r="9712" spans="1:11" x14ac:dyDescent="0.2">
      <c r="A9712" s="1" t="s">
        <v>4189</v>
      </c>
      <c r="B9712" s="1" t="s">
        <v>4305</v>
      </c>
      <c r="C9712" s="1" t="str">
        <f>"66298946432990"</f>
        <v>66298946432990</v>
      </c>
      <c r="D9712" s="1" t="str">
        <f>"FZ010R"</f>
        <v>FZ010R</v>
      </c>
      <c r="E9712" s="1" t="s">
        <v>4566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</row>
    <row r="9713" spans="1:11" x14ac:dyDescent="0.2">
      <c r="A9713" s="1" t="s">
        <v>4189</v>
      </c>
      <c r="B9713" s="1" t="s">
        <v>4306</v>
      </c>
      <c r="C9713" s="1" t="str">
        <f>"Y047-NEGRO"</f>
        <v>Y047-NEGRO</v>
      </c>
      <c r="D9713" s="1" t="str">
        <f>"Y047-NEGRO"</f>
        <v>Y047-NEGRO</v>
      </c>
      <c r="E9713" s="1" t="s">
        <v>4566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</row>
    <row r="9714" spans="1:11" x14ac:dyDescent="0.2">
      <c r="A9714" s="1" t="s">
        <v>4189</v>
      </c>
      <c r="B9714" s="1" t="s">
        <v>4306</v>
      </c>
      <c r="C9714" s="1" t="str">
        <f>"Y071-NEGRO"</f>
        <v>Y071-NEGRO</v>
      </c>
      <c r="D9714" s="1" t="str">
        <f>"Y071-NEGRO"</f>
        <v>Y071-NEGRO</v>
      </c>
      <c r="E9714" s="1" t="s">
        <v>4566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</row>
    <row r="9715" spans="1:11" x14ac:dyDescent="0.2">
      <c r="A9715" s="1" t="s">
        <v>4189</v>
      </c>
      <c r="B9715" s="1" t="s">
        <v>4307</v>
      </c>
      <c r="C9715" s="1" t="str">
        <f>"Y047-ROJO"</f>
        <v>Y047-ROJO</v>
      </c>
      <c r="D9715" s="1" t="str">
        <f>"Y047-ROJO"</f>
        <v>Y047-ROJO</v>
      </c>
      <c r="E9715" s="1" t="s">
        <v>4566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</row>
    <row r="9716" spans="1:11" x14ac:dyDescent="0.2">
      <c r="A9716" s="1" t="s">
        <v>4189</v>
      </c>
      <c r="B9716" s="1" t="s">
        <v>4308</v>
      </c>
      <c r="C9716" s="1" t="str">
        <f>"Y338-BLANCO"</f>
        <v>Y338-BLANCO</v>
      </c>
      <c r="D9716" s="1" t="str">
        <f>"Y338-BLANCO"</f>
        <v>Y338-BLANCO</v>
      </c>
      <c r="E9716" s="1" t="s">
        <v>4566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</row>
    <row r="9717" spans="1:11" x14ac:dyDescent="0.2">
      <c r="A9717" s="1" t="s">
        <v>4189</v>
      </c>
      <c r="B9717" s="1" t="s">
        <v>4309</v>
      </c>
      <c r="C9717" s="1" t="str">
        <f>"Y055-NEGRO"</f>
        <v>Y055-NEGRO</v>
      </c>
      <c r="D9717" s="1" t="str">
        <f>"Y055-NEGRO"</f>
        <v>Y055-NEGRO</v>
      </c>
      <c r="E9717" s="1" t="s">
        <v>4566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</row>
    <row r="9718" spans="1:11" x14ac:dyDescent="0.2">
      <c r="A9718" s="1" t="s">
        <v>4189</v>
      </c>
      <c r="B9718" s="1" t="s">
        <v>4310</v>
      </c>
      <c r="C9718" s="1" t="str">
        <f>"Y055-ROJO"</f>
        <v>Y055-ROJO</v>
      </c>
      <c r="D9718" s="1" t="str">
        <f>"Y055-ROJO"</f>
        <v>Y055-ROJO</v>
      </c>
      <c r="E9718" s="1" t="s">
        <v>4566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</row>
    <row r="9719" spans="1:11" x14ac:dyDescent="0.2">
      <c r="A9719" s="1" t="s">
        <v>4189</v>
      </c>
      <c r="B9719" s="1" t="s">
        <v>4311</v>
      </c>
      <c r="C9719" s="1" t="str">
        <f>"Y030-NEGRO"</f>
        <v>Y030-NEGRO</v>
      </c>
      <c r="D9719" s="1" t="str">
        <f>"Y030-NEGRO"</f>
        <v>Y030-NEGRO</v>
      </c>
      <c r="E9719" s="1" t="s">
        <v>4566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</row>
    <row r="9720" spans="1:11" x14ac:dyDescent="0.2">
      <c r="A9720" s="1" t="s">
        <v>4189</v>
      </c>
      <c r="B9720" s="1" t="s">
        <v>4312</v>
      </c>
      <c r="C9720" s="1" t="str">
        <f>"Y031-ROJO"</f>
        <v>Y031-ROJO</v>
      </c>
      <c r="D9720" s="1" t="str">
        <f>"Y031-ROJO"</f>
        <v>Y031-ROJO</v>
      </c>
      <c r="E9720" s="1" t="s">
        <v>4566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</row>
    <row r="9721" spans="1:11" x14ac:dyDescent="0.2">
      <c r="A9721" s="1" t="s">
        <v>4189</v>
      </c>
      <c r="B9721" s="1" t="s">
        <v>4313</v>
      </c>
      <c r="C9721" s="1" t="str">
        <f>"66298946476560"</f>
        <v>66298946476560</v>
      </c>
      <c r="D9721" s="1" t="str">
        <f>"Y299"</f>
        <v>Y299</v>
      </c>
      <c r="E9721" s="1" t="s">
        <v>4566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</row>
    <row r="9722" spans="1:11" x14ac:dyDescent="0.2">
      <c r="A9722" s="1" t="s">
        <v>4189</v>
      </c>
      <c r="B9722" s="1" t="s">
        <v>4314</v>
      </c>
      <c r="C9722" s="1" t="str">
        <f>"Y336"</f>
        <v>Y336</v>
      </c>
      <c r="D9722" s="1" t="str">
        <f>"Y336"</f>
        <v>Y336</v>
      </c>
      <c r="E9722" s="1" t="s">
        <v>4566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</row>
    <row r="9723" spans="1:11" x14ac:dyDescent="0.2">
      <c r="A9723" s="1" t="s">
        <v>4189</v>
      </c>
      <c r="B9723" s="1" t="s">
        <v>4315</v>
      </c>
      <c r="C9723" s="1" t="str">
        <f>"66298946515296"</f>
        <v>66298946515296</v>
      </c>
      <c r="D9723" s="1" t="str">
        <f>"E006"</f>
        <v>E006</v>
      </c>
      <c r="E9723" s="1" t="s">
        <v>4566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</row>
    <row r="9724" spans="1:11" x14ac:dyDescent="0.2">
      <c r="A9724" s="1" t="s">
        <v>4189</v>
      </c>
      <c r="B9724" s="1" t="s">
        <v>4316</v>
      </c>
      <c r="C9724" s="1" t="str">
        <f>"66298946559082"</f>
        <v>66298946559082</v>
      </c>
      <c r="D9724" s="1" t="str">
        <f>"E007"</f>
        <v>E007</v>
      </c>
      <c r="E9724" s="1" t="s">
        <v>4566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</row>
    <row r="9725" spans="1:11" x14ac:dyDescent="0.2">
      <c r="A9725" s="1" t="s">
        <v>4189</v>
      </c>
      <c r="B9725" s="1" t="s">
        <v>4317</v>
      </c>
      <c r="C9725" s="1" t="str">
        <f>"66298946685924"</f>
        <v>66298946685924</v>
      </c>
      <c r="D9725" s="1" t="str">
        <f>"Y170-A"</f>
        <v>Y170-A</v>
      </c>
      <c r="E9725" s="1" t="s">
        <v>4566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</row>
    <row r="9726" spans="1:11" ht="30" x14ac:dyDescent="0.2">
      <c r="A9726" s="1" t="s">
        <v>4189</v>
      </c>
      <c r="B9726" s="1" t="s">
        <v>4318</v>
      </c>
      <c r="C9726" s="1" t="str">
        <f>"Y039-BLANCO"</f>
        <v>Y039-BLANCO</v>
      </c>
      <c r="D9726" s="1" t="str">
        <f>"Y039-BLANCO"</f>
        <v>Y039-BLANCO</v>
      </c>
      <c r="E9726" s="1" t="s">
        <v>4566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</row>
    <row r="9727" spans="1:11" ht="30" x14ac:dyDescent="0.2">
      <c r="A9727" s="1" t="s">
        <v>4189</v>
      </c>
      <c r="B9727" s="1" t="s">
        <v>4319</v>
      </c>
      <c r="C9727" s="1" t="str">
        <f>"Y039-NEGRO"</f>
        <v>Y039-NEGRO</v>
      </c>
      <c r="D9727" s="1" t="str">
        <f>"Y039-NEGRO"</f>
        <v>Y039-NEGRO</v>
      </c>
      <c r="E9727" s="1" t="s">
        <v>4566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</row>
    <row r="9728" spans="1:11" x14ac:dyDescent="0.2">
      <c r="A9728" s="1" t="s">
        <v>4189</v>
      </c>
      <c r="B9728" s="1" t="s">
        <v>4320</v>
      </c>
      <c r="C9728" s="1" t="str">
        <f>"66298946638898"</f>
        <v>66298946638898</v>
      </c>
      <c r="D9728" s="1" t="str">
        <f>"Y028"</f>
        <v>Y028</v>
      </c>
      <c r="E9728" s="1" t="s">
        <v>4566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</row>
    <row r="9729" spans="1:11" x14ac:dyDescent="0.2">
      <c r="A9729" s="1" t="s">
        <v>4233</v>
      </c>
      <c r="B9729" s="1" t="s">
        <v>4321</v>
      </c>
      <c r="C9729" s="1" t="str">
        <f>"66298946733546"</f>
        <v>66298946733546</v>
      </c>
      <c r="D9729" s="1" t="str">
        <f>"82860"</f>
        <v>82860</v>
      </c>
      <c r="E9729" s="1" t="s">
        <v>4566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</row>
    <row r="9730" spans="1:11" x14ac:dyDescent="0.2">
      <c r="A9730" s="1" t="s">
        <v>4233</v>
      </c>
      <c r="B9730" s="1" t="s">
        <v>4322</v>
      </c>
      <c r="C9730" s="1" t="str">
        <f>"66298946772461"</f>
        <v>66298946772461</v>
      </c>
      <c r="D9730" s="1" t="str">
        <f>"CM003"</f>
        <v>CM003</v>
      </c>
      <c r="E9730" s="1" t="s">
        <v>4566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</row>
    <row r="9731" spans="1:11" x14ac:dyDescent="0.2">
      <c r="A9731" s="1" t="s">
        <v>4233</v>
      </c>
      <c r="B9731" s="1" t="s">
        <v>4323</v>
      </c>
      <c r="C9731" s="1" t="str">
        <f>"H2121"</f>
        <v>H2121</v>
      </c>
      <c r="D9731" s="1" t="str">
        <f>"H2121"</f>
        <v>H2121</v>
      </c>
      <c r="E9731" s="1" t="s">
        <v>4566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</row>
    <row r="9732" spans="1:11" x14ac:dyDescent="0.2">
      <c r="A9732" s="1" t="s">
        <v>4233</v>
      </c>
      <c r="B9732" s="1" t="s">
        <v>4324</v>
      </c>
      <c r="C9732" s="1" t="str">
        <f>"66298946813144"</f>
        <v>66298946813144</v>
      </c>
      <c r="D9732" s="1" t="str">
        <f>"82868"</f>
        <v>82868</v>
      </c>
      <c r="E9732" s="1" t="s">
        <v>4566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</row>
    <row r="9733" spans="1:11" x14ac:dyDescent="0.2">
      <c r="A9733" s="1" t="s">
        <v>4233</v>
      </c>
      <c r="B9733" s="1" t="s">
        <v>4325</v>
      </c>
      <c r="C9733" s="1" t="str">
        <f>"12402"</f>
        <v>12402</v>
      </c>
      <c r="D9733" s="1" t="str">
        <f>"12402"</f>
        <v>12402</v>
      </c>
      <c r="E9733" s="1" t="s">
        <v>4566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</row>
    <row r="9734" spans="1:11" x14ac:dyDescent="0.2">
      <c r="A9734" s="1" t="s">
        <v>4233</v>
      </c>
      <c r="B9734" s="1" t="s">
        <v>4326</v>
      </c>
      <c r="C9734" s="1" t="str">
        <f>"66298946855820"</f>
        <v>66298946855820</v>
      </c>
      <c r="D9734" s="1" t="str">
        <f>"83965"</f>
        <v>83965</v>
      </c>
      <c r="E9734" s="1" t="s">
        <v>4566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</row>
    <row r="9735" spans="1:11" x14ac:dyDescent="0.2">
      <c r="A9735" s="1" t="s">
        <v>4233</v>
      </c>
      <c r="B9735" s="1" t="s">
        <v>4327</v>
      </c>
      <c r="C9735" s="1" t="str">
        <f>"66298946894995"</f>
        <v>66298946894995</v>
      </c>
      <c r="D9735" s="1" t="str">
        <f>"CN001"</f>
        <v>CN001</v>
      </c>
      <c r="E9735" s="1" t="s">
        <v>4566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</row>
    <row r="9736" spans="1:11" x14ac:dyDescent="0.2">
      <c r="A9736" s="1" t="s">
        <v>4233</v>
      </c>
      <c r="B9736" s="1" t="s">
        <v>4328</v>
      </c>
      <c r="C9736" s="1" t="str">
        <f>"66298946934768"</f>
        <v>66298946934768</v>
      </c>
      <c r="D9736" s="1" t="str">
        <f>"DCA003"</f>
        <v>DCA003</v>
      </c>
      <c r="E9736" s="1" t="s">
        <v>4566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</row>
    <row r="9737" spans="1:11" ht="30" x14ac:dyDescent="0.2">
      <c r="A9737" s="1" t="s">
        <v>4329</v>
      </c>
      <c r="B9737" s="1" t="s">
        <v>4330</v>
      </c>
      <c r="C9737" s="1" t="str">
        <f>"66298946973969"</f>
        <v>66298946973969</v>
      </c>
      <c r="D9737" s="1" t="str">
        <f>"400981"</f>
        <v>400981</v>
      </c>
      <c r="E9737" s="1" t="s">
        <v>4566</v>
      </c>
      <c r="F9737" s="1">
        <v>200</v>
      </c>
      <c r="G9737" s="1">
        <v>1367</v>
      </c>
      <c r="H9737" s="1">
        <v>273400</v>
      </c>
      <c r="I9737" s="1">
        <v>0</v>
      </c>
      <c r="J9737" s="1">
        <v>200</v>
      </c>
      <c r="K9737" s="1">
        <v>0</v>
      </c>
    </row>
    <row r="9738" spans="1:11" x14ac:dyDescent="0.2">
      <c r="A9738" s="1" t="s">
        <v>4329</v>
      </c>
      <c r="B9738" s="1" t="s">
        <v>4331</v>
      </c>
      <c r="C9738" s="1" t="str">
        <f>"66298947015444"</f>
        <v>66298947015444</v>
      </c>
      <c r="D9738" s="1" t="str">
        <f>"14520-KSP-910JP"</f>
        <v>14520-KSP-910JP</v>
      </c>
      <c r="E9738" s="1" t="s">
        <v>4566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</row>
    <row r="9739" spans="1:11" x14ac:dyDescent="0.2">
      <c r="A9739" s="1" t="s">
        <v>4329</v>
      </c>
      <c r="B9739" s="1" t="s">
        <v>4332</v>
      </c>
      <c r="C9739" s="1" t="str">
        <f>"66298947173500"</f>
        <v>66298947173500</v>
      </c>
      <c r="D9739" s="1" t="str">
        <f>"400986"</f>
        <v>400986</v>
      </c>
      <c r="E9739" s="1" t="s">
        <v>4566</v>
      </c>
      <c r="F9739" s="1">
        <v>200</v>
      </c>
      <c r="G9739" s="1">
        <v>1265</v>
      </c>
      <c r="H9739" s="1">
        <v>253000</v>
      </c>
      <c r="I9739" s="1">
        <v>0</v>
      </c>
      <c r="J9739" s="1">
        <v>200</v>
      </c>
      <c r="K9739" s="1">
        <v>0</v>
      </c>
    </row>
    <row r="9740" spans="1:11" x14ac:dyDescent="0.2">
      <c r="A9740" s="1" t="s">
        <v>4329</v>
      </c>
      <c r="B9740" s="1" t="s">
        <v>4333</v>
      </c>
      <c r="C9740" s="1" t="str">
        <f>"66298947066446"</f>
        <v>66298947066446</v>
      </c>
      <c r="D9740" s="1" t="str">
        <f>"21C-E2210-00JP"</f>
        <v>21C-E2210-00JP</v>
      </c>
      <c r="E9740" s="1" t="s">
        <v>4566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</row>
    <row r="9741" spans="1:11" x14ac:dyDescent="0.2">
      <c r="A9741" s="1" t="s">
        <v>4329</v>
      </c>
      <c r="B9741" s="1" t="s">
        <v>4333</v>
      </c>
      <c r="C9741" s="1" t="str">
        <f>"66298947072239"</f>
        <v>66298947072239</v>
      </c>
      <c r="D9741" s="1" t="str">
        <f>"CJ006"</f>
        <v>CJ006</v>
      </c>
      <c r="E9741" s="1" t="s">
        <v>4566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</row>
    <row r="9742" spans="1:11" x14ac:dyDescent="0.2">
      <c r="A9742" s="1" t="s">
        <v>4329</v>
      </c>
      <c r="B9742" s="1" t="s">
        <v>4333</v>
      </c>
      <c r="C9742" s="1" t="str">
        <f>"66298947127558"</f>
        <v>66298947127558</v>
      </c>
      <c r="D9742" s="1" t="str">
        <f>"9383"</f>
        <v>9383</v>
      </c>
      <c r="E9742" s="1" t="s">
        <v>4566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</row>
    <row r="9743" spans="1:11" x14ac:dyDescent="0.2">
      <c r="A9743" s="1" t="s">
        <v>4329</v>
      </c>
      <c r="B9743" s="1" t="s">
        <v>4334</v>
      </c>
      <c r="C9743" s="1" t="str">
        <f>"11909"</f>
        <v>11909</v>
      </c>
      <c r="D9743" s="1" t="str">
        <f>"11909"</f>
        <v>11909</v>
      </c>
      <c r="E9743" s="1" t="s">
        <v>4566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</row>
    <row r="9744" spans="1:11" x14ac:dyDescent="0.2">
      <c r="A9744" s="1" t="s">
        <v>4329</v>
      </c>
      <c r="B9744" s="1" t="s">
        <v>4335</v>
      </c>
      <c r="C9744" s="1" t="str">
        <f>"66298947215193"</f>
        <v>66298947215193</v>
      </c>
      <c r="D9744" s="1" t="str">
        <f>"400983"</f>
        <v>400983</v>
      </c>
      <c r="E9744" s="1" t="s">
        <v>4566</v>
      </c>
      <c r="F9744" s="1">
        <v>288</v>
      </c>
      <c r="G9744" s="1">
        <v>1242</v>
      </c>
      <c r="H9744" s="1">
        <v>357696</v>
      </c>
      <c r="I9744" s="1">
        <v>0</v>
      </c>
      <c r="J9744" s="1">
        <v>288</v>
      </c>
      <c r="K9744" s="1">
        <v>0</v>
      </c>
    </row>
    <row r="9745" spans="1:11" x14ac:dyDescent="0.2">
      <c r="A9745" s="1" t="s">
        <v>4329</v>
      </c>
      <c r="B9745" s="1" t="s">
        <v>4336</v>
      </c>
      <c r="C9745" s="1" t="str">
        <f>"12830-19B02JP"</f>
        <v>12830-19B02JP</v>
      </c>
      <c r="D9745" s="1" t="str">
        <f>"12830-19B02JP"</f>
        <v>12830-19B02JP</v>
      </c>
      <c r="E9745" s="1" t="s">
        <v>4566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</row>
    <row r="9746" spans="1:11" x14ac:dyDescent="0.2">
      <c r="A9746" s="1" t="s">
        <v>4329</v>
      </c>
      <c r="B9746" s="1" t="s">
        <v>4337</v>
      </c>
      <c r="C9746" s="1" t="str">
        <f>"66298947317667"</f>
        <v>66298947317667</v>
      </c>
      <c r="D9746" s="1" t="str">
        <f>"400977"</f>
        <v>400977</v>
      </c>
      <c r="E9746" s="1" t="s">
        <v>4566</v>
      </c>
      <c r="F9746" s="1">
        <v>48</v>
      </c>
      <c r="G9746" s="1">
        <v>1316</v>
      </c>
      <c r="H9746" s="1">
        <v>63168</v>
      </c>
      <c r="I9746" s="1">
        <v>0</v>
      </c>
      <c r="J9746" s="1">
        <v>48</v>
      </c>
      <c r="K9746" s="1">
        <v>0</v>
      </c>
    </row>
    <row r="9747" spans="1:11" x14ac:dyDescent="0.2">
      <c r="A9747" s="1" t="s">
        <v>4329</v>
      </c>
      <c r="B9747" s="1" t="s">
        <v>4338</v>
      </c>
      <c r="C9747" s="1" t="str">
        <f>"66298947271304"</f>
        <v>66298947271304</v>
      </c>
      <c r="D9747" s="1" t="str">
        <f>"CJ002"</f>
        <v>CJ002</v>
      </c>
      <c r="E9747" s="1" t="s">
        <v>4566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</row>
    <row r="9748" spans="1:11" x14ac:dyDescent="0.2">
      <c r="A9748" s="1" t="s">
        <v>4329</v>
      </c>
      <c r="B9748" s="1" t="s">
        <v>4339</v>
      </c>
      <c r="C9748" s="1" t="str">
        <f>"66298947354377"</f>
        <v>66298947354377</v>
      </c>
      <c r="D9748" s="1" t="str">
        <f>"JV-5210-03"</f>
        <v>JV-5210-03</v>
      </c>
      <c r="E9748" s="1" t="s">
        <v>4566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</row>
    <row r="9749" spans="1:11" x14ac:dyDescent="0.2">
      <c r="A9749" s="1" t="s">
        <v>4329</v>
      </c>
      <c r="B9749" s="1" t="s">
        <v>4340</v>
      </c>
      <c r="C9749" s="1" t="str">
        <f>"66298947394713"</f>
        <v>66298947394713</v>
      </c>
      <c r="D9749" s="1" t="str">
        <f>"DS-1012-77"</f>
        <v>DS-1012-77</v>
      </c>
      <c r="E9749" s="1" t="s">
        <v>4566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</row>
    <row r="9750" spans="1:11" x14ac:dyDescent="0.2">
      <c r="A9750" s="1" t="s">
        <v>4329</v>
      </c>
      <c r="B9750" s="1" t="s">
        <v>4341</v>
      </c>
      <c r="C9750" s="1" t="str">
        <f>"66298947440884"</f>
        <v>66298947440884</v>
      </c>
      <c r="D9750" s="1" t="str">
        <f>"400985"</f>
        <v>400985</v>
      </c>
      <c r="E9750" s="1" t="s">
        <v>4566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</row>
    <row r="9751" spans="1:11" x14ac:dyDescent="0.2">
      <c r="A9751" s="1" t="s">
        <v>4329</v>
      </c>
      <c r="B9751" s="1" t="s">
        <v>4342</v>
      </c>
      <c r="C9751" s="1" t="str">
        <f>"66298947485901"</f>
        <v>66298947485901</v>
      </c>
      <c r="D9751" s="1" t="str">
        <f>"14520-GFY6-902JP"</f>
        <v>14520-GFY6-902JP</v>
      </c>
      <c r="E9751" s="1" t="s">
        <v>4566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</row>
    <row r="9752" spans="1:11" x14ac:dyDescent="0.2">
      <c r="A9752" s="1" t="s">
        <v>4329</v>
      </c>
      <c r="B9752" s="1" t="s">
        <v>4342</v>
      </c>
      <c r="C9752" s="1" t="str">
        <f>"66298947493186"</f>
        <v>66298947493186</v>
      </c>
      <c r="D9752" s="1" t="str">
        <f>"CJ001"</f>
        <v>CJ001</v>
      </c>
      <c r="E9752" s="1" t="s">
        <v>4566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</row>
    <row r="9753" spans="1:11" x14ac:dyDescent="0.2">
      <c r="A9753" s="1" t="s">
        <v>4329</v>
      </c>
      <c r="B9753" s="1" t="s">
        <v>4342</v>
      </c>
      <c r="C9753" s="1" t="str">
        <f>"66298947546978"</f>
        <v>66298947546978</v>
      </c>
      <c r="D9753" s="1" t="str">
        <f>"24647"</f>
        <v>24647</v>
      </c>
      <c r="E9753" s="1" t="s">
        <v>4566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</row>
    <row r="9754" spans="1:11" x14ac:dyDescent="0.2">
      <c r="A9754" s="1" t="s">
        <v>4329</v>
      </c>
      <c r="B9754" s="1" t="s">
        <v>4342</v>
      </c>
      <c r="C9754" s="1" t="str">
        <f>"66298947553381"</f>
        <v>66298947553381</v>
      </c>
      <c r="D9754" s="1" t="str">
        <f>"80627"</f>
        <v>80627</v>
      </c>
      <c r="E9754" s="1" t="s">
        <v>4566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</row>
    <row r="9755" spans="1:11" x14ac:dyDescent="0.2">
      <c r="A9755" s="1" t="s">
        <v>4329</v>
      </c>
      <c r="B9755" s="1" t="s">
        <v>4343</v>
      </c>
      <c r="C9755" s="1" t="str">
        <f>"66298947609057"</f>
        <v>66298947609057</v>
      </c>
      <c r="D9755" s="1" t="str">
        <f>"400979"</f>
        <v>400979</v>
      </c>
      <c r="E9755" s="1" t="s">
        <v>4566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</row>
    <row r="9756" spans="1:11" ht="30" x14ac:dyDescent="0.2">
      <c r="A9756" s="1" t="s">
        <v>4329</v>
      </c>
      <c r="B9756" s="1" t="s">
        <v>4344</v>
      </c>
      <c r="C9756" s="1" t="str">
        <f>"14520-KPF-912JP"</f>
        <v>14520-KPF-912JP</v>
      </c>
      <c r="D9756" s="1" t="str">
        <f>"14520-KPF-912JP"</f>
        <v>14520-KPF-912JP</v>
      </c>
      <c r="E9756" s="1" t="s">
        <v>4566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</row>
    <row r="9757" spans="1:11" x14ac:dyDescent="0.2">
      <c r="A9757" s="1" t="s">
        <v>4329</v>
      </c>
      <c r="B9757" s="1" t="s">
        <v>4345</v>
      </c>
      <c r="C9757" s="1" t="str">
        <f>"66298947654006"</f>
        <v>66298947654006</v>
      </c>
      <c r="D9757" s="1" t="str">
        <f>"14520-KCY-671"</f>
        <v>14520-KCY-671</v>
      </c>
      <c r="E9757" s="1" t="s">
        <v>4566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</row>
    <row r="9758" spans="1:11" x14ac:dyDescent="0.2">
      <c r="A9758" s="1" t="s">
        <v>4329</v>
      </c>
      <c r="B9758" s="1" t="s">
        <v>4346</v>
      </c>
      <c r="C9758" s="1" t="str">
        <f>"66298947692290"</f>
        <v>66298947692290</v>
      </c>
      <c r="D9758" s="1" t="str">
        <f>"CJ004"</f>
        <v>CJ004</v>
      </c>
      <c r="E9758" s="1" t="s">
        <v>4566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</row>
    <row r="9759" spans="1:11" x14ac:dyDescent="0.2">
      <c r="A9759" s="1" t="s">
        <v>4329</v>
      </c>
      <c r="B9759" s="1" t="s">
        <v>4347</v>
      </c>
      <c r="C9759" s="1" t="str">
        <f>"66298947732248"</f>
        <v>66298947732248</v>
      </c>
      <c r="D9759" s="1" t="str">
        <f>"401050"</f>
        <v>401050</v>
      </c>
      <c r="E9759" s="1" t="s">
        <v>4566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</row>
    <row r="9760" spans="1:11" x14ac:dyDescent="0.2">
      <c r="A9760" s="1" t="s">
        <v>4329</v>
      </c>
      <c r="B9760" s="1" t="s">
        <v>4348</v>
      </c>
      <c r="C9760" s="1" t="str">
        <f>"66298947775608"</f>
        <v>66298947775608</v>
      </c>
      <c r="D9760" s="1" t="str">
        <f>"400980"</f>
        <v>400980</v>
      </c>
      <c r="E9760" s="1" t="s">
        <v>4566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</row>
    <row r="9761" spans="1:11" x14ac:dyDescent="0.2">
      <c r="A9761" s="1" t="s">
        <v>4329</v>
      </c>
      <c r="B9761" s="1" t="s">
        <v>4349</v>
      </c>
      <c r="C9761" s="1" t="str">
        <f>"66298947818104"</f>
        <v>66298947818104</v>
      </c>
      <c r="D9761" s="1" t="str">
        <f>"14510-KWF-900JP"</f>
        <v>14510-KWF-900JP</v>
      </c>
      <c r="E9761" s="1" t="s">
        <v>4566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</row>
    <row r="9762" spans="1:11" x14ac:dyDescent="0.2">
      <c r="A9762" s="1" t="s">
        <v>4329</v>
      </c>
      <c r="B9762" s="1" t="s">
        <v>4350</v>
      </c>
      <c r="C9762" s="1" t="str">
        <f>"66298947857219"</f>
        <v>66298947857219</v>
      </c>
      <c r="D9762" s="1" t="str">
        <f>"12811-18A01JP"</f>
        <v>12811-18A01JP</v>
      </c>
      <c r="E9762" s="1" t="s">
        <v>4566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</row>
    <row r="9763" spans="1:11" x14ac:dyDescent="0.2">
      <c r="A9763" s="1" t="s">
        <v>4329</v>
      </c>
      <c r="B9763" s="1" t="s">
        <v>4351</v>
      </c>
      <c r="C9763" s="1" t="str">
        <f>"66298947899237"</f>
        <v>66298947899237</v>
      </c>
      <c r="D9763" s="1" t="str">
        <f>"21C-E2241-00JP"</f>
        <v>21C-E2241-00JP</v>
      </c>
      <c r="E9763" s="1" t="s">
        <v>4566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</row>
    <row r="9764" spans="1:11" x14ac:dyDescent="0.2">
      <c r="A9764" s="1" t="s">
        <v>4329</v>
      </c>
      <c r="B9764" s="1" t="s">
        <v>4352</v>
      </c>
      <c r="C9764" s="1" t="str">
        <f>"588008"</f>
        <v>588008</v>
      </c>
      <c r="D9764" s="1" t="str">
        <f>"588008"</f>
        <v>588008</v>
      </c>
      <c r="E9764" s="1" t="s">
        <v>4566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</row>
    <row r="9765" spans="1:11" x14ac:dyDescent="0.2">
      <c r="A9765" s="1" t="s">
        <v>4329</v>
      </c>
      <c r="B9765" s="1" t="s">
        <v>4353</v>
      </c>
      <c r="C9765" s="1" t="str">
        <f>"66298947940020"</f>
        <v>66298947940020</v>
      </c>
      <c r="D9765" s="1" t="str">
        <f>"12811-12F50JP"</f>
        <v>12811-12F50JP</v>
      </c>
      <c r="E9765" s="1" t="s">
        <v>4566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</row>
    <row r="9766" spans="1:11" x14ac:dyDescent="0.2">
      <c r="A9766" s="1" t="s">
        <v>4329</v>
      </c>
      <c r="B9766" s="1" t="s">
        <v>4354</v>
      </c>
      <c r="C9766" s="1" t="str">
        <f>"66298948023359"</f>
        <v>66298948023359</v>
      </c>
      <c r="D9766" s="1" t="str">
        <f>"14500-427-000"</f>
        <v>14500-427-000</v>
      </c>
      <c r="E9766" s="1" t="s">
        <v>4566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</row>
    <row r="9767" spans="1:11" x14ac:dyDescent="0.2">
      <c r="A9767" s="1" t="s">
        <v>4329</v>
      </c>
      <c r="B9767" s="1" t="s">
        <v>4355</v>
      </c>
      <c r="C9767" s="1" t="str">
        <f>"66298947984096"</f>
        <v>66298947984096</v>
      </c>
      <c r="D9767" s="1" t="str">
        <f>"14500-KBB-900JP"</f>
        <v>14500-KBB-900JP</v>
      </c>
      <c r="E9767" s="1" t="s">
        <v>4566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</row>
    <row r="9768" spans="1:11" x14ac:dyDescent="0.2">
      <c r="A9768" s="1" t="s">
        <v>4329</v>
      </c>
      <c r="B9768" s="1" t="s">
        <v>4356</v>
      </c>
      <c r="C9768" s="1" t="str">
        <f>"66298948063442"</f>
        <v>66298948063442</v>
      </c>
      <c r="D9768" s="1" t="str">
        <f>"5YY-E2241-00JP"</f>
        <v>5YY-E2241-00JP</v>
      </c>
      <c r="E9768" s="1" t="s">
        <v>4566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</row>
    <row r="9769" spans="1:11" x14ac:dyDescent="0.2">
      <c r="A9769" s="1" t="s">
        <v>4329</v>
      </c>
      <c r="B9769" s="1" t="s">
        <v>4357</v>
      </c>
      <c r="C9769" s="1" t="str">
        <f>"66298948102343"</f>
        <v>66298948102343</v>
      </c>
      <c r="D9769" s="1" t="str">
        <f>"CJ012"</f>
        <v>CJ012</v>
      </c>
      <c r="E9769" s="1" t="s">
        <v>4566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</row>
    <row r="9770" spans="1:11" x14ac:dyDescent="0.2">
      <c r="A9770" s="1" t="s">
        <v>4329</v>
      </c>
      <c r="B9770" s="1" t="s">
        <v>4358</v>
      </c>
      <c r="C9770" s="1" t="str">
        <f>"66298948144405"</f>
        <v>66298948144405</v>
      </c>
      <c r="D9770" s="1" t="str">
        <f>"R029"</f>
        <v>R029</v>
      </c>
      <c r="E9770" s="1" t="s">
        <v>4566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</row>
    <row r="9771" spans="1:11" x14ac:dyDescent="0.2">
      <c r="A9771" s="1" t="s">
        <v>98</v>
      </c>
      <c r="B9771" s="1" t="s">
        <v>4359</v>
      </c>
      <c r="C9771" s="1" t="str">
        <f>"66298948185203"</f>
        <v>66298948185203</v>
      </c>
      <c r="D9771" s="1" t="str">
        <f>"13522"</f>
        <v>13522</v>
      </c>
      <c r="E9771" s="1" t="s">
        <v>4566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</row>
    <row r="9772" spans="1:11" x14ac:dyDescent="0.2">
      <c r="A9772" s="1" t="s">
        <v>98</v>
      </c>
      <c r="B9772" s="1" t="s">
        <v>4360</v>
      </c>
      <c r="C9772" s="1" t="str">
        <f>"66298948231380"</f>
        <v>66298948231380</v>
      </c>
      <c r="D9772" s="1" t="str">
        <f>"13523"</f>
        <v>13523</v>
      </c>
      <c r="E9772" s="1" t="s">
        <v>4566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</row>
    <row r="9773" spans="1:11" x14ac:dyDescent="0.2">
      <c r="A9773" s="1" t="s">
        <v>98</v>
      </c>
      <c r="B9773" s="1" t="s">
        <v>4361</v>
      </c>
      <c r="C9773" s="1" t="str">
        <f>"66298948273169"</f>
        <v>66298948273169</v>
      </c>
      <c r="D9773" s="1" t="str">
        <f>"81569"</f>
        <v>81569</v>
      </c>
      <c r="E9773" s="1" t="s">
        <v>4566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</row>
    <row r="9774" spans="1:11" x14ac:dyDescent="0.2">
      <c r="A9774" s="1" t="s">
        <v>4362</v>
      </c>
      <c r="B9774" s="1" t="s">
        <v>4363</v>
      </c>
      <c r="C9774" s="1" t="str">
        <f>"ACTIVO-KIA"</f>
        <v>ACTIVO-KIA</v>
      </c>
      <c r="D9774" s="1" t="str">
        <f>"ACTIVO-KIA"</f>
        <v>ACTIVO-KIA</v>
      </c>
      <c r="E9774" s="1" t="s">
        <v>4566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</row>
    <row r="9775" spans="1:11" x14ac:dyDescent="0.2">
      <c r="B9775" s="1" t="s">
        <v>4364</v>
      </c>
    </row>
    <row r="9776" spans="1:11" x14ac:dyDescent="0.2">
      <c r="B9776" s="1" t="s">
        <v>4365</v>
      </c>
    </row>
    <row r="9777" spans="1:11" x14ac:dyDescent="0.2">
      <c r="B9777" s="1" t="s">
        <v>4366</v>
      </c>
    </row>
    <row r="9778" spans="1:11" x14ac:dyDescent="0.2">
      <c r="B9778" s="1" t="s">
        <v>4367</v>
      </c>
    </row>
    <row r="9779" spans="1:11" x14ac:dyDescent="0.2">
      <c r="B9779" s="1" t="s">
        <v>4368</v>
      </c>
    </row>
    <row r="9780" spans="1:11" x14ac:dyDescent="0.2">
      <c r="B9780" s="1" t="s">
        <v>4369</v>
      </c>
    </row>
    <row r="9781" spans="1:11" x14ac:dyDescent="0.2">
      <c r="B9781" s="1" t="s">
        <v>4370</v>
      </c>
    </row>
    <row r="9782" spans="1:11" x14ac:dyDescent="0.2">
      <c r="B9782" s="1" t="s">
        <v>4371</v>
      </c>
    </row>
    <row r="9783" spans="1:11" x14ac:dyDescent="0.2">
      <c r="B9783" s="1" t="s">
        <v>4372</v>
      </c>
    </row>
    <row r="9784" spans="1:11" x14ac:dyDescent="0.2">
      <c r="A9784" s="1" t="s">
        <v>4373</v>
      </c>
      <c r="B9784" s="1" t="s">
        <v>4374</v>
      </c>
      <c r="C9784" s="1" t="str">
        <f>"66298948313119"</f>
        <v>66298948313119</v>
      </c>
      <c r="D9784" s="1" t="str">
        <f>"CF010"</f>
        <v>CF010</v>
      </c>
      <c r="E9784" s="1" t="s">
        <v>4566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</row>
    <row r="9785" spans="1:11" x14ac:dyDescent="0.2">
      <c r="A9785" s="1" t="s">
        <v>4373</v>
      </c>
      <c r="B9785" s="1" t="s">
        <v>4375</v>
      </c>
      <c r="C9785" s="1" t="str">
        <f>"66298948352123"</f>
        <v>66298948352123</v>
      </c>
      <c r="D9785" s="1" t="str">
        <f>"21C-F5388-11GY"</f>
        <v>21C-F5388-11GY</v>
      </c>
      <c r="E9785" s="1" t="s">
        <v>4566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</row>
    <row r="9786" spans="1:11" x14ac:dyDescent="0.2">
      <c r="A9786" s="1" t="s">
        <v>4373</v>
      </c>
      <c r="B9786" s="1" t="s">
        <v>4376</v>
      </c>
      <c r="C9786" s="1" t="str">
        <f>"588025"</f>
        <v>588025</v>
      </c>
      <c r="D9786" s="1" t="str">
        <f>"588025"</f>
        <v>588025</v>
      </c>
      <c r="E9786" s="1" t="s">
        <v>4566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</row>
    <row r="9787" spans="1:11" x14ac:dyDescent="0.2">
      <c r="A9787" s="1" t="s">
        <v>4373</v>
      </c>
      <c r="B9787" s="1" t="s">
        <v>4377</v>
      </c>
      <c r="C9787" s="1" t="str">
        <f>"66298948396051"</f>
        <v>66298948396051</v>
      </c>
      <c r="D9787" s="1" t="str">
        <f>"DM-T-00009"</f>
        <v>DM-T-00009</v>
      </c>
      <c r="E9787" s="1" t="s">
        <v>4566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</row>
    <row r="9788" spans="1:11" x14ac:dyDescent="0.2">
      <c r="A9788" s="1" t="s">
        <v>4373</v>
      </c>
      <c r="B9788" s="1" t="s">
        <v>4378</v>
      </c>
      <c r="C9788" s="1" t="str">
        <f>"66298948436103"</f>
        <v>66298948436103</v>
      </c>
      <c r="D9788" s="1" t="str">
        <f>"61041H2C000H000"</f>
        <v>61041H2C000H000</v>
      </c>
      <c r="E9788" s="1" t="s">
        <v>4566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</row>
    <row r="9789" spans="1:11" x14ac:dyDescent="0.2">
      <c r="A9789" s="1" t="s">
        <v>4373</v>
      </c>
      <c r="B9789" s="1" t="s">
        <v>4379</v>
      </c>
      <c r="C9789" s="1" t="str">
        <f>"588032"</f>
        <v>588032</v>
      </c>
      <c r="D9789" s="1" t="str">
        <f>"588032"</f>
        <v>588032</v>
      </c>
      <c r="E9789" s="1" t="s">
        <v>4566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</row>
    <row r="9790" spans="1:11" x14ac:dyDescent="0.2">
      <c r="A9790" s="1" t="s">
        <v>4373</v>
      </c>
      <c r="B9790" s="1" t="s">
        <v>4380</v>
      </c>
      <c r="C9790" s="1" t="str">
        <f>"7843"</f>
        <v>7843</v>
      </c>
      <c r="D9790" s="1" t="str">
        <f>"7843"</f>
        <v>7843</v>
      </c>
      <c r="E9790" s="1" t="s">
        <v>4566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</row>
    <row r="9791" spans="1:11" x14ac:dyDescent="0.2">
      <c r="A9791" s="1" t="s">
        <v>4373</v>
      </c>
      <c r="B9791" s="1" t="s">
        <v>4380</v>
      </c>
      <c r="C9791" s="1" t="str">
        <f>"CF015"</f>
        <v>CF015</v>
      </c>
      <c r="D9791" s="1" t="str">
        <f>"CF015"</f>
        <v>CF015</v>
      </c>
      <c r="E9791" s="1" t="s">
        <v>4566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</row>
    <row r="9792" spans="1:11" x14ac:dyDescent="0.2">
      <c r="A9792" s="1" t="s">
        <v>4373</v>
      </c>
      <c r="B9792" s="1" t="s">
        <v>4381</v>
      </c>
      <c r="C9792" s="1" t="str">
        <f>"66298948529091"</f>
        <v>66298948529091</v>
      </c>
      <c r="D9792" s="1" t="str">
        <f>"CF007"</f>
        <v>CF007</v>
      </c>
      <c r="E9792" s="1" t="s">
        <v>4566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</row>
    <row r="9793" spans="1:11" x14ac:dyDescent="0.2">
      <c r="A9793" s="1" t="s">
        <v>4373</v>
      </c>
      <c r="B9793" s="1" t="s">
        <v>4382</v>
      </c>
      <c r="C9793" s="1" t="str">
        <f>"66298948571197"</f>
        <v>66298948571197</v>
      </c>
      <c r="D9793" s="1" t="str">
        <f>"CF006"</f>
        <v>CF006</v>
      </c>
      <c r="E9793" s="1" t="s">
        <v>4566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</row>
    <row r="9794" spans="1:11" x14ac:dyDescent="0.2">
      <c r="A9794" s="1" t="s">
        <v>4373</v>
      </c>
      <c r="B9794" s="1" t="s">
        <v>4383</v>
      </c>
      <c r="C9794" s="1" t="str">
        <f>"66298948478230"</f>
        <v>66298948478230</v>
      </c>
      <c r="D9794" s="1" t="str">
        <f>"CF004"</f>
        <v>CF004</v>
      </c>
      <c r="E9794" s="1" t="s">
        <v>4566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</row>
    <row r="9795" spans="1:11" x14ac:dyDescent="0.2">
      <c r="A9795" s="1" t="s">
        <v>4373</v>
      </c>
      <c r="B9795" s="1" t="s">
        <v>4384</v>
      </c>
      <c r="C9795" s="1" t="str">
        <f>"66298948608607"</f>
        <v>66298948608607</v>
      </c>
      <c r="D9795" s="1" t="str">
        <f>"CF011"</f>
        <v>CF011</v>
      </c>
      <c r="E9795" s="1" t="s">
        <v>4566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</row>
    <row r="9796" spans="1:11" x14ac:dyDescent="0.2">
      <c r="A9796" s="1" t="s">
        <v>4373</v>
      </c>
      <c r="B9796" s="1" t="s">
        <v>4385</v>
      </c>
      <c r="C9796" s="1" t="str">
        <f>"66298948651238"</f>
        <v>66298948651238</v>
      </c>
      <c r="D9796" s="1" t="str">
        <f>"CF008"</f>
        <v>CF008</v>
      </c>
      <c r="E9796" s="1" t="s">
        <v>4566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</row>
    <row r="9797" spans="1:11" x14ac:dyDescent="0.2">
      <c r="A9797" s="1" t="s">
        <v>4373</v>
      </c>
      <c r="B9797" s="1" t="s">
        <v>4386</v>
      </c>
      <c r="C9797" s="1" t="str">
        <f>"CF002"</f>
        <v>CF002</v>
      </c>
      <c r="D9797" s="1" t="str">
        <f>"CF002"</f>
        <v>CF002</v>
      </c>
      <c r="E9797" s="1" t="s">
        <v>4566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</row>
    <row r="9798" spans="1:11" x14ac:dyDescent="0.2">
      <c r="A9798" s="1" t="s">
        <v>4373</v>
      </c>
      <c r="B9798" s="1" t="s">
        <v>4387</v>
      </c>
      <c r="C9798" s="1" t="str">
        <f>"66298948729608"</f>
        <v>66298948729608</v>
      </c>
      <c r="D9798" s="1" t="str">
        <f>"CF017"</f>
        <v>CF017</v>
      </c>
      <c r="E9798" s="1" t="s">
        <v>4566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</row>
    <row r="9799" spans="1:11" x14ac:dyDescent="0.2">
      <c r="A9799" s="1" t="s">
        <v>4373</v>
      </c>
      <c r="B9799" s="1" t="s">
        <v>4388</v>
      </c>
      <c r="C9799" s="1" t="str">
        <f>"66298948769800"</f>
        <v>66298948769800</v>
      </c>
      <c r="D9799" s="1" t="str">
        <f>"CF001"</f>
        <v>CF001</v>
      </c>
      <c r="E9799" s="1" t="s">
        <v>4566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</row>
    <row r="9800" spans="1:11" x14ac:dyDescent="0.2">
      <c r="A9800" s="1" t="s">
        <v>4373</v>
      </c>
      <c r="B9800" s="1" t="s">
        <v>4389</v>
      </c>
      <c r="C9800" s="1" t="str">
        <f>"66298948807923"</f>
        <v>66298948807923</v>
      </c>
      <c r="D9800" s="1" t="str">
        <f>"CF012"</f>
        <v>CF012</v>
      </c>
      <c r="E9800" s="1" t="s">
        <v>4566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</row>
    <row r="9801" spans="1:11" x14ac:dyDescent="0.2">
      <c r="A9801" s="1" t="s">
        <v>4373</v>
      </c>
      <c r="B9801" s="1" t="s">
        <v>4390</v>
      </c>
      <c r="C9801" s="1" t="str">
        <f>"66298948847013"</f>
        <v>66298948847013</v>
      </c>
      <c r="D9801" s="1" t="str">
        <f>"CF005"</f>
        <v>CF005</v>
      </c>
      <c r="E9801" s="1" t="s">
        <v>4566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</row>
    <row r="9802" spans="1:11" x14ac:dyDescent="0.2">
      <c r="A9802" s="1" t="s">
        <v>4373</v>
      </c>
      <c r="B9802" s="1" t="s">
        <v>4391</v>
      </c>
      <c r="C9802" s="1" t="str">
        <f>"66298948888115"</f>
        <v>66298948888115</v>
      </c>
      <c r="D9802" s="1" t="str">
        <f>"TC-WY"</f>
        <v>TC-WY</v>
      </c>
      <c r="E9802" s="1" t="s">
        <v>4566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</row>
    <row r="9803" spans="1:11" x14ac:dyDescent="0.2">
      <c r="A9803" s="1" t="s">
        <v>98</v>
      </c>
      <c r="B9803" s="1" t="s">
        <v>4392</v>
      </c>
      <c r="C9803" s="1" t="str">
        <f>"66298948929867"</f>
        <v>66298948929867</v>
      </c>
      <c r="D9803" s="1" t="str">
        <f>"QBA001"</f>
        <v>QBA001</v>
      </c>
      <c r="E9803" s="1" t="s">
        <v>4566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</row>
    <row r="9804" spans="1:11" x14ac:dyDescent="0.2">
      <c r="A9804" s="1" t="s">
        <v>98</v>
      </c>
      <c r="B9804" s="1" t="s">
        <v>4393</v>
      </c>
      <c r="C9804" s="1" t="str">
        <f>"66298948971427"</f>
        <v>66298948971427</v>
      </c>
      <c r="D9804" s="1" t="str">
        <f>"ZZC004"</f>
        <v>ZZC004</v>
      </c>
      <c r="E9804" s="1" t="s">
        <v>4566</v>
      </c>
      <c r="F9804" s="1">
        <v>10</v>
      </c>
      <c r="G9804" s="1">
        <v>5041</v>
      </c>
      <c r="H9804" s="1">
        <v>50410</v>
      </c>
      <c r="I9804" s="1">
        <v>0</v>
      </c>
      <c r="J9804" s="1">
        <v>10</v>
      </c>
      <c r="K9804" s="1">
        <v>0</v>
      </c>
    </row>
    <row r="9805" spans="1:11" x14ac:dyDescent="0.2">
      <c r="A9805" s="1" t="s">
        <v>98</v>
      </c>
      <c r="B9805" s="1" t="s">
        <v>4394</v>
      </c>
      <c r="C9805" s="1" t="str">
        <f>"66298949014318"</f>
        <v>66298949014318</v>
      </c>
      <c r="D9805" s="1" t="str">
        <f>"ZZC003"</f>
        <v>ZZC003</v>
      </c>
      <c r="E9805" s="1" t="s">
        <v>4566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</row>
    <row r="9806" spans="1:11" x14ac:dyDescent="0.2">
      <c r="A9806" s="1" t="s">
        <v>98</v>
      </c>
      <c r="B9806" s="1" t="s">
        <v>4395</v>
      </c>
      <c r="C9806" s="1" t="str">
        <f>"66298949051614"</f>
        <v>66298949051614</v>
      </c>
      <c r="D9806" s="1" t="str">
        <f>"WJ013"</f>
        <v>WJ013</v>
      </c>
      <c r="E9806" s="1" t="s">
        <v>4566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</row>
    <row r="9807" spans="1:11" x14ac:dyDescent="0.2">
      <c r="A9807" s="1" t="s">
        <v>98</v>
      </c>
      <c r="B9807" s="1" t="s">
        <v>4396</v>
      </c>
      <c r="C9807" s="1" t="str">
        <f>"66298949089756"</f>
        <v>66298949089756</v>
      </c>
      <c r="D9807" s="1" t="str">
        <f>"WJ015"</f>
        <v>WJ015</v>
      </c>
      <c r="E9807" s="1" t="s">
        <v>4566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</row>
    <row r="9808" spans="1:11" x14ac:dyDescent="0.2">
      <c r="A9808" s="1" t="s">
        <v>98</v>
      </c>
      <c r="B9808" s="1" t="s">
        <v>4397</v>
      </c>
      <c r="C9808" s="1" t="str">
        <f>"66298949128800"</f>
        <v>66298949128800</v>
      </c>
      <c r="D9808" s="1" t="str">
        <f>"HK-Y-101H"</f>
        <v>HK-Y-101H</v>
      </c>
      <c r="E9808" s="1" t="s">
        <v>4566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</row>
    <row r="9809" spans="1:11" x14ac:dyDescent="0.2">
      <c r="A9809" s="1" t="s">
        <v>4398</v>
      </c>
      <c r="B9809" s="1" t="s">
        <v>4399</v>
      </c>
      <c r="C9809" s="1" t="str">
        <f>"66298949171937"</f>
        <v>66298949171937</v>
      </c>
      <c r="D9809" s="1" t="str">
        <f>"Y078-ROJO"</f>
        <v>Y078-ROJO</v>
      </c>
      <c r="E9809" s="1" t="s">
        <v>4566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</row>
    <row r="9810" spans="1:11" x14ac:dyDescent="0.2">
      <c r="A9810" s="1" t="s">
        <v>4398</v>
      </c>
      <c r="B9810" s="1" t="s">
        <v>4400</v>
      </c>
      <c r="C9810" s="1" t="str">
        <f>"Y011-AZUL"</f>
        <v>Y011-AZUL</v>
      </c>
      <c r="D9810" s="1" t="str">
        <f>"Y011-AZUL"</f>
        <v>Y011-AZUL</v>
      </c>
      <c r="E9810" s="1" t="s">
        <v>4566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</row>
    <row r="9811" spans="1:11" x14ac:dyDescent="0.2">
      <c r="A9811" s="1" t="s">
        <v>4398</v>
      </c>
      <c r="B9811" s="1" t="s">
        <v>4401</v>
      </c>
      <c r="C9811" s="1" t="str">
        <f>"Y011-NEGRO"</f>
        <v>Y011-NEGRO</v>
      </c>
      <c r="D9811" s="1" t="str">
        <f>"Y011-NEGRO"</f>
        <v>Y011-NEGRO</v>
      </c>
      <c r="E9811" s="1" t="s">
        <v>4566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</row>
    <row r="9812" spans="1:11" x14ac:dyDescent="0.2">
      <c r="A9812" s="1" t="s">
        <v>4398</v>
      </c>
      <c r="B9812" s="1" t="s">
        <v>4402</v>
      </c>
      <c r="C9812" s="1" t="str">
        <f>"Y011-ROJO"</f>
        <v>Y011-ROJO</v>
      </c>
      <c r="D9812" s="1" t="str">
        <f>"Y011-ROJO"</f>
        <v>Y011-ROJO</v>
      </c>
      <c r="E9812" s="1" t="s">
        <v>4566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</row>
    <row r="9813" spans="1:11" x14ac:dyDescent="0.2">
      <c r="A9813" s="1" t="s">
        <v>4398</v>
      </c>
      <c r="B9813" s="1" t="s">
        <v>4403</v>
      </c>
      <c r="C9813" s="1" t="str">
        <f>"66298950566649"</f>
        <v>66298950566649</v>
      </c>
      <c r="D9813" s="1" t="str">
        <f>"Y069-A"</f>
        <v>Y069-A</v>
      </c>
      <c r="E9813" s="1" t="s">
        <v>4566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</row>
    <row r="9814" spans="1:11" x14ac:dyDescent="0.2">
      <c r="A9814" s="1" t="s">
        <v>98</v>
      </c>
      <c r="B9814" s="1" t="s">
        <v>4404</v>
      </c>
      <c r="C9814" s="1" t="str">
        <f>"31359"</f>
        <v>31359</v>
      </c>
      <c r="D9814" s="1" t="str">
        <f>"31359"</f>
        <v>31359</v>
      </c>
      <c r="E9814" s="1" t="s">
        <v>4566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</row>
    <row r="9815" spans="1:11" x14ac:dyDescent="0.2">
      <c r="A9815" s="1" t="s">
        <v>98</v>
      </c>
      <c r="B9815" s="1" t="s">
        <v>4405</v>
      </c>
      <c r="C9815" s="1" t="str">
        <f>"31360"</f>
        <v>31360</v>
      </c>
      <c r="D9815" s="1" t="str">
        <f>"31360"</f>
        <v>31360</v>
      </c>
      <c r="E9815" s="1" t="s">
        <v>4566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</row>
    <row r="9816" spans="1:11" x14ac:dyDescent="0.2">
      <c r="A9816" s="1" t="s">
        <v>18</v>
      </c>
      <c r="B9816" s="1" t="s">
        <v>4406</v>
      </c>
      <c r="C9816" s="1" t="str">
        <f>"66298950607315"</f>
        <v>66298950607315</v>
      </c>
      <c r="D9816" s="1" t="str">
        <f>"JC003-AMARILLO"</f>
        <v>JC003-AMARILLO</v>
      </c>
      <c r="E9816" s="1" t="s">
        <v>4566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</row>
    <row r="9817" spans="1:11" x14ac:dyDescent="0.2">
      <c r="A9817" s="1" t="s">
        <v>18</v>
      </c>
      <c r="B9817" s="1" t="s">
        <v>4407</v>
      </c>
      <c r="C9817" s="1" t="str">
        <f>"66298950649523"</f>
        <v>66298950649523</v>
      </c>
      <c r="D9817" s="1" t="str">
        <f>"JC003-AZUL"</f>
        <v>JC003-AZUL</v>
      </c>
      <c r="E9817" s="1" t="s">
        <v>4566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</row>
    <row r="9818" spans="1:11" x14ac:dyDescent="0.2">
      <c r="A9818" s="1" t="s">
        <v>18</v>
      </c>
      <c r="B9818" s="1" t="s">
        <v>4408</v>
      </c>
      <c r="C9818" s="1" t="str">
        <f>"JC002-2-AZUL"</f>
        <v>JC002-2-AZUL</v>
      </c>
      <c r="D9818" s="1" t="str">
        <f>"JC002-2-AZUL"</f>
        <v>JC002-2-AZUL</v>
      </c>
      <c r="E9818" s="1" t="s">
        <v>4566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</row>
    <row r="9819" spans="1:11" x14ac:dyDescent="0.2">
      <c r="A9819" s="1" t="s">
        <v>18</v>
      </c>
      <c r="B9819" s="1" t="s">
        <v>4409</v>
      </c>
      <c r="C9819" s="1" t="str">
        <f>"66298950692409"</f>
        <v>66298950692409</v>
      </c>
      <c r="D9819" s="1" t="str">
        <f>"JC003-BLANCO"</f>
        <v>JC003-BLANCO</v>
      </c>
      <c r="E9819" s="1" t="s">
        <v>4566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</row>
    <row r="9820" spans="1:11" x14ac:dyDescent="0.2">
      <c r="A9820" s="1" t="s">
        <v>18</v>
      </c>
      <c r="B9820" s="1" t="s">
        <v>4410</v>
      </c>
      <c r="C9820" s="1" t="str">
        <f>"66298950733176"</f>
        <v>66298950733176</v>
      </c>
      <c r="D9820" s="1" t="str">
        <f>"JC003-NARANJA"</f>
        <v>JC003-NARANJA</v>
      </c>
      <c r="E9820" s="1" t="s">
        <v>4566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</row>
    <row r="9821" spans="1:11" x14ac:dyDescent="0.2">
      <c r="A9821" s="1" t="s">
        <v>18</v>
      </c>
      <c r="B9821" s="1" t="s">
        <v>4411</v>
      </c>
      <c r="C9821" s="1" t="str">
        <f>"66298950778651"</f>
        <v>66298950778651</v>
      </c>
      <c r="D9821" s="1" t="str">
        <f>"JC008-B-NEGRO"</f>
        <v>JC008-B-NEGRO</v>
      </c>
      <c r="E9821" s="1" t="s">
        <v>4566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</row>
    <row r="9822" spans="1:11" x14ac:dyDescent="0.2">
      <c r="A9822" s="1" t="s">
        <v>18</v>
      </c>
      <c r="B9822" s="1" t="s">
        <v>4411</v>
      </c>
      <c r="C9822" s="1" t="str">
        <f>"66298950829683"</f>
        <v>66298950829683</v>
      </c>
      <c r="D9822" s="1" t="str">
        <f>"JC003-NEGRO"</f>
        <v>JC003-NEGRO</v>
      </c>
      <c r="E9822" s="1" t="s">
        <v>4566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</row>
    <row r="9823" spans="1:11" x14ac:dyDescent="0.2">
      <c r="A9823" s="1" t="s">
        <v>18</v>
      </c>
      <c r="B9823" s="1" t="s">
        <v>4412</v>
      </c>
      <c r="C9823" s="1" t="str">
        <f>"122198-NEGRO"</f>
        <v>122198-NEGRO</v>
      </c>
      <c r="D9823" s="1" t="str">
        <f>"122198-NEGRO"</f>
        <v>122198-NEGRO</v>
      </c>
      <c r="E9823" s="1" t="s">
        <v>4566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</row>
    <row r="9824" spans="1:11" ht="30" x14ac:dyDescent="0.2">
      <c r="A9824" s="1" t="s">
        <v>18</v>
      </c>
      <c r="B9824" s="1" t="s">
        <v>4413</v>
      </c>
      <c r="C9824" s="1" t="str">
        <f>"0690-AZUL"</f>
        <v>0690-AZUL</v>
      </c>
      <c r="D9824" s="1" t="str">
        <f>"0690-AZUL"</f>
        <v>0690-AZUL</v>
      </c>
      <c r="E9824" s="1" t="s">
        <v>4566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</row>
    <row r="9825" spans="1:11" ht="30" x14ac:dyDescent="0.2">
      <c r="A9825" s="1" t="s">
        <v>18</v>
      </c>
      <c r="B9825" s="1" t="s">
        <v>4414</v>
      </c>
      <c r="C9825" s="1" t="str">
        <f>"0690-DORADO"</f>
        <v>0690-DORADO</v>
      </c>
      <c r="D9825" s="1" t="str">
        <f>"0690-DORADO"</f>
        <v>0690-DORADO</v>
      </c>
      <c r="E9825" s="1" t="s">
        <v>4566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</row>
    <row r="9826" spans="1:11" ht="30" x14ac:dyDescent="0.2">
      <c r="A9826" s="1" t="s">
        <v>18</v>
      </c>
      <c r="B9826" s="1" t="s">
        <v>4415</v>
      </c>
      <c r="C9826" s="1" t="str">
        <f>"0690-MORADO"</f>
        <v>0690-MORADO</v>
      </c>
      <c r="D9826" s="1" t="str">
        <f>"0690-MORADO"</f>
        <v>0690-MORADO</v>
      </c>
      <c r="E9826" s="1" t="s">
        <v>4566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</row>
    <row r="9827" spans="1:11" ht="30" x14ac:dyDescent="0.2">
      <c r="A9827" s="1" t="s">
        <v>18</v>
      </c>
      <c r="B9827" s="1" t="s">
        <v>4416</v>
      </c>
      <c r="C9827" s="1" t="str">
        <f>"0690-NEGRO"</f>
        <v>0690-NEGRO</v>
      </c>
      <c r="D9827" s="1" t="str">
        <f>"0690-NEGRO"</f>
        <v>0690-NEGRO</v>
      </c>
      <c r="E9827" s="1" t="s">
        <v>4566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</row>
    <row r="9828" spans="1:11" ht="30" x14ac:dyDescent="0.2">
      <c r="A9828" s="1" t="s">
        <v>18</v>
      </c>
      <c r="B9828" s="1" t="s">
        <v>4416</v>
      </c>
      <c r="C9828" s="1" t="str">
        <f>"126268-NEGRO"</f>
        <v>126268-NEGRO</v>
      </c>
      <c r="D9828" s="1" t="str">
        <f>"126268-NEGRO"</f>
        <v>126268-NEGRO</v>
      </c>
      <c r="E9828" s="1" t="s">
        <v>4566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</row>
    <row r="9829" spans="1:11" ht="30" x14ac:dyDescent="0.2">
      <c r="A9829" s="1" t="s">
        <v>18</v>
      </c>
      <c r="B9829" s="1" t="s">
        <v>4417</v>
      </c>
      <c r="C9829" s="1" t="str">
        <f>"0690-PLATEADO"</f>
        <v>0690-PLATEADO</v>
      </c>
      <c r="D9829" s="1" t="str">
        <f>"0690-PLATEADO"</f>
        <v>0690-PLATEADO</v>
      </c>
      <c r="E9829" s="1" t="s">
        <v>4566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</row>
    <row r="9830" spans="1:11" ht="30" x14ac:dyDescent="0.2">
      <c r="A9830" s="1" t="s">
        <v>18</v>
      </c>
      <c r="B9830" s="1" t="s">
        <v>4418</v>
      </c>
      <c r="C9830" s="1" t="str">
        <f>"0690-ROJO"</f>
        <v>0690-ROJO</v>
      </c>
      <c r="D9830" s="1" t="str">
        <f>"0690-ROJO"</f>
        <v>0690-ROJO</v>
      </c>
      <c r="E9830" s="1" t="s">
        <v>4566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</row>
    <row r="9831" spans="1:11" x14ac:dyDescent="0.2">
      <c r="A9831" s="1" t="s">
        <v>18</v>
      </c>
      <c r="B9831" s="1" t="s">
        <v>4419</v>
      </c>
      <c r="C9831" s="1" t="str">
        <f>"126246-NEGRO"</f>
        <v>126246-NEGRO</v>
      </c>
      <c r="D9831" s="1" t="str">
        <f>"126246-NEGRO"</f>
        <v>126246-NEGRO</v>
      </c>
      <c r="E9831" s="1" t="s">
        <v>4566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</row>
    <row r="9832" spans="1:11" x14ac:dyDescent="0.2">
      <c r="A9832" s="1" t="s">
        <v>3466</v>
      </c>
      <c r="B9832" s="1" t="s">
        <v>4420</v>
      </c>
      <c r="C9832" s="1" t="str">
        <f>"H-2228"</f>
        <v>H-2228</v>
      </c>
      <c r="D9832" s="1" t="str">
        <f>"H-2228"</f>
        <v>H-2228</v>
      </c>
      <c r="E9832" s="1" t="s">
        <v>4566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</row>
    <row r="9833" spans="1:11" x14ac:dyDescent="0.2">
      <c r="A9833" s="1" t="s">
        <v>3466</v>
      </c>
      <c r="B9833" s="1" t="s">
        <v>4421</v>
      </c>
      <c r="C9833" s="1" t="str">
        <f>"66298950868368"</f>
        <v>66298950868368</v>
      </c>
      <c r="D9833" s="1" t="str">
        <f>"H148"</f>
        <v>H148</v>
      </c>
      <c r="E9833" s="1" t="s">
        <v>4566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</row>
    <row r="9834" spans="1:11" x14ac:dyDescent="0.2">
      <c r="A9834" s="1" t="s">
        <v>98</v>
      </c>
      <c r="B9834" s="1" t="s">
        <v>4422</v>
      </c>
      <c r="C9834" s="1" t="str">
        <f>"7781"</f>
        <v>7781</v>
      </c>
      <c r="D9834" s="1" t="str">
        <f>"7781"</f>
        <v>7781</v>
      </c>
      <c r="E9834" s="1" t="s">
        <v>4566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</row>
    <row r="9835" spans="1:11" x14ac:dyDescent="0.2">
      <c r="A9835" s="1" t="s">
        <v>98</v>
      </c>
      <c r="B9835" s="1" t="s">
        <v>4423</v>
      </c>
      <c r="C9835" s="1" t="str">
        <f>"66298950907208"</f>
        <v>66298950907208</v>
      </c>
      <c r="D9835" s="1" t="str">
        <f>"WYT40-F3-9"</f>
        <v>WYT40-F3-9</v>
      </c>
      <c r="E9835" s="1" t="s">
        <v>4566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</row>
    <row r="9836" spans="1:11" x14ac:dyDescent="0.2">
      <c r="A9836" s="1" t="s">
        <v>98</v>
      </c>
      <c r="B9836" s="1" t="s">
        <v>4424</v>
      </c>
      <c r="C9836" s="1" t="str">
        <f>"66298950951050"</f>
        <v>66298950951050</v>
      </c>
      <c r="D9836" s="1" t="str">
        <f>"84886"</f>
        <v>84886</v>
      </c>
      <c r="E9836" s="1" t="s">
        <v>4566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</row>
    <row r="9837" spans="1:11" x14ac:dyDescent="0.2">
      <c r="A9837" s="1" t="s">
        <v>1567</v>
      </c>
      <c r="B9837" s="1" t="s">
        <v>4425</v>
      </c>
      <c r="C9837" s="1" t="str">
        <f>"RO-3178"</f>
        <v>RO-3178</v>
      </c>
      <c r="D9837" s="1" t="str">
        <f>"RO-3178"</f>
        <v>RO-3178</v>
      </c>
      <c r="E9837" s="1" t="s">
        <v>4566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</row>
    <row r="9838" spans="1:11" x14ac:dyDescent="0.2">
      <c r="B9838" s="1" t="s">
        <v>1569</v>
      </c>
    </row>
    <row r="9839" spans="1:11" x14ac:dyDescent="0.2">
      <c r="B9839" s="1" t="s">
        <v>4426</v>
      </c>
    </row>
    <row r="9840" spans="1:11" x14ac:dyDescent="0.2">
      <c r="B9840" s="1" t="s">
        <v>1571</v>
      </c>
    </row>
    <row r="9841" spans="1:11" x14ac:dyDescent="0.2">
      <c r="B9841" s="1" t="s">
        <v>2545</v>
      </c>
    </row>
    <row r="9842" spans="1:11" x14ac:dyDescent="0.2">
      <c r="B9842" s="1" t="s">
        <v>1573</v>
      </c>
    </row>
    <row r="9843" spans="1:11" x14ac:dyDescent="0.2">
      <c r="B9843" s="1" t="s">
        <v>1574</v>
      </c>
    </row>
    <row r="9844" spans="1:11" x14ac:dyDescent="0.2">
      <c r="B9844" s="1" t="s">
        <v>1575</v>
      </c>
    </row>
    <row r="9845" spans="1:11" x14ac:dyDescent="0.2">
      <c r="B9845" s="1" t="s">
        <v>4427</v>
      </c>
    </row>
    <row r="9846" spans="1:11" x14ac:dyDescent="0.2">
      <c r="B9846" s="1" t="s">
        <v>4428</v>
      </c>
    </row>
    <row r="9847" spans="1:11" x14ac:dyDescent="0.2">
      <c r="A9847" s="1" t="s">
        <v>18</v>
      </c>
      <c r="B9847" s="1" t="s">
        <v>4429</v>
      </c>
      <c r="C9847" s="1" t="str">
        <f>"TRAJE-L"</f>
        <v>TRAJE-L</v>
      </c>
      <c r="D9847" s="1" t="str">
        <f>"TRAJE-L"</f>
        <v>TRAJE-L</v>
      </c>
      <c r="E9847" s="1" t="s">
        <v>4566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</row>
    <row r="9848" spans="1:11" x14ac:dyDescent="0.2">
      <c r="A9848" s="1" t="s">
        <v>18</v>
      </c>
      <c r="B9848" s="1" t="s">
        <v>4430</v>
      </c>
      <c r="C9848" s="1" t="str">
        <f>"66298950993140"</f>
        <v>66298950993140</v>
      </c>
      <c r="D9848" s="1" t="str">
        <f>"TRAJE-XL"</f>
        <v>TRAJE-XL</v>
      </c>
      <c r="E9848" s="1" t="s">
        <v>4566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</row>
    <row r="9849" spans="1:11" x14ac:dyDescent="0.2">
      <c r="A9849" s="1" t="s">
        <v>18</v>
      </c>
      <c r="B9849" s="1" t="s">
        <v>4431</v>
      </c>
      <c r="C9849" s="1" t="str">
        <f>"9950036"</f>
        <v>9950036</v>
      </c>
      <c r="D9849" s="1" t="str">
        <f>"9950036"</f>
        <v>9950036</v>
      </c>
      <c r="E9849" s="1" t="s">
        <v>4566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</row>
    <row r="9850" spans="1:11" x14ac:dyDescent="0.2">
      <c r="A9850" s="1" t="s">
        <v>18</v>
      </c>
      <c r="B9850" s="1" t="s">
        <v>4432</v>
      </c>
      <c r="C9850" s="1" t="str">
        <f>"9950037"</f>
        <v>9950037</v>
      </c>
      <c r="D9850" s="1" t="str">
        <f>"9950037"</f>
        <v>9950037</v>
      </c>
      <c r="E9850" s="1" t="s">
        <v>4566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</row>
    <row r="9851" spans="1:11" x14ac:dyDescent="0.2">
      <c r="A9851" s="1" t="s">
        <v>98</v>
      </c>
      <c r="B9851" s="1" t="s">
        <v>4433</v>
      </c>
      <c r="C9851" s="1" t="str">
        <f>"66298951038093"</f>
        <v>66298951038093</v>
      </c>
      <c r="D9851" s="1" t="str">
        <f>"JC012"</f>
        <v>JC012</v>
      </c>
      <c r="E9851" s="1" t="s">
        <v>4566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</row>
    <row r="9852" spans="1:11" x14ac:dyDescent="0.2">
      <c r="A9852" s="1" t="s">
        <v>98</v>
      </c>
      <c r="B9852" s="1" t="s">
        <v>4434</v>
      </c>
      <c r="C9852" s="1" t="str">
        <f>"66298951174574"</f>
        <v>66298951174574</v>
      </c>
      <c r="D9852" s="1" t="str">
        <f>"400446"</f>
        <v>400446</v>
      </c>
      <c r="E9852" s="1" t="s">
        <v>4566</v>
      </c>
      <c r="F9852" s="1">
        <v>50</v>
      </c>
      <c r="G9852" s="1">
        <v>6510</v>
      </c>
      <c r="H9852" s="1">
        <v>325500</v>
      </c>
      <c r="I9852" s="1">
        <v>0</v>
      </c>
      <c r="J9852" s="1">
        <v>50</v>
      </c>
      <c r="K9852" s="1">
        <v>0</v>
      </c>
    </row>
    <row r="9853" spans="1:11" x14ac:dyDescent="0.2">
      <c r="A9853" s="1" t="s">
        <v>98</v>
      </c>
      <c r="B9853" s="1" t="s">
        <v>4435</v>
      </c>
      <c r="C9853" s="1" t="str">
        <f>"66298951127641"</f>
        <v>66298951127641</v>
      </c>
      <c r="D9853" s="1" t="str">
        <f>"JC030-AZUL"</f>
        <v>JC030-AZUL</v>
      </c>
      <c r="E9853" s="1" t="s">
        <v>4566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</row>
    <row r="9854" spans="1:11" x14ac:dyDescent="0.2">
      <c r="A9854" s="1" t="s">
        <v>98</v>
      </c>
      <c r="B9854" s="1" t="s">
        <v>4436</v>
      </c>
      <c r="C9854" s="1" t="str">
        <f>"66298951213346"</f>
        <v>66298951213346</v>
      </c>
      <c r="D9854" s="1" t="str">
        <f>"JC030-DORADO"</f>
        <v>JC030-DORADO</v>
      </c>
      <c r="E9854" s="1" t="s">
        <v>4566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</row>
    <row r="9855" spans="1:11" x14ac:dyDescent="0.2">
      <c r="A9855" s="1" t="s">
        <v>98</v>
      </c>
      <c r="B9855" s="1" t="s">
        <v>4437</v>
      </c>
      <c r="C9855" s="1" t="str">
        <f>"66298951255045"</f>
        <v>66298951255045</v>
      </c>
      <c r="D9855" s="1" t="str">
        <f>"400449"</f>
        <v>400449</v>
      </c>
      <c r="E9855" s="1" t="s">
        <v>4566</v>
      </c>
      <c r="F9855" s="1">
        <v>60</v>
      </c>
      <c r="G9855" s="1">
        <v>6510</v>
      </c>
      <c r="H9855" s="1">
        <v>390600</v>
      </c>
      <c r="I9855" s="1">
        <v>0</v>
      </c>
      <c r="J9855" s="1">
        <v>60</v>
      </c>
      <c r="K9855" s="1">
        <v>0</v>
      </c>
    </row>
    <row r="9856" spans="1:11" x14ac:dyDescent="0.2">
      <c r="A9856" s="1" t="s">
        <v>98</v>
      </c>
      <c r="B9856" s="1" t="s">
        <v>4438</v>
      </c>
      <c r="C9856" s="1" t="str">
        <f>"66298951297211"</f>
        <v>66298951297211</v>
      </c>
      <c r="D9856" s="1" t="str">
        <f>"JC030-NARANJO"</f>
        <v>JC030-NARANJO</v>
      </c>
      <c r="E9856" s="1" t="s">
        <v>4566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</row>
    <row r="9857" spans="1:11" x14ac:dyDescent="0.2">
      <c r="A9857" s="1" t="s">
        <v>98</v>
      </c>
      <c r="B9857" s="1" t="s">
        <v>4439</v>
      </c>
      <c r="C9857" s="1" t="str">
        <f>"66298951339558"</f>
        <v>66298951339558</v>
      </c>
      <c r="D9857" s="1" t="str">
        <f>"400447"</f>
        <v>400447</v>
      </c>
      <c r="E9857" s="1" t="s">
        <v>4566</v>
      </c>
      <c r="F9857" s="1">
        <v>168</v>
      </c>
      <c r="G9857" s="1">
        <v>6510</v>
      </c>
      <c r="H9857" s="1">
        <v>1093680</v>
      </c>
      <c r="I9857" s="1">
        <v>0</v>
      </c>
      <c r="J9857" s="1">
        <v>168</v>
      </c>
      <c r="K9857" s="1">
        <v>0</v>
      </c>
    </row>
    <row r="9858" spans="1:11" x14ac:dyDescent="0.2">
      <c r="A9858" s="1" t="s">
        <v>98</v>
      </c>
      <c r="B9858" s="1" t="s">
        <v>4440</v>
      </c>
      <c r="C9858" s="1" t="str">
        <f>"66298951426588"</f>
        <v>66298951426588</v>
      </c>
      <c r="D9858" s="1" t="str">
        <f>"400448"</f>
        <v>400448</v>
      </c>
      <c r="E9858" s="1" t="s">
        <v>4566</v>
      </c>
      <c r="F9858" s="1">
        <v>50</v>
      </c>
      <c r="G9858" s="1">
        <v>6510</v>
      </c>
      <c r="H9858" s="1">
        <v>325500</v>
      </c>
      <c r="I9858" s="1">
        <v>0</v>
      </c>
      <c r="J9858" s="1">
        <v>50</v>
      </c>
      <c r="K9858" s="1">
        <v>0</v>
      </c>
    </row>
    <row r="9859" spans="1:11" x14ac:dyDescent="0.2">
      <c r="A9859" s="1" t="s">
        <v>98</v>
      </c>
      <c r="B9859" s="1" t="s">
        <v>4441</v>
      </c>
      <c r="C9859" s="1" t="str">
        <f>"66298951384337"</f>
        <v>66298951384337</v>
      </c>
      <c r="D9859" s="1" t="str">
        <f>"JC030-ROJO"</f>
        <v>JC030-ROJO</v>
      </c>
      <c r="E9859" s="1" t="s">
        <v>4566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</row>
    <row r="9860" spans="1:11" x14ac:dyDescent="0.2">
      <c r="A9860" s="1" t="s">
        <v>98</v>
      </c>
      <c r="B9860" s="1" t="s">
        <v>4442</v>
      </c>
      <c r="C9860" s="1" t="str">
        <f>"66298951080185"</f>
        <v>66298951080185</v>
      </c>
      <c r="D9860" s="1" t="str">
        <f>"JC107"</f>
        <v>JC107</v>
      </c>
      <c r="E9860" s="1" t="s">
        <v>4566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</row>
    <row r="9861" spans="1:11" x14ac:dyDescent="0.2">
      <c r="A9861" s="1" t="s">
        <v>98</v>
      </c>
      <c r="B9861" s="1" t="s">
        <v>4443</v>
      </c>
      <c r="C9861" s="1" t="str">
        <f>"66298951468118"</f>
        <v>66298951468118</v>
      </c>
      <c r="D9861" s="1" t="str">
        <f>"4722"</f>
        <v>4722</v>
      </c>
      <c r="E9861" s="1" t="s">
        <v>4566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</row>
    <row r="9862" spans="1:11" x14ac:dyDescent="0.2">
      <c r="A9862" s="1" t="s">
        <v>98</v>
      </c>
      <c r="B9862" s="1" t="s">
        <v>4444</v>
      </c>
      <c r="C9862" s="1" t="str">
        <f>"66298951513566"</f>
        <v>66298951513566</v>
      </c>
      <c r="D9862" s="1" t="str">
        <f>"H1113"</f>
        <v>H1113</v>
      </c>
      <c r="E9862" s="1" t="s">
        <v>4566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</row>
    <row r="9863" spans="1:11" x14ac:dyDescent="0.2">
      <c r="A9863" s="1" t="s">
        <v>98</v>
      </c>
      <c r="B9863" s="1" t="s">
        <v>4445</v>
      </c>
      <c r="C9863" s="1" t="str">
        <f>"66298951554606"</f>
        <v>66298951554606</v>
      </c>
      <c r="D9863" s="1" t="str">
        <f>"25031BR"</f>
        <v>25031BR</v>
      </c>
      <c r="E9863" s="1" t="s">
        <v>4566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</row>
    <row r="9864" spans="1:11" x14ac:dyDescent="0.2">
      <c r="A9864" s="1" t="s">
        <v>4446</v>
      </c>
      <c r="B9864" s="1" t="s">
        <v>4447</v>
      </c>
      <c r="C9864" s="1" t="str">
        <f>"66298951594116"</f>
        <v>66298951594116</v>
      </c>
      <c r="D9864" s="1" t="str">
        <f>"11556"</f>
        <v>11556</v>
      </c>
      <c r="E9864" s="1" t="s">
        <v>4566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</row>
    <row r="9865" spans="1:11" x14ac:dyDescent="0.2">
      <c r="A9865" s="1" t="s">
        <v>4446</v>
      </c>
      <c r="B9865" s="1" t="s">
        <v>4448</v>
      </c>
      <c r="C9865" s="1" t="str">
        <f>"66298951634810"</f>
        <v>66298951634810</v>
      </c>
      <c r="D9865" s="1" t="str">
        <f>"4C6-E2111-00"</f>
        <v>4C6-E2111-00</v>
      </c>
      <c r="E9865" s="1" t="s">
        <v>4566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</row>
    <row r="9866" spans="1:11" x14ac:dyDescent="0.2">
      <c r="A9866" s="1" t="s">
        <v>4449</v>
      </c>
      <c r="B9866" s="1" t="s">
        <v>4450</v>
      </c>
      <c r="C9866" s="1" t="str">
        <f>"YH0430A"</f>
        <v>YH0430A</v>
      </c>
      <c r="D9866" s="1" t="str">
        <f>"YH0430A"</f>
        <v>YH0430A</v>
      </c>
      <c r="E9866" s="1" t="s">
        <v>4566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</row>
    <row r="9867" spans="1:11" x14ac:dyDescent="0.2">
      <c r="A9867" s="1" t="s">
        <v>4446</v>
      </c>
      <c r="B9867" s="1" t="s">
        <v>4451</v>
      </c>
      <c r="C9867" s="1" t="str">
        <f>"66298951678416"</f>
        <v>66298951678416</v>
      </c>
      <c r="D9867" s="1" t="str">
        <f>"14711-KTE-910"</f>
        <v>14711-KTE-910</v>
      </c>
      <c r="E9867" s="1" t="s">
        <v>4566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</row>
    <row r="9868" spans="1:11" x14ac:dyDescent="0.2">
      <c r="A9868" s="1" t="s">
        <v>4446</v>
      </c>
      <c r="B9868" s="1" t="s">
        <v>4452</v>
      </c>
      <c r="C9868" s="1" t="str">
        <f>"66298951724883"</f>
        <v>66298951724883</v>
      </c>
      <c r="D9868" s="1" t="str">
        <f>"PP-30107-000"</f>
        <v>PP-30107-000</v>
      </c>
      <c r="E9868" s="1" t="s">
        <v>4566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</row>
    <row r="9869" spans="1:11" x14ac:dyDescent="0.2">
      <c r="A9869" s="1" t="s">
        <v>4446</v>
      </c>
      <c r="B9869" s="1" t="s">
        <v>4453</v>
      </c>
      <c r="C9869" s="1" t="str">
        <f>"66298951766899"</f>
        <v>66298951766899</v>
      </c>
      <c r="D9869" s="1" t="str">
        <f>"4ST-E2111-00"</f>
        <v>4ST-E2111-00</v>
      </c>
      <c r="E9869" s="1" t="s">
        <v>4566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</row>
    <row r="9870" spans="1:11" x14ac:dyDescent="0.2">
      <c r="A9870" s="1" t="s">
        <v>4446</v>
      </c>
      <c r="B9870" s="1" t="s">
        <v>4454</v>
      </c>
      <c r="C9870" s="1" t="str">
        <f>"66298951807794"</f>
        <v>66298951807794</v>
      </c>
      <c r="D9870" s="1" t="str">
        <f>"21C-E2111-01JP"</f>
        <v>21C-E2111-01JP</v>
      </c>
      <c r="E9870" s="1" t="s">
        <v>4566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</row>
    <row r="9871" spans="1:11" x14ac:dyDescent="0.2">
      <c r="A9871" s="1" t="s">
        <v>4446</v>
      </c>
      <c r="B9871" s="1" t="s">
        <v>4455</v>
      </c>
      <c r="C9871" s="1" t="str">
        <f>"66298951848180"</f>
        <v>66298951848180</v>
      </c>
      <c r="D9871" s="1" t="str">
        <f>"12911-09G00-000"</f>
        <v>12911-09G00-000</v>
      </c>
      <c r="E9871" s="1" t="s">
        <v>4566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</row>
    <row r="9872" spans="1:11" x14ac:dyDescent="0.2">
      <c r="A9872" s="1" t="s">
        <v>4446</v>
      </c>
      <c r="B9872" s="1" t="s">
        <v>4456</v>
      </c>
      <c r="C9872" s="1" t="str">
        <f>"66298951894959"</f>
        <v>66298951894959</v>
      </c>
      <c r="D9872" s="1" t="str">
        <f>"12911-12F50"</f>
        <v>12911-12F50</v>
      </c>
      <c r="E9872" s="1" t="s">
        <v>4566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</row>
    <row r="9873" spans="1:11" x14ac:dyDescent="0.2">
      <c r="A9873" s="1" t="s">
        <v>4446</v>
      </c>
      <c r="B9873" s="1" t="s">
        <v>4457</v>
      </c>
      <c r="C9873" s="1" t="str">
        <f>"66298951936133"</f>
        <v>66298951936133</v>
      </c>
      <c r="D9873" s="1" t="str">
        <f>"12911-25H01-00GS"</f>
        <v>12911-25H01-00GS</v>
      </c>
      <c r="E9873" s="1" t="s">
        <v>4566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</row>
    <row r="9874" spans="1:11" x14ac:dyDescent="0.2">
      <c r="A9874" s="1" t="s">
        <v>4446</v>
      </c>
      <c r="B9874" s="1" t="s">
        <v>4458</v>
      </c>
      <c r="C9874" s="1" t="str">
        <f>"66298952029109"</f>
        <v>66298952029109</v>
      </c>
      <c r="D9874" s="1" t="str">
        <f>"XN-30107-000"</f>
        <v>XN-30107-000</v>
      </c>
      <c r="E9874" s="1" t="s">
        <v>4566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</row>
    <row r="9875" spans="1:11" x14ac:dyDescent="0.2">
      <c r="A9875" s="1" t="s">
        <v>4446</v>
      </c>
      <c r="B9875" s="1" t="s">
        <v>4459</v>
      </c>
      <c r="C9875" s="1" t="str">
        <f>"66298951980518"</f>
        <v>66298951980518</v>
      </c>
      <c r="D9875" s="1" t="str">
        <f>"14711-LBA8-C00"</f>
        <v>14711-LBA8-C00</v>
      </c>
      <c r="E9875" s="1" t="s">
        <v>4566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</row>
    <row r="9876" spans="1:11" x14ac:dyDescent="0.2">
      <c r="A9876" s="1" t="s">
        <v>4446</v>
      </c>
      <c r="B9876" s="1" t="s">
        <v>4460</v>
      </c>
      <c r="C9876" s="1" t="str">
        <f>"66298952068109"</f>
        <v>66298952068109</v>
      </c>
      <c r="D9876" s="1" t="str">
        <f>"FL-30107-000"</f>
        <v>FL-30107-000</v>
      </c>
      <c r="E9876" s="1" t="s">
        <v>4566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</row>
    <row r="9877" spans="1:11" x14ac:dyDescent="0.2">
      <c r="A9877" s="1" t="s">
        <v>4446</v>
      </c>
      <c r="B9877" s="1" t="s">
        <v>4461</v>
      </c>
      <c r="C9877" s="1" t="str">
        <f>"66298952105157"</f>
        <v>66298952105157</v>
      </c>
      <c r="D9877" s="1" t="str">
        <f>"12911H3J010H000"</f>
        <v>12911H3J010H000</v>
      </c>
      <c r="E9877" s="1" t="s">
        <v>4566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</row>
    <row r="9878" spans="1:11" x14ac:dyDescent="0.2">
      <c r="A9878" s="1" t="s">
        <v>4446</v>
      </c>
      <c r="B9878" s="1" t="s">
        <v>4462</v>
      </c>
      <c r="C9878" s="1" t="str">
        <f>"66298952149614"</f>
        <v>66298952149614</v>
      </c>
      <c r="D9878" s="1" t="str">
        <f>"JD-5112-01"</f>
        <v>JD-5112-01</v>
      </c>
      <c r="E9878" s="1" t="s">
        <v>4566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</row>
    <row r="9879" spans="1:11" x14ac:dyDescent="0.2">
      <c r="A9879" s="1" t="s">
        <v>4446</v>
      </c>
      <c r="B9879" s="1" t="s">
        <v>4463</v>
      </c>
      <c r="C9879" s="1" t="str">
        <f>"66298952194095"</f>
        <v>66298952194095</v>
      </c>
      <c r="D9879" s="1" t="str">
        <f>"DJ-1011-24"</f>
        <v>DJ-1011-24</v>
      </c>
      <c r="E9879" s="1" t="s">
        <v>4566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</row>
    <row r="9880" spans="1:11" x14ac:dyDescent="0.2">
      <c r="A9880" s="1" t="s">
        <v>4446</v>
      </c>
      <c r="B9880" s="1" t="s">
        <v>4464</v>
      </c>
      <c r="C9880" s="1" t="str">
        <f>"66298952242761"</f>
        <v>66298952242761</v>
      </c>
      <c r="D9880" s="1" t="str">
        <f>"DK-1010-52"</f>
        <v>DK-1010-52</v>
      </c>
      <c r="E9880" s="1" t="s">
        <v>4566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</row>
    <row r="9881" spans="1:11" x14ac:dyDescent="0.2">
      <c r="A9881" s="1" t="s">
        <v>4446</v>
      </c>
      <c r="B9881" s="1" t="s">
        <v>4464</v>
      </c>
      <c r="C9881" s="1" t="str">
        <f>"66298952248540"</f>
        <v>66298952248540</v>
      </c>
      <c r="D9881" s="1" t="str">
        <f>"JL-5110-10"</f>
        <v>JL-5110-10</v>
      </c>
      <c r="E9881" s="1" t="s">
        <v>4566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</row>
    <row r="9882" spans="1:11" x14ac:dyDescent="0.2">
      <c r="A9882" s="1" t="s">
        <v>4446</v>
      </c>
      <c r="B9882" s="1" t="s">
        <v>4465</v>
      </c>
      <c r="C9882" s="1" t="str">
        <f>"66298952306462"</f>
        <v>66298952306462</v>
      </c>
      <c r="D9882" s="1" t="str">
        <f>"14711-437-000JP"</f>
        <v>14711-437-000JP</v>
      </c>
      <c r="E9882" s="1" t="s">
        <v>4566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</row>
    <row r="9883" spans="1:11" x14ac:dyDescent="0.2">
      <c r="A9883" s="1" t="s">
        <v>4446</v>
      </c>
      <c r="B9883" s="1" t="s">
        <v>4466</v>
      </c>
      <c r="C9883" s="1" t="str">
        <f>"66298952346644"</f>
        <v>66298952346644</v>
      </c>
      <c r="D9883" s="1" t="str">
        <f>"14711-KGA-B00JP"</f>
        <v>14711-KGA-B00JP</v>
      </c>
      <c r="E9883" s="1" t="s">
        <v>4566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</row>
    <row r="9884" spans="1:11" x14ac:dyDescent="0.2">
      <c r="A9884" s="1" t="s">
        <v>4446</v>
      </c>
      <c r="B9884" s="1" t="s">
        <v>4467</v>
      </c>
      <c r="C9884" s="1" t="str">
        <f>"66298952395840"</f>
        <v>66298952395840</v>
      </c>
      <c r="D9884" s="1" t="str">
        <f>"14711-KBB-900"</f>
        <v>14711-KBB-900</v>
      </c>
      <c r="E9884" s="1" t="s">
        <v>4566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</row>
    <row r="9885" spans="1:11" x14ac:dyDescent="0.2">
      <c r="A9885" s="1" t="s">
        <v>4446</v>
      </c>
      <c r="B9885" s="1" t="s">
        <v>4468</v>
      </c>
      <c r="C9885" s="1" t="str">
        <f>"66298952438830"</f>
        <v>66298952438830</v>
      </c>
      <c r="D9885" s="1" t="str">
        <f>"14711-KPF-900"</f>
        <v>14711-KPF-900</v>
      </c>
      <c r="E9885" s="1" t="s">
        <v>4566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</row>
    <row r="9886" spans="1:11" x14ac:dyDescent="0.2">
      <c r="A9886" s="1" t="s">
        <v>4446</v>
      </c>
      <c r="B9886" s="1" t="s">
        <v>4469</v>
      </c>
      <c r="C9886" s="1" t="str">
        <f>"66298952484474"</f>
        <v>66298952484474</v>
      </c>
      <c r="D9886" s="1" t="str">
        <f>"5YP-E2111-00"</f>
        <v>5YP-E2111-00</v>
      </c>
      <c r="E9886" s="1" t="s">
        <v>4566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</row>
    <row r="9887" spans="1:11" x14ac:dyDescent="0.2">
      <c r="A9887" s="1" t="s">
        <v>4446</v>
      </c>
      <c r="B9887" s="1" t="s">
        <v>4469</v>
      </c>
      <c r="C9887" s="1" t="str">
        <f>"5YP-E2111-00JP"</f>
        <v>5YP-E2111-00JP</v>
      </c>
      <c r="D9887" s="1" t="str">
        <f>"5YP-E2111-00JP"</f>
        <v>5YP-E2111-00JP</v>
      </c>
      <c r="E9887" s="1" t="s">
        <v>4566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</row>
    <row r="9888" spans="1:11" x14ac:dyDescent="0.2">
      <c r="A9888" s="1" t="s">
        <v>4446</v>
      </c>
      <c r="B9888" s="1" t="s">
        <v>4470</v>
      </c>
      <c r="C9888" s="1" t="str">
        <f>"66298952529900"</f>
        <v>66298952529900</v>
      </c>
      <c r="D9888" s="1" t="str">
        <f>"11557"</f>
        <v>11557</v>
      </c>
      <c r="E9888" s="1" t="s">
        <v>4566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</row>
    <row r="9889" spans="1:11" x14ac:dyDescent="0.2">
      <c r="A9889" s="1" t="s">
        <v>4446</v>
      </c>
      <c r="B9889" s="1" t="s">
        <v>4471</v>
      </c>
      <c r="C9889" s="1" t="str">
        <f>"66298952572453"</f>
        <v>66298952572453</v>
      </c>
      <c r="D9889" s="1" t="str">
        <f>"14721-GF6-010"</f>
        <v>14721-GF6-010</v>
      </c>
      <c r="E9889" s="1" t="s">
        <v>4566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</row>
    <row r="9890" spans="1:11" x14ac:dyDescent="0.2">
      <c r="A9890" s="1" t="s">
        <v>4449</v>
      </c>
      <c r="B9890" s="1" t="s">
        <v>4472</v>
      </c>
      <c r="C9890" s="1" t="str">
        <f>"YH1430A"</f>
        <v>YH1430A</v>
      </c>
      <c r="D9890" s="1" t="str">
        <f>"YH1430A"</f>
        <v>YH1430A</v>
      </c>
      <c r="E9890" s="1" t="s">
        <v>4566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</row>
    <row r="9891" spans="1:11" x14ac:dyDescent="0.2">
      <c r="A9891" s="1" t="s">
        <v>4446</v>
      </c>
      <c r="B9891" s="1" t="s">
        <v>4473</v>
      </c>
      <c r="C9891" s="1" t="str">
        <f>"66298952616461"</f>
        <v>66298952616461</v>
      </c>
      <c r="D9891" s="1" t="str">
        <f>"14721-KWF-900"</f>
        <v>14721-KWF-900</v>
      </c>
      <c r="E9891" s="1" t="s">
        <v>4566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</row>
    <row r="9892" spans="1:11" x14ac:dyDescent="0.2">
      <c r="A9892" s="1" t="s">
        <v>4446</v>
      </c>
      <c r="B9892" s="1" t="s">
        <v>4474</v>
      </c>
      <c r="C9892" s="1" t="str">
        <f>"66298952656025"</f>
        <v>66298952656025</v>
      </c>
      <c r="D9892" s="1" t="str">
        <f>"EV-30108-000"</f>
        <v>EV-30108-000</v>
      </c>
      <c r="E9892" s="1" t="s">
        <v>4566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</row>
    <row r="9893" spans="1:11" x14ac:dyDescent="0.2">
      <c r="A9893" s="1" t="s">
        <v>4446</v>
      </c>
      <c r="B9893" s="1" t="s">
        <v>4475</v>
      </c>
      <c r="C9893" s="1" t="str">
        <f>"66298952693855"</f>
        <v>66298952693855</v>
      </c>
      <c r="D9893" s="1" t="str">
        <f>"14721-KRM-840JP"</f>
        <v>14721-KRM-840JP</v>
      </c>
      <c r="E9893" s="1" t="s">
        <v>4566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</row>
    <row r="9894" spans="1:11" x14ac:dyDescent="0.2">
      <c r="A9894" s="1" t="s">
        <v>4446</v>
      </c>
      <c r="B9894" s="1" t="s">
        <v>4476</v>
      </c>
      <c r="C9894" s="1" t="str">
        <f>"66298952735541"</f>
        <v>66298952735541</v>
      </c>
      <c r="D9894" s="1" t="str">
        <f>"12912-12F50"</f>
        <v>12912-12F50</v>
      </c>
      <c r="E9894" s="1" t="s">
        <v>4566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</row>
    <row r="9895" spans="1:11" x14ac:dyDescent="0.2">
      <c r="A9895" s="1" t="s">
        <v>4446</v>
      </c>
      <c r="B9895" s="1" t="s">
        <v>4477</v>
      </c>
      <c r="C9895" s="1" t="str">
        <f>"66298952781342"</f>
        <v>66298952781342</v>
      </c>
      <c r="D9895" s="1" t="str">
        <f>"PP-30108-000"</f>
        <v>PP-30108-000</v>
      </c>
      <c r="E9895" s="1" t="s">
        <v>4566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</row>
    <row r="9896" spans="1:11" x14ac:dyDescent="0.2">
      <c r="A9896" s="1" t="s">
        <v>4446</v>
      </c>
      <c r="B9896" s="1" t="s">
        <v>4478</v>
      </c>
      <c r="C9896" s="1" t="str">
        <f>"66298952820261"</f>
        <v>66298952820261</v>
      </c>
      <c r="D9896" s="1" t="str">
        <f>"12912H3E002H000"</f>
        <v>12912H3E002H000</v>
      </c>
      <c r="E9896" s="1" t="s">
        <v>4566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</row>
    <row r="9897" spans="1:11" x14ac:dyDescent="0.2">
      <c r="A9897" s="1" t="s">
        <v>4446</v>
      </c>
      <c r="B9897" s="1" t="s">
        <v>4479</v>
      </c>
      <c r="C9897" s="1" t="str">
        <f>"66298952858085"</f>
        <v>66298952858085</v>
      </c>
      <c r="D9897" s="1" t="str">
        <f>"JD-5112-02"</f>
        <v>JD-5112-02</v>
      </c>
      <c r="E9897" s="1" t="s">
        <v>4566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</row>
    <row r="9898" spans="1:11" x14ac:dyDescent="0.2">
      <c r="A9898" s="1" t="s">
        <v>4446</v>
      </c>
      <c r="B9898" s="1" t="s">
        <v>4480</v>
      </c>
      <c r="C9898" s="1" t="str">
        <f>"66298952902191"</f>
        <v>66298952902191</v>
      </c>
      <c r="D9898" s="1" t="str">
        <f>"DJ-1011-25"</f>
        <v>DJ-1011-25</v>
      </c>
      <c r="E9898" s="1" t="s">
        <v>4566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</row>
    <row r="9899" spans="1:11" x14ac:dyDescent="0.2">
      <c r="A9899" s="1" t="s">
        <v>4446</v>
      </c>
      <c r="B9899" s="1" t="s">
        <v>4481</v>
      </c>
      <c r="C9899" s="1" t="str">
        <f>"66298952947260"</f>
        <v>66298952947260</v>
      </c>
      <c r="D9899" s="1" t="str">
        <f>"DK-1010-11"</f>
        <v>DK-1010-11</v>
      </c>
      <c r="E9899" s="1" t="s">
        <v>4566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</row>
    <row r="9900" spans="1:11" x14ac:dyDescent="0.2">
      <c r="A9900" s="1" t="s">
        <v>4446</v>
      </c>
      <c r="B9900" s="1" t="s">
        <v>4482</v>
      </c>
      <c r="C9900" s="1" t="str">
        <f>"66298952985602"</f>
        <v>66298952985602</v>
      </c>
      <c r="D9900" s="1" t="str">
        <f>"14721-KUDU-C00"</f>
        <v>14721-KUDU-C00</v>
      </c>
      <c r="E9900" s="1" t="s">
        <v>4566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</row>
    <row r="9901" spans="1:11" x14ac:dyDescent="0.2">
      <c r="A9901" s="1" t="s">
        <v>4446</v>
      </c>
      <c r="B9901" s="1" t="s">
        <v>4483</v>
      </c>
      <c r="C9901" s="1" t="str">
        <f>"66298953024882"</f>
        <v>66298953024882</v>
      </c>
      <c r="D9901" s="1" t="str">
        <f>"14721-KCC-950"</f>
        <v>14721-KCC-950</v>
      </c>
      <c r="E9901" s="1" t="s">
        <v>4566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</row>
    <row r="9902" spans="1:11" x14ac:dyDescent="0.2">
      <c r="A9902" s="1" t="s">
        <v>4446</v>
      </c>
      <c r="B9902" s="1" t="s">
        <v>4484</v>
      </c>
      <c r="C9902" s="1" t="str">
        <f>"66298953066393"</f>
        <v>66298953066393</v>
      </c>
      <c r="D9902" s="1" t="str">
        <f>"14721-437-000JP"</f>
        <v>14721-437-000JP</v>
      </c>
      <c r="E9902" s="1" t="s">
        <v>4566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</row>
    <row r="9903" spans="1:11" x14ac:dyDescent="0.2">
      <c r="A9903" s="1" t="s">
        <v>4446</v>
      </c>
      <c r="B9903" s="1" t="s">
        <v>4485</v>
      </c>
      <c r="C9903" s="1" t="str">
        <f>"66298953104787"</f>
        <v>66298953104787</v>
      </c>
      <c r="D9903" s="1" t="str">
        <f>"14721-KGA-B00"</f>
        <v>14721-KGA-B00</v>
      </c>
      <c r="E9903" s="1" t="s">
        <v>4566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</row>
    <row r="9904" spans="1:11" x14ac:dyDescent="0.2">
      <c r="A9904" s="1" t="s">
        <v>4446</v>
      </c>
      <c r="B9904" s="1" t="s">
        <v>4486</v>
      </c>
      <c r="C9904" s="1" t="str">
        <f>"66298953144526"</f>
        <v>66298953144526</v>
      </c>
      <c r="D9904" s="1" t="str">
        <f>"14721-KBB-900"</f>
        <v>14721-KBB-900</v>
      </c>
      <c r="E9904" s="1" t="s">
        <v>4566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</row>
    <row r="9905" spans="1:11" x14ac:dyDescent="0.2">
      <c r="A9905" s="1" t="s">
        <v>4446</v>
      </c>
      <c r="B9905" s="1" t="s">
        <v>4487</v>
      </c>
      <c r="C9905" s="1" t="str">
        <f>"66298953217621"</f>
        <v>66298953217621</v>
      </c>
      <c r="D9905" s="1" t="str">
        <f>"14721-KPF-900"</f>
        <v>14721-KPF-900</v>
      </c>
      <c r="E9905" s="1" t="s">
        <v>4566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</row>
    <row r="9906" spans="1:11" x14ac:dyDescent="0.2">
      <c r="A9906" s="1" t="s">
        <v>4446</v>
      </c>
      <c r="B9906" s="1" t="s">
        <v>4488</v>
      </c>
      <c r="C9906" s="1" t="str">
        <f>"66298953350867"</f>
        <v>66298953350867</v>
      </c>
      <c r="D9906" s="1" t="str">
        <f>"14721-KR6-000JPN"</f>
        <v>14721-KR6-000JPN</v>
      </c>
      <c r="E9906" s="1" t="s">
        <v>4566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</row>
    <row r="9907" spans="1:11" x14ac:dyDescent="0.2">
      <c r="A9907" s="1" t="s">
        <v>4446</v>
      </c>
      <c r="B9907" s="1" t="s">
        <v>4489</v>
      </c>
      <c r="C9907" s="1" t="str">
        <f>"66298953267545"</f>
        <v>66298953267545</v>
      </c>
      <c r="D9907" s="1" t="str">
        <f>"14721-KR6-000JP"</f>
        <v>14721-KR6-000JP</v>
      </c>
      <c r="E9907" s="1" t="s">
        <v>4566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</row>
    <row r="9908" spans="1:11" x14ac:dyDescent="0.2">
      <c r="A9908" s="1" t="s">
        <v>4446</v>
      </c>
      <c r="B9908" s="1" t="s">
        <v>4489</v>
      </c>
      <c r="C9908" s="1" t="str">
        <f>"66298953309404"</f>
        <v>66298953309404</v>
      </c>
      <c r="D9908" s="1" t="str">
        <f>"14721-KR6-000"</f>
        <v>14721-KR6-000</v>
      </c>
      <c r="E9908" s="1" t="s">
        <v>4566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</row>
    <row r="9909" spans="1:11" x14ac:dyDescent="0.2">
      <c r="A9909" s="1" t="s">
        <v>4446</v>
      </c>
      <c r="B9909" s="1" t="s">
        <v>4490</v>
      </c>
      <c r="C9909" s="1" t="str">
        <f>"66298953390137"</f>
        <v>66298953390137</v>
      </c>
      <c r="D9909" s="1" t="str">
        <f>"5HH-E2121-00"</f>
        <v>5HH-E2121-00</v>
      </c>
      <c r="E9909" s="1" t="s">
        <v>4566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</row>
    <row r="9910" spans="1:11" x14ac:dyDescent="0.2">
      <c r="A9910" s="1" t="s">
        <v>4446</v>
      </c>
      <c r="B9910" s="1" t="s">
        <v>4491</v>
      </c>
      <c r="C9910" s="1" t="str">
        <f>"66298953432973"</f>
        <v>66298953432973</v>
      </c>
      <c r="D9910" s="1" t="str">
        <f>"5KA-E2121-00"</f>
        <v>5KA-E2121-00</v>
      </c>
      <c r="E9910" s="1" t="s">
        <v>4566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</row>
    <row r="9911" spans="1:11" x14ac:dyDescent="0.2">
      <c r="A9911" s="1" t="s">
        <v>4446</v>
      </c>
      <c r="B9911" s="1" t="s">
        <v>4492</v>
      </c>
      <c r="C9911" s="1" t="str">
        <f>"66298953471454"</f>
        <v>66298953471454</v>
      </c>
      <c r="D9911" s="1" t="str">
        <f>"4C6-E2121-00"</f>
        <v>4C6-E2121-00</v>
      </c>
      <c r="E9911" s="1" t="s">
        <v>4566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</row>
    <row r="9912" spans="1:11" x14ac:dyDescent="0.2">
      <c r="A9912" s="1" t="s">
        <v>4446</v>
      </c>
      <c r="B9912" s="1" t="s">
        <v>4493</v>
      </c>
      <c r="C9912" s="1" t="str">
        <f>"66298953515180"</f>
        <v>66298953515180</v>
      </c>
      <c r="D9912" s="1" t="str">
        <f>"5YP-E2121-00"</f>
        <v>5YP-E2121-00</v>
      </c>
      <c r="E9912" s="1" t="s">
        <v>4566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</row>
    <row r="9913" spans="1:11" x14ac:dyDescent="0.2">
      <c r="A9913" s="1" t="s">
        <v>4446</v>
      </c>
      <c r="B9913" s="1" t="s">
        <v>4493</v>
      </c>
      <c r="C9913" s="1" t="str">
        <f>"5YP-E2121-00JP"</f>
        <v>5YP-E2121-00JP</v>
      </c>
      <c r="D9913" s="1" t="str">
        <f>"5YP-E2121-00JP"</f>
        <v>5YP-E2121-00JP</v>
      </c>
      <c r="E9913" s="1" t="s">
        <v>4566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</row>
    <row r="9914" spans="1:11" x14ac:dyDescent="0.2">
      <c r="A9914" s="1" t="s">
        <v>98</v>
      </c>
      <c r="B9914" s="1" t="s">
        <v>4494</v>
      </c>
      <c r="C9914" s="1" t="str">
        <f>"66298953560357"</f>
        <v>66298953560357</v>
      </c>
      <c r="D9914" s="1" t="str">
        <f>"H014"</f>
        <v>H014</v>
      </c>
      <c r="E9914" s="1" t="s">
        <v>4566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</row>
    <row r="9915" spans="1:11" x14ac:dyDescent="0.2">
      <c r="A9915" s="1" t="s">
        <v>4446</v>
      </c>
      <c r="B9915" s="1" t="s">
        <v>4494</v>
      </c>
      <c r="C9915" s="1" t="str">
        <f>"H013"</f>
        <v>H013</v>
      </c>
      <c r="D9915" s="1" t="str">
        <f>"H013"</f>
        <v>H013</v>
      </c>
      <c r="E9915" s="1" t="s">
        <v>4566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</row>
    <row r="9916" spans="1:11" x14ac:dyDescent="0.2">
      <c r="A9916" s="1" t="s">
        <v>3042</v>
      </c>
      <c r="B9916" s="1" t="s">
        <v>4495</v>
      </c>
      <c r="C9916" s="1" t="str">
        <f>"VALV-CURVA"</f>
        <v>VALV-CURVA</v>
      </c>
      <c r="D9916" s="1" t="str">
        <f>"VALV-CURVA"</f>
        <v>VALV-CURVA</v>
      </c>
      <c r="E9916" s="1" t="s">
        <v>4566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</row>
    <row r="9917" spans="1:11" x14ac:dyDescent="0.2">
      <c r="A9917" s="1" t="s">
        <v>3042</v>
      </c>
      <c r="B9917" s="1" t="s">
        <v>4496</v>
      </c>
      <c r="C9917" s="1" t="str">
        <f>"VALV-RECTA"</f>
        <v>VALV-RECTA</v>
      </c>
      <c r="D9917" s="1" t="str">
        <f>"VALV-RECTA"</f>
        <v>VALV-RECTA</v>
      </c>
      <c r="E9917" s="1" t="s">
        <v>4566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</row>
    <row r="9918" spans="1:11" x14ac:dyDescent="0.2">
      <c r="A9918" s="1" t="s">
        <v>98</v>
      </c>
      <c r="B9918" s="1" t="s">
        <v>4497</v>
      </c>
      <c r="C9918" s="1" t="str">
        <f>"66298953597421"</f>
        <v>66298953597421</v>
      </c>
      <c r="D9918" s="1" t="str">
        <f>"H015"</f>
        <v>H015</v>
      </c>
      <c r="E9918" s="1" t="s">
        <v>4566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</row>
    <row r="9919" spans="1:11" x14ac:dyDescent="0.2">
      <c r="A9919" s="1" t="s">
        <v>4446</v>
      </c>
      <c r="B9919" s="1" t="s">
        <v>4498</v>
      </c>
      <c r="C9919" s="1" t="str">
        <f>"66298953639367"</f>
        <v>66298953639367</v>
      </c>
      <c r="D9919" s="1" t="str">
        <f>"82006"</f>
        <v>82006</v>
      </c>
      <c r="E9919" s="1" t="s">
        <v>4566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</row>
    <row r="9920" spans="1:11" x14ac:dyDescent="0.2">
      <c r="A9920" s="1" t="s">
        <v>4446</v>
      </c>
      <c r="B9920" s="1" t="s">
        <v>4499</v>
      </c>
      <c r="C9920" s="1" t="str">
        <f>"11482"</f>
        <v>11482</v>
      </c>
      <c r="D9920" s="1" t="str">
        <f>"11482"</f>
        <v>11482</v>
      </c>
      <c r="E9920" s="1" t="s">
        <v>4566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</row>
    <row r="9921" spans="1:11" x14ac:dyDescent="0.2">
      <c r="A9921" s="1" t="s">
        <v>4446</v>
      </c>
      <c r="B9921" s="1" t="s">
        <v>4500</v>
      </c>
      <c r="C9921" s="1" t="str">
        <f>"66298953729049"</f>
        <v>66298953729049</v>
      </c>
      <c r="D9921" s="1" t="str">
        <f>"11477"</f>
        <v>11477</v>
      </c>
      <c r="E9921" s="1" t="s">
        <v>4566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</row>
    <row r="9922" spans="1:11" x14ac:dyDescent="0.2">
      <c r="A9922" s="1" t="s">
        <v>4446</v>
      </c>
      <c r="B9922" s="1" t="s">
        <v>4501</v>
      </c>
      <c r="C9922" s="1" t="str">
        <f>"66298953684217"</f>
        <v>66298953684217</v>
      </c>
      <c r="D9922" s="1" t="str">
        <f>"DC002"</f>
        <v>DC002</v>
      </c>
      <c r="E9922" s="1" t="s">
        <v>4566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</row>
    <row r="9923" spans="1:11" x14ac:dyDescent="0.2">
      <c r="A9923" s="1" t="s">
        <v>4446</v>
      </c>
      <c r="B9923" s="1" t="s">
        <v>4502</v>
      </c>
      <c r="C9923" s="1" t="str">
        <f>"7847"</f>
        <v>7847</v>
      </c>
      <c r="D9923" s="1" t="str">
        <f>"7847"</f>
        <v>7847</v>
      </c>
      <c r="E9923" s="1" t="s">
        <v>4566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</row>
    <row r="9924" spans="1:11" ht="30" x14ac:dyDescent="0.2">
      <c r="A9924" s="1" t="s">
        <v>4446</v>
      </c>
      <c r="B9924" s="1" t="s">
        <v>4503</v>
      </c>
      <c r="C9924" s="1" t="str">
        <f>"66298953780749"</f>
        <v>66298953780749</v>
      </c>
      <c r="D9924" s="1" t="str">
        <f>"400084"</f>
        <v>400084</v>
      </c>
      <c r="E9924" s="1" t="s">
        <v>4566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</row>
    <row r="9925" spans="1:11" x14ac:dyDescent="0.2">
      <c r="A9925" s="1" t="s">
        <v>4446</v>
      </c>
      <c r="B9925" s="1" t="s">
        <v>4504</v>
      </c>
      <c r="C9925" s="1" t="str">
        <f>"66298953824167"</f>
        <v>66298953824167</v>
      </c>
      <c r="D9925" s="1" t="str">
        <f>"400074"</f>
        <v>400074</v>
      </c>
      <c r="E9925" s="1" t="s">
        <v>4566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</row>
    <row r="9926" spans="1:11" x14ac:dyDescent="0.2">
      <c r="A9926" s="1" t="s">
        <v>4446</v>
      </c>
      <c r="B9926" s="1" t="s">
        <v>4505</v>
      </c>
      <c r="C9926" s="1" t="str">
        <f>"66298953970946"</f>
        <v>66298953970946</v>
      </c>
      <c r="D9926" s="1" t="str">
        <f>"400075"</f>
        <v>400075</v>
      </c>
      <c r="E9926" s="1" t="s">
        <v>4566</v>
      </c>
      <c r="F9926" s="1">
        <v>106</v>
      </c>
      <c r="G9926" s="1">
        <v>1816</v>
      </c>
      <c r="H9926" s="1">
        <v>192496</v>
      </c>
      <c r="I9926" s="1">
        <v>0</v>
      </c>
      <c r="J9926" s="1">
        <v>106</v>
      </c>
      <c r="K9926" s="1">
        <v>0</v>
      </c>
    </row>
    <row r="9927" spans="1:11" x14ac:dyDescent="0.2">
      <c r="A9927" s="1" t="s">
        <v>4446</v>
      </c>
      <c r="B9927" s="1" t="s">
        <v>4506</v>
      </c>
      <c r="C9927" s="1" t="str">
        <f>"66298953866752"</f>
        <v>66298953866752</v>
      </c>
      <c r="D9927" s="1" t="str">
        <f>"2695"</f>
        <v>2695</v>
      </c>
      <c r="E9927" s="1" t="s">
        <v>4566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</row>
    <row r="9928" spans="1:11" x14ac:dyDescent="0.2">
      <c r="A9928" s="1" t="s">
        <v>4446</v>
      </c>
      <c r="B9928" s="1" t="s">
        <v>4506</v>
      </c>
      <c r="C9928" s="1" t="str">
        <f>"66298953914263"</f>
        <v>66298953914263</v>
      </c>
      <c r="D9928" s="1" t="str">
        <f>"DM-V-00006"</f>
        <v>DM-V-00006</v>
      </c>
      <c r="E9928" s="1" t="s">
        <v>4566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</row>
    <row r="9929" spans="1:11" x14ac:dyDescent="0.2">
      <c r="A9929" s="1" t="s">
        <v>4446</v>
      </c>
      <c r="B9929" s="1" t="s">
        <v>4506</v>
      </c>
      <c r="C9929" s="1" t="str">
        <f>"66298953919693"</f>
        <v>66298953919693</v>
      </c>
      <c r="D9929" s="1" t="str">
        <f>"DC007"</f>
        <v>DC007</v>
      </c>
      <c r="E9929" s="1" t="s">
        <v>4566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</row>
    <row r="9930" spans="1:11" x14ac:dyDescent="0.2">
      <c r="A9930" s="1" t="s">
        <v>4446</v>
      </c>
      <c r="B9930" s="1" t="s">
        <v>4507</v>
      </c>
      <c r="C9930" s="1" t="str">
        <f>"66298954055132"</f>
        <v>66298954055132</v>
      </c>
      <c r="D9930" s="1" t="str">
        <f>"400076"</f>
        <v>400076</v>
      </c>
      <c r="E9930" s="1" t="s">
        <v>4566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</row>
    <row r="9931" spans="1:11" x14ac:dyDescent="0.2">
      <c r="A9931" s="1" t="s">
        <v>4446</v>
      </c>
      <c r="B9931" s="1" t="s">
        <v>4508</v>
      </c>
      <c r="C9931" s="1" t="str">
        <f>"66298954012747"</f>
        <v>66298954012747</v>
      </c>
      <c r="D9931" s="1" t="str">
        <f>"808"</f>
        <v>808</v>
      </c>
      <c r="E9931" s="1" t="s">
        <v>4566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</row>
    <row r="9932" spans="1:11" x14ac:dyDescent="0.2">
      <c r="A9932" s="1" t="s">
        <v>4446</v>
      </c>
      <c r="B9932" s="1" t="s">
        <v>4509</v>
      </c>
      <c r="C9932" s="1" t="str">
        <f>"66298954096629"</f>
        <v>66298954096629</v>
      </c>
      <c r="D9932" s="1" t="str">
        <f>"400077"</f>
        <v>400077</v>
      </c>
      <c r="E9932" s="1" t="s">
        <v>4566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</row>
    <row r="9933" spans="1:11" x14ac:dyDescent="0.2">
      <c r="A9933" s="1" t="s">
        <v>4446</v>
      </c>
      <c r="B9933" s="1" t="s">
        <v>4510</v>
      </c>
      <c r="C9933" s="1" t="str">
        <f>"66298954189161"</f>
        <v>66298954189161</v>
      </c>
      <c r="D9933" s="1" t="str">
        <f>"400078"</f>
        <v>400078</v>
      </c>
      <c r="E9933" s="1" t="s">
        <v>4566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</row>
    <row r="9934" spans="1:11" x14ac:dyDescent="0.2">
      <c r="A9934" s="1" t="s">
        <v>4446</v>
      </c>
      <c r="B9934" s="1" t="s">
        <v>4511</v>
      </c>
      <c r="C9934" s="1" t="str">
        <f>"66298954143524"</f>
        <v>66298954143524</v>
      </c>
      <c r="D9934" s="1" t="str">
        <f>"11476"</f>
        <v>11476</v>
      </c>
      <c r="E9934" s="1" t="s">
        <v>4566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</row>
    <row r="9935" spans="1:11" x14ac:dyDescent="0.2">
      <c r="A9935" s="1" t="s">
        <v>4446</v>
      </c>
      <c r="B9935" s="1" t="s">
        <v>4512</v>
      </c>
      <c r="C9935" s="1" t="str">
        <f>"400079"</f>
        <v>400079</v>
      </c>
      <c r="D9935" s="1" t="str">
        <f>"400079"</f>
        <v>400079</v>
      </c>
      <c r="E9935" s="1" t="s">
        <v>4566</v>
      </c>
      <c r="F9935" s="1">
        <v>47</v>
      </c>
      <c r="G9935" s="1">
        <v>2034</v>
      </c>
      <c r="H9935" s="1">
        <v>95598</v>
      </c>
      <c r="I9935" s="1">
        <v>0</v>
      </c>
      <c r="J9935" s="1">
        <v>47</v>
      </c>
      <c r="K9935" s="1">
        <v>0</v>
      </c>
    </row>
    <row r="9936" spans="1:11" x14ac:dyDescent="0.2">
      <c r="A9936" s="1" t="s">
        <v>4446</v>
      </c>
      <c r="B9936" s="1" t="s">
        <v>4513</v>
      </c>
      <c r="C9936" s="1" t="str">
        <f>"KGY-FG-41"</f>
        <v>KGY-FG-41</v>
      </c>
      <c r="D9936" s="1" t="str">
        <f>"KGY-FG-41"</f>
        <v>KGY-FG-41</v>
      </c>
      <c r="E9936" s="1" t="s">
        <v>4566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</row>
    <row r="9937" spans="1:11" x14ac:dyDescent="0.2">
      <c r="A9937" s="1" t="s">
        <v>4446</v>
      </c>
      <c r="B9937" s="1" t="s">
        <v>4514</v>
      </c>
      <c r="C9937" s="1" t="str">
        <f>"2277"</f>
        <v>2277</v>
      </c>
      <c r="D9937" s="1" t="str">
        <f>"2277"</f>
        <v>2277</v>
      </c>
      <c r="E9937" s="1" t="s">
        <v>4566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</row>
    <row r="9938" spans="1:11" ht="30" x14ac:dyDescent="0.2">
      <c r="A9938" s="1" t="s">
        <v>4446</v>
      </c>
      <c r="B9938" s="1" t="s">
        <v>4515</v>
      </c>
      <c r="C9938" s="1" t="str">
        <f>"11707"</f>
        <v>11707</v>
      </c>
      <c r="D9938" s="1" t="str">
        <f>"11707"</f>
        <v>11707</v>
      </c>
      <c r="E9938" s="1" t="s">
        <v>4566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</row>
    <row r="9939" spans="1:11" x14ac:dyDescent="0.2">
      <c r="A9939" s="1" t="s">
        <v>4446</v>
      </c>
      <c r="B9939" s="1" t="s">
        <v>4516</v>
      </c>
      <c r="C9939" s="1" t="str">
        <f>"66298954313640"</f>
        <v>66298954313640</v>
      </c>
      <c r="D9939" s="1" t="str">
        <f>"0810-5-5MM"</f>
        <v>0810-5-5MM</v>
      </c>
      <c r="E9939" s="1" t="s">
        <v>4566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</row>
    <row r="9940" spans="1:11" x14ac:dyDescent="0.2">
      <c r="A9940" s="1" t="s">
        <v>4446</v>
      </c>
      <c r="B9940" s="1" t="s">
        <v>4517</v>
      </c>
      <c r="C9940" s="1" t="str">
        <f>"66298954270324"</f>
        <v>66298954270324</v>
      </c>
      <c r="D9940" s="1" t="str">
        <f>"0810"</f>
        <v>0810</v>
      </c>
      <c r="E9940" s="1" t="s">
        <v>4566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</row>
    <row r="9941" spans="1:11" x14ac:dyDescent="0.2">
      <c r="A9941" s="1" t="s">
        <v>4446</v>
      </c>
      <c r="B9941" s="1" t="s">
        <v>4518</v>
      </c>
      <c r="C9941" s="1" t="str">
        <f>"1549"</f>
        <v>1549</v>
      </c>
      <c r="D9941" s="1" t="str">
        <f>"1549"</f>
        <v>1549</v>
      </c>
      <c r="E9941" s="1" t="s">
        <v>4566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</row>
    <row r="9942" spans="1:11" x14ac:dyDescent="0.2">
      <c r="A9942" s="1" t="s">
        <v>4446</v>
      </c>
      <c r="B9942" s="1" t="s">
        <v>4519</v>
      </c>
      <c r="C9942" s="1" t="str">
        <f>"66298954355957"</f>
        <v>66298954355957</v>
      </c>
      <c r="D9942" s="1" t="str">
        <f>"DC003"</f>
        <v>DC003</v>
      </c>
      <c r="E9942" s="1" t="s">
        <v>4566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</row>
    <row r="9943" spans="1:11" x14ac:dyDescent="0.2">
      <c r="A9943" s="1" t="s">
        <v>4446</v>
      </c>
      <c r="B9943" s="1" t="s">
        <v>4520</v>
      </c>
      <c r="C9943" s="1" t="str">
        <f>"66298954435267"</f>
        <v>66298954435267</v>
      </c>
      <c r="D9943" s="1" t="str">
        <f>"12042"</f>
        <v>12042</v>
      </c>
      <c r="E9943" s="1" t="s">
        <v>4566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</row>
    <row r="9944" spans="1:11" x14ac:dyDescent="0.2">
      <c r="A9944" s="1" t="s">
        <v>4446</v>
      </c>
      <c r="B9944" s="1" t="s">
        <v>4521</v>
      </c>
      <c r="C9944" s="1" t="str">
        <f>"66298954395946"</f>
        <v>66298954395946</v>
      </c>
      <c r="D9944" s="1" t="str">
        <f>"DC012"</f>
        <v>DC012</v>
      </c>
      <c r="E9944" s="1" t="s">
        <v>4566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</row>
    <row r="9945" spans="1:11" x14ac:dyDescent="0.2">
      <c r="A9945" s="1" t="s">
        <v>4446</v>
      </c>
      <c r="B9945" s="1" t="s">
        <v>4522</v>
      </c>
      <c r="C9945" s="1" t="str">
        <f>"83165"</f>
        <v>83165</v>
      </c>
      <c r="D9945" s="1" t="str">
        <f>"83165"</f>
        <v>83165</v>
      </c>
      <c r="E9945" s="1" t="s">
        <v>4566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</row>
    <row r="9946" spans="1:11" x14ac:dyDescent="0.2">
      <c r="A9946" s="1" t="s">
        <v>4446</v>
      </c>
      <c r="B9946" s="1" t="s">
        <v>4523</v>
      </c>
      <c r="C9946" s="1" t="str">
        <f>"66298954522500"</f>
        <v>66298954522500</v>
      </c>
      <c r="D9946" s="1" t="str">
        <f>"DC008"</f>
        <v>DC008</v>
      </c>
      <c r="E9946" s="1" t="s">
        <v>4566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</row>
    <row r="9947" spans="1:11" x14ac:dyDescent="0.2">
      <c r="A9947" s="1" t="s">
        <v>4446</v>
      </c>
      <c r="B9947" s="1" t="s">
        <v>4524</v>
      </c>
      <c r="C9947" s="1" t="str">
        <f>"11474"</f>
        <v>11474</v>
      </c>
      <c r="D9947" s="1" t="str">
        <f>"11474"</f>
        <v>11474</v>
      </c>
      <c r="E9947" s="1" t="s">
        <v>4566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</row>
    <row r="9948" spans="1:11" x14ac:dyDescent="0.2">
      <c r="A9948" s="1" t="s">
        <v>4446</v>
      </c>
      <c r="B9948" s="1" t="s">
        <v>4525</v>
      </c>
      <c r="C9948" s="1" t="str">
        <f>"66298954558929"</f>
        <v>66298954558929</v>
      </c>
      <c r="D9948" s="1" t="str">
        <f>"DC005"</f>
        <v>DC005</v>
      </c>
      <c r="E9948" s="1" t="s">
        <v>4566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</row>
    <row r="9949" spans="1:11" x14ac:dyDescent="0.2">
      <c r="A9949" s="1" t="s">
        <v>4446</v>
      </c>
      <c r="B9949" s="1" t="s">
        <v>4526</v>
      </c>
      <c r="C9949" s="1" t="str">
        <f>"66298954645171"</f>
        <v>66298954645171</v>
      </c>
      <c r="D9949" s="1" t="str">
        <f>"400082"</f>
        <v>400082</v>
      </c>
      <c r="E9949" s="1" t="s">
        <v>4566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</row>
    <row r="9950" spans="1:11" x14ac:dyDescent="0.2">
      <c r="A9950" s="1" t="s">
        <v>4446</v>
      </c>
      <c r="B9950" s="1" t="s">
        <v>4527</v>
      </c>
      <c r="C9950" s="1" t="str">
        <f>"66298954599272"</f>
        <v>66298954599272</v>
      </c>
      <c r="D9950" s="1" t="str">
        <f>"ENT005"</f>
        <v>ENT005</v>
      </c>
      <c r="E9950" s="1" t="s">
        <v>4566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</row>
    <row r="9951" spans="1:11" x14ac:dyDescent="0.2">
      <c r="A9951" s="1" t="s">
        <v>4446</v>
      </c>
      <c r="B9951" s="1" t="s">
        <v>4528</v>
      </c>
      <c r="C9951" s="1" t="str">
        <f>"66298954688694"</f>
        <v>66298954688694</v>
      </c>
      <c r="D9951" s="1" t="str">
        <f>"400073"</f>
        <v>400073</v>
      </c>
      <c r="E9951" s="1" t="s">
        <v>4566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</row>
    <row r="9952" spans="1:11" x14ac:dyDescent="0.2">
      <c r="A9952" s="1" t="s">
        <v>4446</v>
      </c>
      <c r="B9952" s="1" t="s">
        <v>4529</v>
      </c>
      <c r="C9952" s="1" t="str">
        <f>"66298954731126"</f>
        <v>66298954731126</v>
      </c>
      <c r="D9952" s="1" t="str">
        <f>"400087"</f>
        <v>400087</v>
      </c>
      <c r="E9952" s="1" t="s">
        <v>4566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</row>
    <row r="9953" spans="1:11" x14ac:dyDescent="0.2">
      <c r="A9953" s="1" t="s">
        <v>4446</v>
      </c>
      <c r="B9953" s="1" t="s">
        <v>4530</v>
      </c>
      <c r="C9953" s="1" t="str">
        <f>"66298954818187"</f>
        <v>66298954818187</v>
      </c>
      <c r="D9953" s="1" t="str">
        <f>"400088"</f>
        <v>400088</v>
      </c>
      <c r="E9953" s="1" t="s">
        <v>4566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</row>
    <row r="9954" spans="1:11" x14ac:dyDescent="0.2">
      <c r="A9954" s="1" t="s">
        <v>4446</v>
      </c>
      <c r="B9954" s="1" t="s">
        <v>4531</v>
      </c>
      <c r="C9954" s="1" t="str">
        <f>"66298954776377"</f>
        <v>66298954776377</v>
      </c>
      <c r="D9954" s="1" t="str">
        <f>"2401-VALVULAS"</f>
        <v>2401-VALVULAS</v>
      </c>
      <c r="E9954" s="1" t="s">
        <v>4566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</row>
    <row r="9955" spans="1:11" x14ac:dyDescent="0.2">
      <c r="A9955" s="1" t="s">
        <v>4532</v>
      </c>
      <c r="B9955" s="1" t="s">
        <v>4533</v>
      </c>
      <c r="C9955" s="1" t="str">
        <f>"2364"</f>
        <v>2364</v>
      </c>
      <c r="D9955" s="1" t="str">
        <f>"2364"</f>
        <v>2364</v>
      </c>
      <c r="E9955" s="1" t="s">
        <v>4566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</row>
    <row r="9956" spans="1:11" x14ac:dyDescent="0.2">
      <c r="A9956" s="1" t="s">
        <v>4532</v>
      </c>
      <c r="B9956" s="1" t="s">
        <v>4534</v>
      </c>
      <c r="C9956" s="1" t="str">
        <f>"12677"</f>
        <v>12677</v>
      </c>
      <c r="D9956" s="1" t="str">
        <f>"12677"</f>
        <v>12677</v>
      </c>
      <c r="E9956" s="1" t="s">
        <v>4566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</row>
    <row r="9957" spans="1:11" x14ac:dyDescent="0.2">
      <c r="A9957" s="1" t="s">
        <v>4532</v>
      </c>
      <c r="B9957" s="1" t="s">
        <v>4535</v>
      </c>
      <c r="C9957" s="1" t="str">
        <f>"66298954860124"</f>
        <v>66298954860124</v>
      </c>
      <c r="D9957" s="1" t="str">
        <f>"400032"</f>
        <v>400032</v>
      </c>
      <c r="E9957" s="1" t="s">
        <v>4566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</row>
    <row r="9958" spans="1:11" x14ac:dyDescent="0.2">
      <c r="A9958" s="1" t="s">
        <v>4532</v>
      </c>
      <c r="B9958" s="1" t="s">
        <v>4536</v>
      </c>
      <c r="C9958" s="1" t="str">
        <f>"CA001"</f>
        <v>CA001</v>
      </c>
      <c r="D9958" s="1" t="str">
        <f>"CA001"</f>
        <v>CA001</v>
      </c>
      <c r="E9958" s="1" t="s">
        <v>4566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</row>
    <row r="9959" spans="1:11" x14ac:dyDescent="0.2">
      <c r="A9959" s="1" t="s">
        <v>4532</v>
      </c>
      <c r="B9959" s="1" t="s">
        <v>4537</v>
      </c>
      <c r="C9959" s="1" t="str">
        <f>"66298954901999"</f>
        <v>66298954901999</v>
      </c>
      <c r="D9959" s="1" t="str">
        <f>"400757"</f>
        <v>400757</v>
      </c>
      <c r="E9959" s="1" t="s">
        <v>4566</v>
      </c>
      <c r="F9959" s="1">
        <v>6</v>
      </c>
      <c r="G9959" s="1">
        <v>6529</v>
      </c>
      <c r="H9959" s="1">
        <v>39174</v>
      </c>
      <c r="I9959" s="1">
        <v>0</v>
      </c>
      <c r="J9959" s="1">
        <v>6</v>
      </c>
      <c r="K9959" s="1">
        <v>0</v>
      </c>
    </row>
    <row r="9960" spans="1:11" x14ac:dyDescent="0.2">
      <c r="A9960" s="1" t="s">
        <v>4532</v>
      </c>
      <c r="B9960" s="1" t="s">
        <v>4538</v>
      </c>
      <c r="C9960" s="1" t="str">
        <f>"66298954990331"</f>
        <v>66298954990331</v>
      </c>
      <c r="D9960" s="1" t="str">
        <f>"400758"</f>
        <v>400758</v>
      </c>
      <c r="E9960" s="1" t="s">
        <v>4566</v>
      </c>
      <c r="F9960" s="1">
        <v>9</v>
      </c>
      <c r="G9960" s="1">
        <v>4684</v>
      </c>
      <c r="H9960" s="1">
        <v>42156</v>
      </c>
      <c r="I9960" s="1">
        <v>0</v>
      </c>
      <c r="J9960" s="1">
        <v>9</v>
      </c>
      <c r="K9960" s="1">
        <v>0</v>
      </c>
    </row>
    <row r="9961" spans="1:11" x14ac:dyDescent="0.2">
      <c r="A9961" s="1" t="s">
        <v>4532</v>
      </c>
      <c r="B9961" s="1" t="s">
        <v>4539</v>
      </c>
      <c r="C9961" s="1" t="str">
        <f>"66298954944934"</f>
        <v>66298954944934</v>
      </c>
      <c r="D9961" s="1" t="str">
        <f>"CA005"</f>
        <v>CA005</v>
      </c>
      <c r="E9961" s="1" t="s">
        <v>4566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</row>
    <row r="9962" spans="1:11" x14ac:dyDescent="0.2">
      <c r="A9962" s="1" t="s">
        <v>4532</v>
      </c>
      <c r="B9962" s="1" t="s">
        <v>4540</v>
      </c>
      <c r="C9962" s="1" t="str">
        <f>"66298955069993"</f>
        <v>66298955069993</v>
      </c>
      <c r="D9962" s="1" t="str">
        <f>"400759"</f>
        <v>400759</v>
      </c>
      <c r="E9962" s="1" t="s">
        <v>4566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</row>
    <row r="9963" spans="1:11" x14ac:dyDescent="0.2">
      <c r="A9963" s="1" t="s">
        <v>4532</v>
      </c>
      <c r="B9963" s="1" t="s">
        <v>4541</v>
      </c>
      <c r="C9963" s="1" t="str">
        <f>"66298955026544"</f>
        <v>66298955026544</v>
      </c>
      <c r="D9963" s="1" t="str">
        <f>"CA006"</f>
        <v>CA006</v>
      </c>
      <c r="E9963" s="1" t="s">
        <v>4566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</row>
    <row r="9964" spans="1:11" x14ac:dyDescent="0.2">
      <c r="A9964" s="1" t="s">
        <v>4542</v>
      </c>
      <c r="B9964" s="1" t="s">
        <v>4543</v>
      </c>
      <c r="C9964" s="1" t="str">
        <f>"66298955110759"</f>
        <v>66298955110759</v>
      </c>
      <c r="D9964" s="1" t="str">
        <f>"PP-32108-000JP"</f>
        <v>PP-32108-000JP</v>
      </c>
      <c r="E9964" s="1" t="s">
        <v>4566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</row>
    <row r="9965" spans="1:11" x14ac:dyDescent="0.2">
      <c r="A9965" s="1" t="s">
        <v>4544</v>
      </c>
      <c r="B9965" s="1" t="s">
        <v>4545</v>
      </c>
      <c r="C9965" s="1" t="str">
        <f>"GJ007"</f>
        <v>GJ007</v>
      </c>
      <c r="D9965" s="1" t="str">
        <f>"GJ007"</f>
        <v>GJ007</v>
      </c>
      <c r="E9965" s="1" t="s">
        <v>4566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</row>
    <row r="9966" spans="1:11" x14ac:dyDescent="0.2">
      <c r="A9966" s="1" t="s">
        <v>4544</v>
      </c>
      <c r="B9966" s="1" t="s">
        <v>4546</v>
      </c>
      <c r="C9966" s="1" t="str">
        <f>"Y545"</f>
        <v>Y545</v>
      </c>
      <c r="D9966" s="1" t="str">
        <f>"Y545"</f>
        <v>Y545</v>
      </c>
      <c r="E9966" s="1" t="s">
        <v>4566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</row>
    <row r="9967" spans="1:11" x14ac:dyDescent="0.2">
      <c r="A9967" s="1" t="s">
        <v>4544</v>
      </c>
      <c r="B9967" s="1" t="s">
        <v>4547</v>
      </c>
      <c r="C9967" s="1" t="str">
        <f>"Y546"</f>
        <v>Y546</v>
      </c>
      <c r="D9967" s="1" t="str">
        <f>"Y546"</f>
        <v>Y546</v>
      </c>
      <c r="E9967" s="1" t="s">
        <v>4566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</row>
    <row r="9968" spans="1:11" x14ac:dyDescent="0.2">
      <c r="A9968" s="1" t="s">
        <v>4542</v>
      </c>
      <c r="B9968" s="1" t="s">
        <v>4548</v>
      </c>
      <c r="C9968" s="1" t="str">
        <f>"66298955194150"</f>
        <v>66298955194150</v>
      </c>
      <c r="D9968" s="1" t="str">
        <f>"401024"</f>
        <v>401024</v>
      </c>
      <c r="E9968" s="1" t="s">
        <v>4566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</row>
    <row r="9969" spans="1:11" x14ac:dyDescent="0.2">
      <c r="A9969" s="1" t="s">
        <v>4542</v>
      </c>
      <c r="B9969" s="1" t="s">
        <v>4549</v>
      </c>
      <c r="C9969" s="1" t="str">
        <f>"DD001"</f>
        <v>DD001</v>
      </c>
      <c r="D9969" s="1" t="str">
        <f>"DD001"</f>
        <v>DD001</v>
      </c>
      <c r="E9969" s="1" t="s">
        <v>4566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</row>
    <row r="9970" spans="1:11" x14ac:dyDescent="0.2">
      <c r="A9970" s="1" t="s">
        <v>4542</v>
      </c>
      <c r="B9970" s="1" t="s">
        <v>4550</v>
      </c>
      <c r="C9970" s="1" t="str">
        <f>"DD002"</f>
        <v>DD002</v>
      </c>
      <c r="D9970" s="1" t="str">
        <f>"DD002"</f>
        <v>DD002</v>
      </c>
      <c r="E9970" s="1" t="s">
        <v>4566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</row>
    <row r="9971" spans="1:11" x14ac:dyDescent="0.2">
      <c r="A9971" s="1" t="s">
        <v>4542</v>
      </c>
      <c r="B9971" s="1" t="s">
        <v>4551</v>
      </c>
      <c r="C9971" s="1" t="str">
        <f>"66298955231932"</f>
        <v>66298955231932</v>
      </c>
      <c r="D9971" s="1" t="str">
        <f>"401025"</f>
        <v>401025</v>
      </c>
      <c r="E9971" s="1" t="s">
        <v>4566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</row>
    <row r="9972" spans="1:11" x14ac:dyDescent="0.2">
      <c r="A9972" s="1" t="s">
        <v>4542</v>
      </c>
      <c r="B9972" s="1" t="s">
        <v>4552</v>
      </c>
      <c r="C9972" s="1" t="str">
        <f>"DD003"</f>
        <v>DD003</v>
      </c>
      <c r="D9972" s="1" t="str">
        <f>"DD003"</f>
        <v>DD003</v>
      </c>
      <c r="E9972" s="1" t="s">
        <v>4566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</row>
    <row r="9973" spans="1:11" x14ac:dyDescent="0.2">
      <c r="A9973" s="1" t="s">
        <v>4553</v>
      </c>
      <c r="B9973" s="1" t="s">
        <v>4554</v>
      </c>
      <c r="C9973" s="1" t="str">
        <f>"66298955275686"</f>
        <v>66298955275686</v>
      </c>
      <c r="D9973" s="1" t="str">
        <f>"61301-K70-600GIM"</f>
        <v>61301-K70-600GIM</v>
      </c>
      <c r="E9973" s="1" t="s">
        <v>4566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</row>
    <row r="9974" spans="1:11" x14ac:dyDescent="0.2">
      <c r="A9974" s="1" t="s">
        <v>4553</v>
      </c>
      <c r="B9974" s="1" t="s">
        <v>4555</v>
      </c>
      <c r="C9974" s="1" t="str">
        <f>"66298955318818"</f>
        <v>66298955318818</v>
      </c>
      <c r="D9974" s="1" t="str">
        <f>"Y125"</f>
        <v>Y125</v>
      </c>
      <c r="E9974" s="1" t="s">
        <v>4566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</row>
    <row r="9975" spans="1:11" x14ac:dyDescent="0.2">
      <c r="A9975" s="1" t="s">
        <v>4553</v>
      </c>
      <c r="B9975" s="1" t="s">
        <v>4556</v>
      </c>
      <c r="C9975" s="1" t="str">
        <f>"66298955396169"</f>
        <v>66298955396169</v>
      </c>
      <c r="D9975" s="1" t="str">
        <f>"Y173"</f>
        <v>Y173</v>
      </c>
      <c r="E9975" s="1" t="s">
        <v>4566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</row>
    <row r="9976" spans="1:11" x14ac:dyDescent="0.2">
      <c r="A9976" s="1" t="s">
        <v>4553</v>
      </c>
      <c r="B9976" s="1" t="s">
        <v>4557</v>
      </c>
      <c r="C9976" s="1" t="str">
        <f>"66298955354624"</f>
        <v>66298955354624</v>
      </c>
      <c r="D9976" s="1" t="str">
        <f>"Y172"</f>
        <v>Y172</v>
      </c>
      <c r="E9976" s="1" t="s">
        <v>4566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</row>
    <row r="9977" spans="1:11" x14ac:dyDescent="0.2">
      <c r="A9977" s="1" t="s">
        <v>98</v>
      </c>
      <c r="B9977" s="1" t="s">
        <v>4558</v>
      </c>
      <c r="C9977" s="1" t="str">
        <f>"66298955441670"</f>
        <v>66298955441670</v>
      </c>
      <c r="D9977" s="1" t="str">
        <f>"FB034"</f>
        <v>FB034</v>
      </c>
      <c r="E9977" s="1" t="s">
        <v>4566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</row>
    <row r="9978" spans="1:11" x14ac:dyDescent="0.2">
      <c r="A9978" s="1" t="s">
        <v>1567</v>
      </c>
      <c r="B9978" s="1" t="s">
        <v>4559</v>
      </c>
      <c r="C9978" s="1" t="str">
        <f>"RO-3154"</f>
        <v>RO-3154</v>
      </c>
      <c r="D9978" s="1" t="str">
        <f>"RO-3154"</f>
        <v>RO-3154</v>
      </c>
      <c r="E9978" s="1" t="s">
        <v>4566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</row>
    <row r="9979" spans="1:11" x14ac:dyDescent="0.2">
      <c r="B9979" s="1" t="s">
        <v>1569</v>
      </c>
    </row>
    <row r="9980" spans="1:11" x14ac:dyDescent="0.2">
      <c r="B9980" s="1" t="s">
        <v>4560</v>
      </c>
    </row>
    <row r="9981" spans="1:11" x14ac:dyDescent="0.2">
      <c r="B9981" s="1" t="s">
        <v>1571</v>
      </c>
    </row>
    <row r="9982" spans="1:11" x14ac:dyDescent="0.2">
      <c r="B9982" s="1" t="s">
        <v>4561</v>
      </c>
    </row>
    <row r="9983" spans="1:11" x14ac:dyDescent="0.2">
      <c r="B9983" s="1" t="s">
        <v>2546</v>
      </c>
    </row>
    <row r="9984" spans="1:11" x14ac:dyDescent="0.2">
      <c r="B9984" s="1" t="s">
        <v>1574</v>
      </c>
    </row>
    <row r="9985" spans="1:11" x14ac:dyDescent="0.2">
      <c r="B9985" s="1" t="s">
        <v>1575</v>
      </c>
    </row>
    <row r="9986" spans="1:11" x14ac:dyDescent="0.2">
      <c r="B9986" s="1" t="s">
        <v>4562</v>
      </c>
    </row>
    <row r="9987" spans="1:11" x14ac:dyDescent="0.2">
      <c r="B9987" s="1" t="s">
        <v>4563</v>
      </c>
    </row>
    <row r="9988" spans="1:11" x14ac:dyDescent="0.2">
      <c r="A9988" s="1" t="s">
        <v>1567</v>
      </c>
      <c r="B9988" s="1" t="s">
        <v>4559</v>
      </c>
      <c r="C9988" s="1" t="str">
        <f>"RO-3153"</f>
        <v>RO-3153</v>
      </c>
      <c r="D9988" s="1" t="str">
        <f>"RO-3153"</f>
        <v>RO-3153</v>
      </c>
      <c r="E9988" s="1" t="s">
        <v>4566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</row>
    <row r="9989" spans="1:11" x14ac:dyDescent="0.2">
      <c r="B9989" s="1" t="s">
        <v>1569</v>
      </c>
    </row>
    <row r="9990" spans="1:11" x14ac:dyDescent="0.2">
      <c r="B9990" s="1" t="s">
        <v>4560</v>
      </c>
    </row>
    <row r="9991" spans="1:11" x14ac:dyDescent="0.2">
      <c r="B9991" s="1" t="s">
        <v>1571</v>
      </c>
    </row>
    <row r="9992" spans="1:11" x14ac:dyDescent="0.2">
      <c r="B9992" s="1" t="s">
        <v>4561</v>
      </c>
    </row>
    <row r="9993" spans="1:11" x14ac:dyDescent="0.2">
      <c r="B9993" s="1" t="s">
        <v>2546</v>
      </c>
    </row>
    <row r="9994" spans="1:11" x14ac:dyDescent="0.2">
      <c r="B9994" s="1" t="s">
        <v>1574</v>
      </c>
    </row>
    <row r="9995" spans="1:11" x14ac:dyDescent="0.2">
      <c r="B9995" s="1" t="s">
        <v>1575</v>
      </c>
    </row>
    <row r="9996" spans="1:11" x14ac:dyDescent="0.2">
      <c r="B9996" s="1" t="s">
        <v>4564</v>
      </c>
    </row>
    <row r="9997" spans="1:11" x14ac:dyDescent="0.2">
      <c r="B9997" s="1" t="s">
        <v>4565</v>
      </c>
    </row>
    <row r="9998" spans="1:11" x14ac:dyDescent="0.2">
      <c r="A9998" s="1" t="s">
        <v>15</v>
      </c>
      <c r="B9998" s="1" t="s">
        <v>16</v>
      </c>
      <c r="C9998" s="1" t="str">
        <f>"66298785811225"</f>
        <v>66298785811225</v>
      </c>
      <c r="D9998" s="1" t="str">
        <f>"7837"</f>
        <v>7837</v>
      </c>
      <c r="E9998" s="1" t="s">
        <v>4579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</row>
    <row r="9999" spans="1:11" x14ac:dyDescent="0.2">
      <c r="A9999" s="1" t="s">
        <v>18</v>
      </c>
      <c r="B9999" s="1" t="s">
        <v>19</v>
      </c>
      <c r="C9999" s="1" t="str">
        <f>"H1066"</f>
        <v>H1066</v>
      </c>
      <c r="D9999" s="1" t="str">
        <f>"H1066"</f>
        <v>H1066</v>
      </c>
      <c r="E9999" s="1" t="s">
        <v>4579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</row>
    <row r="10000" spans="1:11" x14ac:dyDescent="0.2">
      <c r="A10000" s="1" t="s">
        <v>18</v>
      </c>
      <c r="B10000" s="1" t="s">
        <v>20</v>
      </c>
      <c r="C10000" s="1" t="str">
        <f>"66298785890928"</f>
        <v>66298785890928</v>
      </c>
      <c r="D10000" s="1" t="str">
        <f>"A-SCOOTER"</f>
        <v>A-SCOOTER</v>
      </c>
      <c r="E10000" s="1" t="s">
        <v>4579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</row>
    <row r="10001" spans="1:11" x14ac:dyDescent="0.2">
      <c r="A10001" s="1" t="s">
        <v>18</v>
      </c>
      <c r="B10001" s="1" t="s">
        <v>21</v>
      </c>
      <c r="C10001" s="1" t="str">
        <f>"66298785932760"</f>
        <v>66298785932760</v>
      </c>
      <c r="D10001" s="1" t="str">
        <f>"H257"</f>
        <v>H257</v>
      </c>
      <c r="E10001" s="1" t="s">
        <v>4579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</row>
    <row r="10002" spans="1:11" x14ac:dyDescent="0.2">
      <c r="A10002" s="1" t="s">
        <v>18</v>
      </c>
      <c r="B10002" s="1" t="s">
        <v>22</v>
      </c>
      <c r="C10002" s="1" t="str">
        <f>"66298785974589"</f>
        <v>66298785974589</v>
      </c>
      <c r="D10002" s="1" t="str">
        <f>"82780"</f>
        <v>82780</v>
      </c>
      <c r="E10002" s="1" t="s">
        <v>4579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</row>
    <row r="10003" spans="1:11" x14ac:dyDescent="0.2">
      <c r="A10003" s="1" t="s">
        <v>15</v>
      </c>
      <c r="B10003" s="1" t="s">
        <v>23</v>
      </c>
      <c r="C10003" s="1" t="str">
        <f>"66298786013798"</f>
        <v>66298786013798</v>
      </c>
      <c r="D10003" s="1" t="str">
        <f>"2716"</f>
        <v>2716</v>
      </c>
      <c r="E10003" s="1" t="s">
        <v>4579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</row>
    <row r="10004" spans="1:11" x14ac:dyDescent="0.2">
      <c r="A10004" s="1" t="s">
        <v>15</v>
      </c>
      <c r="B10004" s="1" t="s">
        <v>24</v>
      </c>
      <c r="C10004" s="1" t="str">
        <f>"66298786051003"</f>
        <v>66298786051003</v>
      </c>
      <c r="D10004" s="1" t="str">
        <f>"2715"</f>
        <v>2715</v>
      </c>
      <c r="E10004" s="1" t="s">
        <v>4579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</row>
    <row r="10005" spans="1:11" x14ac:dyDescent="0.2">
      <c r="A10005" s="1" t="s">
        <v>15</v>
      </c>
      <c r="B10005" s="1" t="s">
        <v>25</v>
      </c>
      <c r="C10005" s="1" t="str">
        <f>"66298786092420"</f>
        <v>66298786092420</v>
      </c>
      <c r="D10005" s="1" t="str">
        <f>"2717"</f>
        <v>2717</v>
      </c>
      <c r="E10005" s="1" t="s">
        <v>4579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</row>
    <row r="10006" spans="1:11" x14ac:dyDescent="0.2">
      <c r="A10006" s="1" t="s">
        <v>15</v>
      </c>
      <c r="B10006" s="1" t="s">
        <v>26</v>
      </c>
      <c r="C10006" s="1" t="str">
        <f>"66298786132099"</f>
        <v>66298786132099</v>
      </c>
      <c r="D10006" s="1" t="str">
        <f>"2719"</f>
        <v>2719</v>
      </c>
      <c r="E10006" s="1" t="s">
        <v>4579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</row>
    <row r="10007" spans="1:11" x14ac:dyDescent="0.2">
      <c r="A10007" s="1" t="s">
        <v>15</v>
      </c>
      <c r="B10007" s="1" t="s">
        <v>27</v>
      </c>
      <c r="C10007" s="1" t="str">
        <f>"66298786174946"</f>
        <v>66298786174946</v>
      </c>
      <c r="D10007" s="1" t="str">
        <f>"15AE86"</f>
        <v>15AE86</v>
      </c>
      <c r="E10007" s="1" t="s">
        <v>4579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</row>
    <row r="10008" spans="1:11" x14ac:dyDescent="0.2">
      <c r="A10008" s="1" t="s">
        <v>15</v>
      </c>
      <c r="B10008" s="1" t="s">
        <v>28</v>
      </c>
      <c r="C10008" s="1" t="str">
        <f>"66298786219665"</f>
        <v>66298786219665</v>
      </c>
      <c r="D10008" s="1" t="str">
        <f>"15AEAB"</f>
        <v>15AEAB</v>
      </c>
      <c r="E10008" s="1" t="s">
        <v>4579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</row>
    <row r="10009" spans="1:11" x14ac:dyDescent="0.2">
      <c r="A10009" s="1" t="s">
        <v>15</v>
      </c>
      <c r="B10009" s="1" t="s">
        <v>29</v>
      </c>
      <c r="C10009" s="1" t="str">
        <f>"66298786260155"</f>
        <v>66298786260155</v>
      </c>
      <c r="D10009" s="1" t="str">
        <f>"15D905"</f>
        <v>15D905</v>
      </c>
      <c r="E10009" s="1" t="s">
        <v>4579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</row>
    <row r="10010" spans="1:11" x14ac:dyDescent="0.2">
      <c r="A10010" s="1" t="s">
        <v>15</v>
      </c>
      <c r="B10010" s="1" t="s">
        <v>30</v>
      </c>
      <c r="C10010" s="1" t="str">
        <f>"15DEA9"</f>
        <v>15DEA9</v>
      </c>
      <c r="D10010" s="1" t="str">
        <f>"15DEA9"</f>
        <v>15DEA9</v>
      </c>
      <c r="E10010" s="1" t="s">
        <v>4579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</row>
    <row r="10011" spans="1:11" x14ac:dyDescent="0.2">
      <c r="A10011" s="1" t="s">
        <v>15</v>
      </c>
      <c r="B10011" s="1" t="s">
        <v>31</v>
      </c>
      <c r="C10011" s="1" t="str">
        <f>"66298786302608"</f>
        <v>66298786302608</v>
      </c>
      <c r="D10011" s="1" t="str">
        <f>"15D906"</f>
        <v>15D906</v>
      </c>
      <c r="E10011" s="1" t="s">
        <v>4579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</row>
    <row r="10012" spans="1:11" x14ac:dyDescent="0.2">
      <c r="A10012" s="1" t="s">
        <v>15</v>
      </c>
      <c r="B10012" s="1" t="s">
        <v>32</v>
      </c>
      <c r="C10012" s="1" t="str">
        <f>"15D2C2"</f>
        <v>15D2C2</v>
      </c>
      <c r="D10012" s="1" t="str">
        <f>"15D2C2"</f>
        <v>15D2C2</v>
      </c>
      <c r="E10012" s="1" t="s">
        <v>4579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</row>
    <row r="10013" spans="1:11" x14ac:dyDescent="0.2">
      <c r="A10013" s="1" t="s">
        <v>15</v>
      </c>
      <c r="B10013" s="1" t="s">
        <v>33</v>
      </c>
      <c r="C10013" s="1" t="str">
        <f>"15AF5D"</f>
        <v>15AF5D</v>
      </c>
      <c r="D10013" s="1" t="str">
        <f>"15AF5D"</f>
        <v>15AF5D</v>
      </c>
      <c r="E10013" s="1" t="s">
        <v>4579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</row>
    <row r="10014" spans="1:11" x14ac:dyDescent="0.2">
      <c r="A10014" s="1" t="s">
        <v>15</v>
      </c>
      <c r="B10014" s="1" t="s">
        <v>34</v>
      </c>
      <c r="C10014" s="1" t="str">
        <f>"15C7C9"</f>
        <v>15C7C9</v>
      </c>
      <c r="D10014" s="1" t="str">
        <f>"15C7C9"</f>
        <v>15C7C9</v>
      </c>
      <c r="E10014" s="1" t="s">
        <v>4579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</row>
    <row r="10015" spans="1:11" x14ac:dyDescent="0.2">
      <c r="A10015" s="1" t="s">
        <v>15</v>
      </c>
      <c r="B10015" s="1" t="s">
        <v>35</v>
      </c>
      <c r="C10015" s="1" t="str">
        <f>"15D2C4"</f>
        <v>15D2C4</v>
      </c>
      <c r="D10015" s="1" t="str">
        <f>"15D2C4"</f>
        <v>15D2C4</v>
      </c>
      <c r="E10015" s="1" t="s">
        <v>4579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</row>
    <row r="10016" spans="1:11" x14ac:dyDescent="0.2">
      <c r="A10016" s="1" t="s">
        <v>15</v>
      </c>
      <c r="B10016" s="1" t="s">
        <v>36</v>
      </c>
      <c r="C10016" s="1" t="str">
        <f>"66298786386572"</f>
        <v>66298786386572</v>
      </c>
      <c r="D10016" s="1" t="str">
        <f>"15D9C1"</f>
        <v>15D9C1</v>
      </c>
      <c r="E10016" s="1" t="s">
        <v>4579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</row>
    <row r="10017" spans="1:11" x14ac:dyDescent="0.2">
      <c r="A10017" s="1" t="s">
        <v>15</v>
      </c>
      <c r="B10017" s="1" t="s">
        <v>37</v>
      </c>
      <c r="C10017" s="1" t="str">
        <f>"51426LUB01LT"</f>
        <v>51426LUB01LT</v>
      </c>
      <c r="D10017" s="1" t="str">
        <f>"51426LUB01LT"</f>
        <v>51426LUB01LT</v>
      </c>
      <c r="E10017" s="1" t="s">
        <v>4579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</row>
    <row r="10018" spans="1:11" x14ac:dyDescent="0.2">
      <c r="A10018" s="1" t="s">
        <v>15</v>
      </c>
      <c r="B10018" s="1" t="s">
        <v>38</v>
      </c>
      <c r="C10018" s="1" t="str">
        <f>"51428LUB01LT"</f>
        <v>51428LUB01LT</v>
      </c>
      <c r="D10018" s="1" t="str">
        <f>"51428LUB01LT"</f>
        <v>51428LUB01LT</v>
      </c>
      <c r="E10018" s="1" t="s">
        <v>4579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</row>
    <row r="10019" spans="1:11" x14ac:dyDescent="0.2">
      <c r="A10019" s="1" t="s">
        <v>15</v>
      </c>
      <c r="B10019" s="1" t="s">
        <v>39</v>
      </c>
      <c r="C10019" s="1" t="str">
        <f>"51423LUB01LT"</f>
        <v>51423LUB01LT</v>
      </c>
      <c r="D10019" s="1" t="str">
        <f>"51423LUB01LT"</f>
        <v>51423LUB01LT</v>
      </c>
      <c r="E10019" s="1" t="s">
        <v>4579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</row>
    <row r="10020" spans="1:11" ht="30" x14ac:dyDescent="0.2">
      <c r="A10020" s="1" t="s">
        <v>15</v>
      </c>
      <c r="B10020" s="1" t="s">
        <v>40</v>
      </c>
      <c r="C10020" s="1" t="str">
        <f>"66298786429982"</f>
        <v>66298786429982</v>
      </c>
      <c r="D10020" s="1" t="str">
        <f>"800090"</f>
        <v>800090</v>
      </c>
      <c r="E10020" s="1" t="s">
        <v>4579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</row>
    <row r="10021" spans="1:11" x14ac:dyDescent="0.2">
      <c r="A10021" s="1" t="s">
        <v>15</v>
      </c>
      <c r="B10021" s="1" t="s">
        <v>41</v>
      </c>
      <c r="C10021" s="1" t="str">
        <f>"66298786468714"</f>
        <v>66298786468714</v>
      </c>
      <c r="D10021" s="1" t="str">
        <f>"800043"</f>
        <v>800043</v>
      </c>
      <c r="E10021" s="1" t="s">
        <v>4579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</row>
    <row r="10022" spans="1:11" ht="30" x14ac:dyDescent="0.2">
      <c r="A10022" s="1" t="s">
        <v>15</v>
      </c>
      <c r="B10022" s="1" t="s">
        <v>42</v>
      </c>
      <c r="C10022" s="1" t="str">
        <f>"66298786516712"</f>
        <v>66298786516712</v>
      </c>
      <c r="D10022" s="1" t="str">
        <f>"20753"</f>
        <v>20753</v>
      </c>
      <c r="E10022" s="1" t="s">
        <v>4579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</row>
    <row r="10023" spans="1:11" ht="30" x14ac:dyDescent="0.2">
      <c r="A10023" s="1" t="s">
        <v>15</v>
      </c>
      <c r="B10023" s="1" t="s">
        <v>43</v>
      </c>
      <c r="C10023" s="1" t="str">
        <f>"66298786572048"</f>
        <v>66298786572048</v>
      </c>
      <c r="D10023" s="1" t="str">
        <f>"1521"</f>
        <v>1521</v>
      </c>
      <c r="E10023" s="1" t="s">
        <v>4579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</row>
    <row r="10024" spans="1:11" x14ac:dyDescent="0.2">
      <c r="A10024" s="1" t="s">
        <v>15</v>
      </c>
      <c r="B10024" s="1" t="s">
        <v>44</v>
      </c>
      <c r="C10024" s="1" t="str">
        <f>"66298786613951"</f>
        <v>66298786613951</v>
      </c>
      <c r="D10024" s="1" t="str">
        <f>"1502"</f>
        <v>1502</v>
      </c>
      <c r="E10024" s="1" t="s">
        <v>4579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</row>
    <row r="10025" spans="1:11" x14ac:dyDescent="0.2">
      <c r="A10025" s="1" t="s">
        <v>15</v>
      </c>
      <c r="B10025" s="1" t="s">
        <v>45</v>
      </c>
      <c r="C10025" s="1" t="str">
        <f>"66298786653154"</f>
        <v>66298786653154</v>
      </c>
      <c r="D10025" s="1" t="str">
        <f>"1525"</f>
        <v>1525</v>
      </c>
      <c r="E10025" s="1" t="s">
        <v>4579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</row>
    <row r="10026" spans="1:11" ht="30" x14ac:dyDescent="0.2">
      <c r="A10026" s="1" t="s">
        <v>15</v>
      </c>
      <c r="B10026" s="1" t="s">
        <v>46</v>
      </c>
      <c r="C10026" s="1" t="str">
        <f>"66298786691589"</f>
        <v>66298786691589</v>
      </c>
      <c r="D10026" s="1" t="str">
        <f>"2555"</f>
        <v>2555</v>
      </c>
      <c r="E10026" s="1" t="s">
        <v>4579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</row>
    <row r="10027" spans="1:11" x14ac:dyDescent="0.2">
      <c r="A10027" s="1" t="s">
        <v>15</v>
      </c>
      <c r="B10027" s="1" t="s">
        <v>47</v>
      </c>
      <c r="C10027" s="1" t="str">
        <f>"1500"</f>
        <v>1500</v>
      </c>
      <c r="D10027" s="1" t="str">
        <f>"1500"</f>
        <v>1500</v>
      </c>
      <c r="E10027" s="1" t="s">
        <v>4579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</row>
    <row r="10028" spans="1:11" x14ac:dyDescent="0.2">
      <c r="A10028" s="1" t="s">
        <v>15</v>
      </c>
      <c r="B10028" s="1" t="s">
        <v>48</v>
      </c>
      <c r="C10028" s="1" t="str">
        <f>"66298786775369"</f>
        <v>66298786775369</v>
      </c>
      <c r="D10028" s="1" t="str">
        <f>"3816"</f>
        <v>3816</v>
      </c>
      <c r="E10028" s="1" t="s">
        <v>4579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</row>
    <row r="10029" spans="1:11" x14ac:dyDescent="0.2">
      <c r="A10029" s="1" t="s">
        <v>15</v>
      </c>
      <c r="B10029" s="1" t="s">
        <v>49</v>
      </c>
      <c r="C10029" s="1" t="str">
        <f>"66298786814445"</f>
        <v>66298786814445</v>
      </c>
      <c r="D10029" s="1" t="str">
        <f>"10110"</f>
        <v>10110</v>
      </c>
      <c r="E10029" s="1" t="s">
        <v>4579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</row>
    <row r="10030" spans="1:11" x14ac:dyDescent="0.2">
      <c r="A10030" s="1" t="s">
        <v>15</v>
      </c>
      <c r="B10030" s="1" t="s">
        <v>50</v>
      </c>
      <c r="C10030" s="1" t="str">
        <f>"66298786852838"</f>
        <v>66298786852838</v>
      </c>
      <c r="D10030" s="1" t="str">
        <f>"10767"</f>
        <v>10767</v>
      </c>
      <c r="E10030" s="1" t="s">
        <v>4579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</row>
    <row r="10031" spans="1:11" x14ac:dyDescent="0.2">
      <c r="A10031" s="1" t="s">
        <v>15</v>
      </c>
      <c r="B10031" s="1" t="s">
        <v>51</v>
      </c>
      <c r="C10031" s="1" t="str">
        <f>"66298787339724"</f>
        <v>66298787339724</v>
      </c>
      <c r="D10031" s="1" t="str">
        <f>"104034"</f>
        <v>104034</v>
      </c>
      <c r="E10031" s="1" t="s">
        <v>4579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</row>
    <row r="10032" spans="1:11" x14ac:dyDescent="0.2">
      <c r="A10032" s="1" t="s">
        <v>15</v>
      </c>
      <c r="B10032" s="1" t="s">
        <v>52</v>
      </c>
      <c r="C10032" s="1" t="str">
        <f>"66298787255546"</f>
        <v>66298787255546</v>
      </c>
      <c r="D10032" s="1" t="str">
        <f>"6010230"</f>
        <v>6010230</v>
      </c>
      <c r="E10032" s="1" t="s">
        <v>4579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</row>
    <row r="10033" spans="1:11" x14ac:dyDescent="0.2">
      <c r="A10033" s="1" t="s">
        <v>15</v>
      </c>
      <c r="B10033" s="1" t="s">
        <v>53</v>
      </c>
      <c r="C10033" s="1" t="str">
        <f>"6010275"</f>
        <v>6010275</v>
      </c>
      <c r="D10033" s="1" t="str">
        <f>"6010275"</f>
        <v>6010275</v>
      </c>
      <c r="E10033" s="1" t="s">
        <v>4579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</row>
    <row r="10034" spans="1:11" ht="30" x14ac:dyDescent="0.2">
      <c r="A10034" s="1" t="s">
        <v>15</v>
      </c>
      <c r="B10034" s="1" t="s">
        <v>54</v>
      </c>
      <c r="C10034" s="1" t="str">
        <f>"66298787089530"</f>
        <v>66298787089530</v>
      </c>
      <c r="D10034" s="1" t="str">
        <f>"6010106"</f>
        <v>6010106</v>
      </c>
      <c r="E10034" s="1" t="s">
        <v>4579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</row>
    <row r="10035" spans="1:11" ht="30" x14ac:dyDescent="0.2">
      <c r="A10035" s="1" t="s">
        <v>15</v>
      </c>
      <c r="B10035" s="1" t="s">
        <v>55</v>
      </c>
      <c r="C10035" s="1" t="str">
        <f>"66298787132729"</f>
        <v>66298787132729</v>
      </c>
      <c r="D10035" s="1" t="str">
        <f>"6010262"</f>
        <v>6010262</v>
      </c>
      <c r="E10035" s="1" t="s">
        <v>4579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</row>
    <row r="10036" spans="1:11" ht="30" x14ac:dyDescent="0.2">
      <c r="A10036" s="1" t="s">
        <v>15</v>
      </c>
      <c r="B10036" s="1" t="s">
        <v>56</v>
      </c>
      <c r="C10036" s="1" t="str">
        <f>"66298787171944"</f>
        <v>66298787171944</v>
      </c>
      <c r="D10036" s="1" t="str">
        <f>"6010107"</f>
        <v>6010107</v>
      </c>
      <c r="E10036" s="1" t="s">
        <v>4579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</row>
    <row r="10037" spans="1:11" ht="30" x14ac:dyDescent="0.2">
      <c r="A10037" s="1" t="s">
        <v>15</v>
      </c>
      <c r="B10037" s="1" t="s">
        <v>57</v>
      </c>
      <c r="C10037" s="1" t="str">
        <f>"66298787298518"</f>
        <v>66298787298518</v>
      </c>
      <c r="D10037" s="1" t="str">
        <f>"6010233"</f>
        <v>6010233</v>
      </c>
      <c r="E10037" s="1" t="s">
        <v>4579</v>
      </c>
      <c r="F10037" s="1">
        <v>1</v>
      </c>
      <c r="G10037" s="1">
        <v>6820</v>
      </c>
      <c r="H10037" s="1">
        <v>6820</v>
      </c>
      <c r="I10037" s="1">
        <v>0</v>
      </c>
      <c r="J10037" s="1">
        <v>1</v>
      </c>
      <c r="K10037" s="1">
        <v>0</v>
      </c>
    </row>
    <row r="10038" spans="1:11" ht="30" x14ac:dyDescent="0.2">
      <c r="A10038" s="1" t="s">
        <v>15</v>
      </c>
      <c r="B10038" s="1" t="s">
        <v>58</v>
      </c>
      <c r="C10038" s="1" t="str">
        <f>"66298787048177"</f>
        <v>66298787048177</v>
      </c>
      <c r="D10038" s="1" t="str">
        <f>"6010215"</f>
        <v>6010215</v>
      </c>
      <c r="E10038" s="1" t="s">
        <v>4579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</row>
    <row r="10039" spans="1:11" ht="30" x14ac:dyDescent="0.2">
      <c r="A10039" s="1" t="s">
        <v>15</v>
      </c>
      <c r="B10039" s="1" t="s">
        <v>59</v>
      </c>
      <c r="C10039" s="1" t="str">
        <f>"66298787215129"</f>
        <v>66298787215129</v>
      </c>
      <c r="D10039" s="1" t="str">
        <f>"6010111"</f>
        <v>6010111</v>
      </c>
      <c r="E10039" s="1" t="s">
        <v>4579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</row>
    <row r="10040" spans="1:11" x14ac:dyDescent="0.2">
      <c r="A10040" s="1" t="s">
        <v>15</v>
      </c>
      <c r="B10040" s="1" t="s">
        <v>60</v>
      </c>
      <c r="C10040" s="1" t="str">
        <f>"66298787378834"</f>
        <v>66298787378834</v>
      </c>
      <c r="D10040" s="1" t="str">
        <f>"NITROIL10W-40"</f>
        <v>NITROIL10W-40</v>
      </c>
      <c r="E10040" s="1" t="s">
        <v>4579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</row>
    <row r="10041" spans="1:11" x14ac:dyDescent="0.2">
      <c r="A10041" s="1" t="s">
        <v>15</v>
      </c>
      <c r="B10041" s="1" t="s">
        <v>61</v>
      </c>
      <c r="C10041" s="1" t="str">
        <f>"NITROIL20W-50"</f>
        <v>NITROIL20W-50</v>
      </c>
      <c r="D10041" s="1" t="str">
        <f>"NITROIL20W-50"</f>
        <v>NITROIL20W-50</v>
      </c>
      <c r="E10041" s="1" t="s">
        <v>4579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</row>
    <row r="10042" spans="1:11" x14ac:dyDescent="0.2">
      <c r="A10042" s="1" t="s">
        <v>15</v>
      </c>
      <c r="B10042" s="1" t="s">
        <v>62</v>
      </c>
      <c r="C10042" s="1" t="str">
        <f>"66298787421628"</f>
        <v>66298787421628</v>
      </c>
      <c r="D10042" s="1" t="str">
        <f>"160N51"</f>
        <v>160N51</v>
      </c>
      <c r="E10042" s="1" t="s">
        <v>4579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</row>
    <row r="10043" spans="1:11" x14ac:dyDescent="0.2">
      <c r="A10043" s="1" t="s">
        <v>15</v>
      </c>
      <c r="B10043" s="1" t="s">
        <v>63</v>
      </c>
      <c r="C10043" s="1" t="str">
        <f>"66298787461211"</f>
        <v>66298787461211</v>
      </c>
      <c r="D10043" s="1" t="str">
        <f>"160M51"</f>
        <v>160M51</v>
      </c>
      <c r="E10043" s="1" t="s">
        <v>4579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</row>
    <row r="10044" spans="1:11" x14ac:dyDescent="0.2">
      <c r="A10044" s="1" t="s">
        <v>15</v>
      </c>
      <c r="B10044" s="1" t="s">
        <v>64</v>
      </c>
      <c r="C10044" s="1" t="str">
        <f>"RPP2131THA"</f>
        <v>RPP2131THA</v>
      </c>
      <c r="D10044" s="1" t="str">
        <f>"RPP2131THA"</f>
        <v>RPP2131THA</v>
      </c>
      <c r="E10044" s="1" t="s">
        <v>4579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</row>
    <row r="10045" spans="1:11" x14ac:dyDescent="0.2">
      <c r="A10045" s="1" t="s">
        <v>15</v>
      </c>
      <c r="B10045" s="1" t="s">
        <v>65</v>
      </c>
      <c r="C10045" s="1" t="str">
        <f>"66298787538000"</f>
        <v>66298787538000</v>
      </c>
      <c r="D10045" s="1" t="str">
        <f>"169Q51"</f>
        <v>169Q51</v>
      </c>
      <c r="E10045" s="1" t="s">
        <v>4579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</row>
    <row r="10046" spans="1:11" x14ac:dyDescent="0.2">
      <c r="A10046" s="1" t="s">
        <v>15</v>
      </c>
      <c r="B10046" s="1" t="s">
        <v>65</v>
      </c>
      <c r="C10046" s="1" t="str">
        <f>"RPP2065THC"</f>
        <v>RPP2065THC</v>
      </c>
      <c r="D10046" s="1" t="str">
        <f>"RPP2065THC"</f>
        <v>RPP2065THC</v>
      </c>
      <c r="E10046" s="1" t="s">
        <v>4579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</row>
    <row r="10047" spans="1:11" x14ac:dyDescent="0.2">
      <c r="A10047" s="1" t="s">
        <v>15</v>
      </c>
      <c r="B10047" s="1" t="s">
        <v>66</v>
      </c>
      <c r="C10047" s="1" t="str">
        <f>"14053"</f>
        <v>14053</v>
      </c>
      <c r="D10047" s="1" t="str">
        <f>"14053"</f>
        <v>14053</v>
      </c>
      <c r="E10047" s="1" t="s">
        <v>4579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</row>
    <row r="10048" spans="1:11" x14ac:dyDescent="0.2">
      <c r="A10048" s="1" t="s">
        <v>15</v>
      </c>
      <c r="B10048" s="1" t="s">
        <v>67</v>
      </c>
      <c r="C10048" s="1" t="str">
        <f>"14054"</f>
        <v>14054</v>
      </c>
      <c r="D10048" s="1" t="str">
        <f>"14054"</f>
        <v>14054</v>
      </c>
      <c r="E10048" s="1" t="s">
        <v>4579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</row>
    <row r="10049" spans="1:11" x14ac:dyDescent="0.2">
      <c r="A10049" s="1" t="s">
        <v>15</v>
      </c>
      <c r="B10049" s="1" t="s">
        <v>68</v>
      </c>
      <c r="C10049" s="1" t="str">
        <f>"14055"</f>
        <v>14055</v>
      </c>
      <c r="D10049" s="1" t="str">
        <f>"14055"</f>
        <v>14055</v>
      </c>
      <c r="E10049" s="1" t="s">
        <v>4579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</row>
    <row r="10050" spans="1:11" x14ac:dyDescent="0.2">
      <c r="A10050" s="1" t="s">
        <v>15</v>
      </c>
      <c r="B10050" s="1" t="s">
        <v>69</v>
      </c>
      <c r="C10050" s="1" t="str">
        <f>"66298787578009"</f>
        <v>66298787578009</v>
      </c>
      <c r="D10050" s="1" t="str">
        <f>"701786"</f>
        <v>701786</v>
      </c>
      <c r="E10050" s="1" t="s">
        <v>4579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</row>
    <row r="10051" spans="1:11" x14ac:dyDescent="0.2">
      <c r="A10051" s="1" t="s">
        <v>15</v>
      </c>
      <c r="B10051" s="1" t="s">
        <v>70</v>
      </c>
      <c r="C10051" s="1" t="str">
        <f>"66298787623732"</f>
        <v>66298787623732</v>
      </c>
      <c r="D10051" s="1" t="str">
        <f>"701842"</f>
        <v>701842</v>
      </c>
      <c r="E10051" s="1" t="s">
        <v>4579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</row>
    <row r="10052" spans="1:11" x14ac:dyDescent="0.2">
      <c r="A10052" s="1" t="s">
        <v>15</v>
      </c>
      <c r="B10052" s="1" t="s">
        <v>71</v>
      </c>
      <c r="C10052" s="1" t="str">
        <f>"66298787673056"</f>
        <v>66298787673056</v>
      </c>
      <c r="D10052" s="1" t="str">
        <f>"701787"</f>
        <v>701787</v>
      </c>
      <c r="E10052" s="1" t="s">
        <v>4579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</row>
    <row r="10053" spans="1:11" x14ac:dyDescent="0.2">
      <c r="A10053" s="1" t="s">
        <v>15</v>
      </c>
      <c r="B10053" s="1" t="s">
        <v>72</v>
      </c>
      <c r="C10053" s="1" t="str">
        <f>"66298787720426"</f>
        <v>66298787720426</v>
      </c>
      <c r="D10053" s="1" t="str">
        <f>"701789"</f>
        <v>701789</v>
      </c>
      <c r="E10053" s="1" t="s">
        <v>4579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</row>
    <row r="10054" spans="1:11" x14ac:dyDescent="0.2">
      <c r="A10054" s="1" t="s">
        <v>15</v>
      </c>
      <c r="B10054" s="1" t="s">
        <v>73</v>
      </c>
      <c r="C10054" s="1" t="str">
        <f>"66298787768776"</f>
        <v>66298787768776</v>
      </c>
      <c r="D10054" s="1" t="str">
        <f>"107996"</f>
        <v>107996</v>
      </c>
      <c r="E10054" s="1" t="s">
        <v>4579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</row>
    <row r="10055" spans="1:11" x14ac:dyDescent="0.2">
      <c r="A10055" s="1" t="s">
        <v>15</v>
      </c>
      <c r="B10055" s="1" t="s">
        <v>74</v>
      </c>
      <c r="C10055" s="1" t="str">
        <f>"66298787809728"</f>
        <v>66298787809728</v>
      </c>
      <c r="D10055" s="1" t="str">
        <f>"107696"</f>
        <v>107696</v>
      </c>
      <c r="E10055" s="1" t="s">
        <v>4579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</row>
    <row r="10056" spans="1:11" x14ac:dyDescent="0.2">
      <c r="A10056" s="1" t="s">
        <v>15</v>
      </c>
      <c r="B10056" s="1" t="s">
        <v>75</v>
      </c>
      <c r="C10056" s="1" t="str">
        <f>"66298787857853"</f>
        <v>66298787857853</v>
      </c>
      <c r="D10056" s="1" t="str">
        <f>"107796"</f>
        <v>107796</v>
      </c>
      <c r="E10056" s="1" t="s">
        <v>4579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</row>
    <row r="10057" spans="1:11" x14ac:dyDescent="0.2">
      <c r="A10057" s="1" t="s">
        <v>15</v>
      </c>
      <c r="B10057" s="1" t="s">
        <v>76</v>
      </c>
      <c r="C10057" s="1" t="str">
        <f>"66298787903641"</f>
        <v>66298787903641</v>
      </c>
      <c r="D10057" s="1" t="str">
        <f>"800663"</f>
        <v>800663</v>
      </c>
      <c r="E10057" s="1" t="s">
        <v>4579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</row>
    <row r="10058" spans="1:11" x14ac:dyDescent="0.2">
      <c r="A10058" s="1" t="s">
        <v>15</v>
      </c>
      <c r="B10058" s="1" t="s">
        <v>77</v>
      </c>
      <c r="C10058" s="1" t="str">
        <f>"66298787945885"</f>
        <v>66298787945885</v>
      </c>
      <c r="D10058" s="1" t="str">
        <f>"73920"</f>
        <v>73920</v>
      </c>
      <c r="E10058" s="1" t="s">
        <v>4579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</row>
    <row r="10059" spans="1:11" x14ac:dyDescent="0.2">
      <c r="A10059" s="1" t="s">
        <v>15</v>
      </c>
      <c r="B10059" s="1" t="s">
        <v>78</v>
      </c>
      <c r="C10059" s="1" t="str">
        <f>"66298787991826"</f>
        <v>66298787991826</v>
      </c>
      <c r="D10059" s="1" t="str">
        <f>"H048"</f>
        <v>H048</v>
      </c>
      <c r="E10059" s="1" t="s">
        <v>4579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</row>
    <row r="10060" spans="1:11" x14ac:dyDescent="0.2">
      <c r="A10060" s="1" t="s">
        <v>15</v>
      </c>
      <c r="B10060" s="1" t="s">
        <v>79</v>
      </c>
      <c r="C10060" s="1" t="str">
        <f>"66298788034546"</f>
        <v>66298788034546</v>
      </c>
      <c r="D10060" s="1" t="str">
        <f>"800536"</f>
        <v>800536</v>
      </c>
      <c r="E10060" s="1" t="s">
        <v>4579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</row>
    <row r="10061" spans="1:11" x14ac:dyDescent="0.2">
      <c r="A10061" s="1" t="s">
        <v>80</v>
      </c>
      <c r="B10061" s="1" t="s">
        <v>81</v>
      </c>
      <c r="C10061" s="1" t="str">
        <f>"66298788077576"</f>
        <v>66298788077576</v>
      </c>
      <c r="D10061" s="1" t="str">
        <f>"KB004-C"</f>
        <v>KB004-C</v>
      </c>
      <c r="E10061" s="1" t="s">
        <v>4579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</row>
    <row r="10062" spans="1:11" x14ac:dyDescent="0.2">
      <c r="A10062" s="1" t="s">
        <v>80</v>
      </c>
      <c r="B10062" s="1" t="s">
        <v>82</v>
      </c>
      <c r="C10062" s="1" t="str">
        <f>"66298788119612"</f>
        <v>66298788119612</v>
      </c>
      <c r="D10062" s="1" t="str">
        <f>"KB004-A"</f>
        <v>KB004-A</v>
      </c>
      <c r="E10062" s="1" t="s">
        <v>4579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</row>
    <row r="10063" spans="1:11" x14ac:dyDescent="0.2">
      <c r="A10063" s="1" t="s">
        <v>80</v>
      </c>
      <c r="B10063" s="1" t="s">
        <v>83</v>
      </c>
      <c r="C10063" s="1" t="str">
        <f>"66298788160575"</f>
        <v>66298788160575</v>
      </c>
      <c r="D10063" s="1" t="str">
        <f>"KB004-B"</f>
        <v>KB004-B</v>
      </c>
      <c r="E10063" s="1" t="s">
        <v>4579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</row>
    <row r="10064" spans="1:11" x14ac:dyDescent="0.2">
      <c r="A10064" s="1" t="s">
        <v>80</v>
      </c>
      <c r="B10064" s="1" t="s">
        <v>84</v>
      </c>
      <c r="C10064" s="1" t="str">
        <f>"66298788200764"</f>
        <v>66298788200764</v>
      </c>
      <c r="D10064" s="1" t="str">
        <f>"KB002"</f>
        <v>KB002</v>
      </c>
      <c r="E10064" s="1" t="s">
        <v>4579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</row>
    <row r="10065" spans="1:11" x14ac:dyDescent="0.2">
      <c r="A10065" s="1" t="s">
        <v>80</v>
      </c>
      <c r="B10065" s="1" t="s">
        <v>85</v>
      </c>
      <c r="C10065" s="1" t="str">
        <f>"66298788244552"</f>
        <v>66298788244552</v>
      </c>
      <c r="D10065" s="1" t="str">
        <f>"KB004-D"</f>
        <v>KB004-D</v>
      </c>
      <c r="E10065" s="1" t="s">
        <v>4579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</row>
    <row r="10066" spans="1:11" x14ac:dyDescent="0.2">
      <c r="A10066" s="1" t="s">
        <v>80</v>
      </c>
      <c r="B10066" s="1" t="s">
        <v>86</v>
      </c>
      <c r="C10066" s="1" t="str">
        <f>"KB013-A"</f>
        <v>KB013-A</v>
      </c>
      <c r="D10066" s="1" t="str">
        <f>"KB013-A"</f>
        <v>KB013-A</v>
      </c>
      <c r="E10066" s="1" t="s">
        <v>4579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</row>
    <row r="10067" spans="1:11" x14ac:dyDescent="0.2">
      <c r="A10067" s="1" t="s">
        <v>80</v>
      </c>
      <c r="B10067" s="1" t="s">
        <v>87</v>
      </c>
      <c r="C10067" s="1" t="str">
        <f>"66298788283502"</f>
        <v>66298788283502</v>
      </c>
      <c r="D10067" s="1" t="str">
        <f>"KB004"</f>
        <v>KB004</v>
      </c>
      <c r="E10067" s="1" t="s">
        <v>4579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</row>
    <row r="10068" spans="1:11" x14ac:dyDescent="0.2">
      <c r="A10068" s="1" t="s">
        <v>18</v>
      </c>
      <c r="B10068" s="1" t="s">
        <v>88</v>
      </c>
      <c r="C10068" s="1" t="str">
        <f>"KB013"</f>
        <v>KB013</v>
      </c>
      <c r="D10068" s="1" t="str">
        <f>"KB013"</f>
        <v>KB013</v>
      </c>
      <c r="E10068" s="1" t="s">
        <v>4579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</row>
    <row r="10069" spans="1:11" x14ac:dyDescent="0.2">
      <c r="A10069" s="1" t="s">
        <v>80</v>
      </c>
      <c r="B10069" s="1" t="s">
        <v>89</v>
      </c>
      <c r="C10069" s="1" t="str">
        <f>"66298788365361"</f>
        <v>66298788365361</v>
      </c>
      <c r="D10069" s="1" t="str">
        <f>"KB002-8/10"</f>
        <v>KB002-8/10</v>
      </c>
      <c r="E10069" s="1" t="s">
        <v>4579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</row>
    <row r="10070" spans="1:11" x14ac:dyDescent="0.2">
      <c r="A10070" s="1" t="s">
        <v>80</v>
      </c>
      <c r="B10070" s="1" t="s">
        <v>90</v>
      </c>
      <c r="C10070" s="1" t="str">
        <f>"66298788405405"</f>
        <v>66298788405405</v>
      </c>
      <c r="D10070" s="1" t="str">
        <f>"H112"</f>
        <v>H112</v>
      </c>
      <c r="E10070" s="1" t="s">
        <v>4579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</row>
    <row r="10071" spans="1:11" x14ac:dyDescent="0.2">
      <c r="A10071" s="1" t="s">
        <v>15</v>
      </c>
      <c r="B10071" s="1" t="s">
        <v>91</v>
      </c>
      <c r="C10071" s="1" t="str">
        <f>"JD027"</f>
        <v>JD027</v>
      </c>
      <c r="D10071" s="1" t="str">
        <f>"JD027"</f>
        <v>JD027</v>
      </c>
      <c r="E10071" s="1" t="s">
        <v>4579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</row>
    <row r="10072" spans="1:11" x14ac:dyDescent="0.2">
      <c r="A10072" s="1" t="s">
        <v>15</v>
      </c>
      <c r="B10072" s="1" t="s">
        <v>92</v>
      </c>
      <c r="C10072" s="1" t="str">
        <f>"11980"</f>
        <v>11980</v>
      </c>
      <c r="D10072" s="1" t="str">
        <f>"11980"</f>
        <v>11980</v>
      </c>
      <c r="E10072" s="1" t="s">
        <v>4579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</row>
    <row r="10073" spans="1:11" x14ac:dyDescent="0.2">
      <c r="A10073" s="1" t="s">
        <v>15</v>
      </c>
      <c r="B10073" s="1" t="s">
        <v>93</v>
      </c>
      <c r="C10073" s="1" t="str">
        <f>"66298788482471"</f>
        <v>66298788482471</v>
      </c>
      <c r="D10073" s="1" t="str">
        <f>"JD026"</f>
        <v>JD026</v>
      </c>
      <c r="E10073" s="1" t="s">
        <v>4579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</row>
    <row r="10074" spans="1:11" x14ac:dyDescent="0.2">
      <c r="A10074" s="1" t="s">
        <v>15</v>
      </c>
      <c r="B10074" s="1" t="s">
        <v>94</v>
      </c>
      <c r="C10074" s="1" t="str">
        <f>"66298788582396"</f>
        <v>66298788582396</v>
      </c>
      <c r="D10074" s="1" t="str">
        <f>"0016A-AMARILLO"</f>
        <v>0016A-AMARILLO</v>
      </c>
      <c r="E10074" s="1" t="s">
        <v>4579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</row>
    <row r="10075" spans="1:11" x14ac:dyDescent="0.2">
      <c r="A10075" s="1" t="s">
        <v>15</v>
      </c>
      <c r="B10075" s="1" t="s">
        <v>95</v>
      </c>
      <c r="C10075" s="1" t="str">
        <f>"66298788624911"</f>
        <v>66298788624911</v>
      </c>
      <c r="D10075" s="1" t="str">
        <f>"0016A-AZUL"</f>
        <v>0016A-AZUL</v>
      </c>
      <c r="E10075" s="1" t="s">
        <v>4579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</row>
    <row r="10076" spans="1:11" x14ac:dyDescent="0.2">
      <c r="A10076" s="1" t="s">
        <v>15</v>
      </c>
      <c r="B10076" s="1" t="s">
        <v>96</v>
      </c>
      <c r="C10076" s="1" t="str">
        <f>"66298788662197"</f>
        <v>66298788662197</v>
      </c>
      <c r="D10076" s="1" t="str">
        <f>"0016A-VERDE"</f>
        <v>0016A-VERDE</v>
      </c>
      <c r="E10076" s="1" t="s">
        <v>4579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</row>
    <row r="10077" spans="1:11" x14ac:dyDescent="0.2">
      <c r="A10077" s="1" t="s">
        <v>15</v>
      </c>
      <c r="B10077" s="1" t="s">
        <v>97</v>
      </c>
      <c r="C10077" s="1" t="str">
        <f>"66298788525204"</f>
        <v>66298788525204</v>
      </c>
      <c r="D10077" s="1" t="str">
        <f>"JD028"</f>
        <v>JD028</v>
      </c>
      <c r="E10077" s="1" t="s">
        <v>4579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</row>
    <row r="10078" spans="1:11" x14ac:dyDescent="0.2">
      <c r="A10078" s="1" t="s">
        <v>98</v>
      </c>
      <c r="B10078" s="1" t="s">
        <v>99</v>
      </c>
      <c r="C10078" s="1" t="str">
        <f>"66298788701757"</f>
        <v>66298788701757</v>
      </c>
      <c r="D10078" s="1" t="str">
        <f>"H2112"</f>
        <v>H2112</v>
      </c>
      <c r="E10078" s="1" t="s">
        <v>4579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</row>
    <row r="10079" spans="1:11" x14ac:dyDescent="0.2">
      <c r="A10079" s="1" t="s">
        <v>98</v>
      </c>
      <c r="B10079" s="1" t="s">
        <v>99</v>
      </c>
      <c r="C10079" s="1" t="str">
        <f>"VH001"</f>
        <v>VH001</v>
      </c>
      <c r="D10079" s="1" t="str">
        <f>"VH001"</f>
        <v>VH001</v>
      </c>
      <c r="E10079" s="1" t="s">
        <v>4579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</row>
    <row r="10080" spans="1:11" x14ac:dyDescent="0.2">
      <c r="A10080" s="1" t="s">
        <v>18</v>
      </c>
      <c r="B10080" s="1" t="s">
        <v>100</v>
      </c>
      <c r="C10080" s="1" t="str">
        <f>"66298788744831"</f>
        <v>66298788744831</v>
      </c>
      <c r="D10080" s="1" t="str">
        <f>"11108"</f>
        <v>11108</v>
      </c>
      <c r="E10080" s="1" t="s">
        <v>4579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</row>
    <row r="10081" spans="1:11" x14ac:dyDescent="0.2">
      <c r="A10081" s="1" t="s">
        <v>18</v>
      </c>
      <c r="B10081" s="1" t="s">
        <v>101</v>
      </c>
      <c r="C10081" s="1" t="str">
        <f>"66298788785072"</f>
        <v>66298788785072</v>
      </c>
      <c r="D10081" s="1" t="str">
        <f>"H176"</f>
        <v>H176</v>
      </c>
      <c r="E10081" s="1" t="s">
        <v>4579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</row>
    <row r="10082" spans="1:11" x14ac:dyDescent="0.2">
      <c r="A10082" s="1" t="s">
        <v>18</v>
      </c>
      <c r="B10082" s="1" t="s">
        <v>101</v>
      </c>
      <c r="C10082" s="1" t="str">
        <f>"103036"</f>
        <v>103036</v>
      </c>
      <c r="D10082" s="1" t="str">
        <f>"103036"</f>
        <v>103036</v>
      </c>
      <c r="E10082" s="1" t="s">
        <v>4579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</row>
    <row r="10083" spans="1:11" x14ac:dyDescent="0.2">
      <c r="A10083" s="1" t="s">
        <v>102</v>
      </c>
      <c r="B10083" s="1" t="s">
        <v>103</v>
      </c>
      <c r="C10083" s="1" t="str">
        <f>"66298788825464"</f>
        <v>66298788825464</v>
      </c>
      <c r="D10083" s="1" t="str">
        <f>"H224"</f>
        <v>H224</v>
      </c>
      <c r="E10083" s="1" t="s">
        <v>4579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</row>
    <row r="10084" spans="1:11" x14ac:dyDescent="0.2">
      <c r="A10084" s="1" t="s">
        <v>102</v>
      </c>
      <c r="B10084" s="1" t="s">
        <v>104</v>
      </c>
      <c r="C10084" s="1" t="str">
        <f>"66298788864849"</f>
        <v>66298788864849</v>
      </c>
      <c r="D10084" s="1" t="str">
        <f>"H089"</f>
        <v>H089</v>
      </c>
      <c r="E10084" s="1" t="s">
        <v>4579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</row>
    <row r="10085" spans="1:11" x14ac:dyDescent="0.2">
      <c r="A10085" s="1" t="s">
        <v>102</v>
      </c>
      <c r="B10085" s="1" t="s">
        <v>105</v>
      </c>
      <c r="C10085" s="1" t="str">
        <f>"66298788910490"</f>
        <v>66298788910490</v>
      </c>
      <c r="D10085" s="1" t="str">
        <f>"HH103"</f>
        <v>HH103</v>
      </c>
      <c r="E10085" s="1" t="s">
        <v>4579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</row>
    <row r="10086" spans="1:11" x14ac:dyDescent="0.2">
      <c r="A10086" s="1" t="s">
        <v>102</v>
      </c>
      <c r="B10086" s="1" t="s">
        <v>105</v>
      </c>
      <c r="C10086" s="1" t="str">
        <f>"66298788916642"</f>
        <v>66298788916642</v>
      </c>
      <c r="D10086" s="1" t="str">
        <f>"HH104"</f>
        <v>HH104</v>
      </c>
      <c r="E10086" s="1" t="s">
        <v>4579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</row>
    <row r="10087" spans="1:11" x14ac:dyDescent="0.2">
      <c r="A10087" s="1" t="s">
        <v>102</v>
      </c>
      <c r="B10087" s="1" t="s">
        <v>106</v>
      </c>
      <c r="C10087" s="1" t="str">
        <f>"66298788973431"</f>
        <v>66298788973431</v>
      </c>
      <c r="D10087" s="1" t="str">
        <f>"H117"</f>
        <v>H117</v>
      </c>
      <c r="E10087" s="1" t="s">
        <v>4579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</row>
    <row r="10088" spans="1:11" x14ac:dyDescent="0.2">
      <c r="A10088" s="1" t="s">
        <v>18</v>
      </c>
      <c r="B10088" s="1" t="s">
        <v>107</v>
      </c>
      <c r="C10088" s="1" t="str">
        <f>"66298789015238"</f>
        <v>66298789015238</v>
      </c>
      <c r="D10088" s="1" t="str">
        <f>"R008"</f>
        <v>R008</v>
      </c>
      <c r="E10088" s="1" t="s">
        <v>4579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</row>
    <row r="10089" spans="1:11" x14ac:dyDescent="0.2">
      <c r="A10089" s="1" t="s">
        <v>18</v>
      </c>
      <c r="B10089" s="1" t="s">
        <v>108</v>
      </c>
      <c r="C10089" s="1" t="str">
        <f>"66298789057871"</f>
        <v>66298789057871</v>
      </c>
      <c r="D10089" s="1" t="str">
        <f>"00388-CROMADO"</f>
        <v>00388-CROMADO</v>
      </c>
      <c r="E10089" s="1" t="s">
        <v>4579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</row>
    <row r="10090" spans="1:11" x14ac:dyDescent="0.2">
      <c r="A10090" s="1" t="s">
        <v>18</v>
      </c>
      <c r="B10090" s="1" t="s">
        <v>109</v>
      </c>
      <c r="C10090" s="1" t="str">
        <f>"66298789098616"</f>
        <v>66298789098616</v>
      </c>
      <c r="D10090" s="1" t="str">
        <f>"JC009-ROJO"</f>
        <v>JC009-ROJO</v>
      </c>
      <c r="E10090" s="1" t="s">
        <v>4579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</row>
    <row r="10091" spans="1:11" x14ac:dyDescent="0.2">
      <c r="A10091" s="1" t="s">
        <v>18</v>
      </c>
      <c r="B10091" s="1" t="s">
        <v>109</v>
      </c>
      <c r="C10091" s="1" t="str">
        <f>"66298789105653"</f>
        <v>66298789105653</v>
      </c>
      <c r="D10091" s="1" t="str">
        <f>"JC009-B-ROJO"</f>
        <v>JC009-B-ROJO</v>
      </c>
      <c r="E10091" s="1" t="s">
        <v>4579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</row>
    <row r="10092" spans="1:11" x14ac:dyDescent="0.2">
      <c r="A10092" s="1" t="s">
        <v>18</v>
      </c>
      <c r="B10092" s="1" t="s">
        <v>110</v>
      </c>
      <c r="C10092" s="1" t="str">
        <f>"66298789161466"</f>
        <v>66298789161466</v>
      </c>
      <c r="D10092" s="1" t="str">
        <f>"JC013-A-NEGRO"</f>
        <v>JC013-A-NEGRO</v>
      </c>
      <c r="E10092" s="1" t="s">
        <v>4579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</row>
    <row r="10093" spans="1:11" x14ac:dyDescent="0.2">
      <c r="A10093" s="1" t="s">
        <v>18</v>
      </c>
      <c r="B10093" s="1" t="s">
        <v>110</v>
      </c>
      <c r="C10093" s="1" t="str">
        <f>"JC013-A-ROJO"</f>
        <v>JC013-A-ROJO</v>
      </c>
      <c r="D10093" s="1" t="str">
        <f>"JC013-A-ROJO"</f>
        <v>JC013-A-ROJO</v>
      </c>
      <c r="E10093" s="1" t="s">
        <v>4579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</row>
    <row r="10094" spans="1:11" x14ac:dyDescent="0.2">
      <c r="A10094" s="1" t="s">
        <v>18</v>
      </c>
      <c r="B10094" s="1" t="s">
        <v>111</v>
      </c>
      <c r="C10094" s="1" t="str">
        <f>"66298789203414"</f>
        <v>66298789203414</v>
      </c>
      <c r="D10094" s="1" t="str">
        <f>"H031-A"</f>
        <v>H031-A</v>
      </c>
      <c r="E10094" s="1" t="s">
        <v>4579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</row>
    <row r="10095" spans="1:11" x14ac:dyDescent="0.2">
      <c r="A10095" s="1" t="s">
        <v>112</v>
      </c>
      <c r="B10095" s="1" t="s">
        <v>113</v>
      </c>
      <c r="C10095" s="1" t="str">
        <f>"66298789245299"</f>
        <v>66298789245299</v>
      </c>
      <c r="D10095" s="1" t="str">
        <f>"400483"</f>
        <v>400483</v>
      </c>
      <c r="E10095" s="1" t="s">
        <v>4579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</row>
    <row r="10096" spans="1:11" x14ac:dyDescent="0.2">
      <c r="A10096" s="1" t="s">
        <v>112</v>
      </c>
      <c r="B10096" s="1" t="s">
        <v>114</v>
      </c>
      <c r="C10096" s="1" t="str">
        <f>"66298789282704"</f>
        <v>66298789282704</v>
      </c>
      <c r="D10096" s="1" t="str">
        <f>"310790275-0001"</f>
        <v>310790275-0001</v>
      </c>
      <c r="E10096" s="1" t="s">
        <v>4579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</row>
    <row r="10097" spans="1:11" x14ac:dyDescent="0.2">
      <c r="A10097" s="1" t="s">
        <v>112</v>
      </c>
      <c r="B10097" s="1" t="s">
        <v>115</v>
      </c>
      <c r="C10097" s="1" t="str">
        <f>"66298789322737"</f>
        <v>66298789322737</v>
      </c>
      <c r="D10097" s="1" t="str">
        <f>"SL-22200-000"</f>
        <v>SL-22200-000</v>
      </c>
      <c r="E10097" s="1" t="s">
        <v>4579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</row>
    <row r="10098" spans="1:11" x14ac:dyDescent="0.2">
      <c r="A10098" s="1" t="s">
        <v>112</v>
      </c>
      <c r="B10098" s="1" t="s">
        <v>116</v>
      </c>
      <c r="C10098" s="1" t="str">
        <f>"66298789363541"</f>
        <v>66298789363541</v>
      </c>
      <c r="D10098" s="1" t="str">
        <f>"DM-1710-25"</f>
        <v>DM-1710-25</v>
      </c>
      <c r="E10098" s="1" t="s">
        <v>4579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</row>
    <row r="10099" spans="1:11" x14ac:dyDescent="0.2">
      <c r="A10099" s="1" t="s">
        <v>112</v>
      </c>
      <c r="B10099" s="1" t="s">
        <v>117</v>
      </c>
      <c r="C10099" s="1" t="str">
        <f>"66298789403957"</f>
        <v>66298789403957</v>
      </c>
      <c r="D10099" s="1" t="str">
        <f>"52400-KWF-901"</f>
        <v>52400-KWF-901</v>
      </c>
      <c r="E10099" s="1" t="s">
        <v>4579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</row>
    <row r="10100" spans="1:11" x14ac:dyDescent="0.2">
      <c r="A10100" s="1" t="s">
        <v>112</v>
      </c>
      <c r="B10100" s="1" t="s">
        <v>118</v>
      </c>
      <c r="C10100" s="1" t="str">
        <f>"66298789441912"</f>
        <v>66298789441912</v>
      </c>
      <c r="D10100" s="1" t="str">
        <f>"52400-KSP-861"</f>
        <v>52400-KSP-861</v>
      </c>
      <c r="E10100" s="1" t="s">
        <v>4579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</row>
    <row r="10101" spans="1:11" x14ac:dyDescent="0.2">
      <c r="A10101" s="1" t="s">
        <v>112</v>
      </c>
      <c r="B10101" s="1" t="s">
        <v>119</v>
      </c>
      <c r="C10101" s="1" t="str">
        <f>"66298789482134"</f>
        <v>66298789482134</v>
      </c>
      <c r="D10101" s="1" t="str">
        <f>"52400-KPF-891"</f>
        <v>52400-KPF-891</v>
      </c>
      <c r="E10101" s="1" t="s">
        <v>4579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</row>
    <row r="10102" spans="1:11" x14ac:dyDescent="0.2">
      <c r="A10102" s="1" t="s">
        <v>112</v>
      </c>
      <c r="B10102" s="1" t="s">
        <v>120</v>
      </c>
      <c r="C10102" s="1" t="str">
        <f>"66298789531909"</f>
        <v>66298789531909</v>
      </c>
      <c r="D10102" s="1" t="str">
        <f>"62100-44AB2-019"</f>
        <v>62100-44AB2-019</v>
      </c>
      <c r="E10102" s="1" t="s">
        <v>4579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</row>
    <row r="10103" spans="1:11" x14ac:dyDescent="0.2">
      <c r="A10103" s="1" t="s">
        <v>112</v>
      </c>
      <c r="B10103" s="1" t="s">
        <v>121</v>
      </c>
      <c r="C10103" s="1" t="str">
        <f>"66298789573602"</f>
        <v>66298789573602</v>
      </c>
      <c r="D10103" s="1" t="str">
        <f>"21C-F2210-00"</f>
        <v>21C-F2210-00</v>
      </c>
      <c r="E10103" s="1" t="s">
        <v>4579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</row>
    <row r="10104" spans="1:11" x14ac:dyDescent="0.2">
      <c r="A10104" s="1" t="s">
        <v>112</v>
      </c>
      <c r="B10104" s="1" t="s">
        <v>122</v>
      </c>
      <c r="C10104" s="1" t="str">
        <f>"SA025"</f>
        <v>SA025</v>
      </c>
      <c r="D10104" s="1" t="str">
        <f>"SA025"</f>
        <v>SA025</v>
      </c>
      <c r="E10104" s="1" t="s">
        <v>4579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</row>
    <row r="10105" spans="1:11" x14ac:dyDescent="0.2">
      <c r="A10105" s="1" t="s">
        <v>112</v>
      </c>
      <c r="B10105" s="1" t="s">
        <v>123</v>
      </c>
      <c r="C10105" s="1" t="str">
        <f>"66298789618646"</f>
        <v>66298789618646</v>
      </c>
      <c r="D10105" s="1" t="str">
        <f>"52400-KBB-981ZA"</f>
        <v>52400-KBB-981ZA</v>
      </c>
      <c r="E10105" s="1" t="s">
        <v>4579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</row>
    <row r="10106" spans="1:11" x14ac:dyDescent="0.2">
      <c r="A10106" s="1" t="s">
        <v>112</v>
      </c>
      <c r="B10106" s="1" t="s">
        <v>124</v>
      </c>
      <c r="C10106" s="1" t="str">
        <f>"52400-KPE-841ZA"</f>
        <v>52400-KPE-841ZA</v>
      </c>
      <c r="D10106" s="1" t="str">
        <f>"52400-KPE-841ZA"</f>
        <v>52400-KPE-841ZA</v>
      </c>
      <c r="E10106" s="1" t="s">
        <v>4579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</row>
    <row r="10107" spans="1:11" x14ac:dyDescent="0.2">
      <c r="A10107" s="1" t="s">
        <v>112</v>
      </c>
      <c r="B10107" s="1" t="s">
        <v>125</v>
      </c>
      <c r="C10107" s="1" t="str">
        <f>"66298789658264"</f>
        <v>66298789658264</v>
      </c>
      <c r="D10107" s="1" t="str">
        <f>"5RM-22210-01"</f>
        <v>5RM-22210-01</v>
      </c>
      <c r="E10107" s="1" t="s">
        <v>4579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</row>
    <row r="10108" spans="1:11" x14ac:dyDescent="0.2">
      <c r="A10108" s="1" t="s">
        <v>112</v>
      </c>
      <c r="B10108" s="1" t="s">
        <v>126</v>
      </c>
      <c r="C10108" s="1" t="str">
        <f>"66298789700390"</f>
        <v>66298789700390</v>
      </c>
      <c r="D10108" s="1" t="str">
        <f>"5JU-F2210-00"</f>
        <v>5JU-F2210-00</v>
      </c>
      <c r="E10108" s="1" t="s">
        <v>4579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</row>
    <row r="10109" spans="1:11" x14ac:dyDescent="0.2">
      <c r="A10109" s="1" t="s">
        <v>112</v>
      </c>
      <c r="B10109" s="1" t="s">
        <v>127</v>
      </c>
      <c r="C10109" s="1" t="str">
        <f>"66298789740767"</f>
        <v>66298789740767</v>
      </c>
      <c r="D10109" s="1" t="str">
        <f>"24P-F2210-01"</f>
        <v>24P-F2210-01</v>
      </c>
      <c r="E10109" s="1" t="s">
        <v>4579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</row>
    <row r="10110" spans="1:11" x14ac:dyDescent="0.2">
      <c r="A10110" s="1" t="s">
        <v>112</v>
      </c>
      <c r="B10110" s="1" t="s">
        <v>128</v>
      </c>
      <c r="C10110" s="1" t="str">
        <f>"66298789779675"</f>
        <v>66298789779675</v>
      </c>
      <c r="D10110" s="1" t="str">
        <f>"4ST-F2210-00"</f>
        <v>4ST-F2210-00</v>
      </c>
      <c r="E10110" s="1" t="s">
        <v>4579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</row>
    <row r="10111" spans="1:11" x14ac:dyDescent="0.2">
      <c r="A10111" s="1" t="s">
        <v>112</v>
      </c>
      <c r="B10111" s="1" t="s">
        <v>129</v>
      </c>
      <c r="C10111" s="1" t="str">
        <f>"66298789821597"</f>
        <v>66298789821597</v>
      </c>
      <c r="D10111" s="1" t="str">
        <f>"62100-45F21-000"</f>
        <v>62100-45F21-000</v>
      </c>
      <c r="E10111" s="1" t="s">
        <v>4579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</row>
    <row r="10112" spans="1:11" x14ac:dyDescent="0.2">
      <c r="A10112" s="1" t="s">
        <v>112</v>
      </c>
      <c r="B10112" s="1" t="s">
        <v>130</v>
      </c>
      <c r="C10112" s="1" t="str">
        <f>"66298789899639"</f>
        <v>66298789899639</v>
      </c>
      <c r="D10112" s="1" t="str">
        <f>"400488"</f>
        <v>400488</v>
      </c>
      <c r="E10112" s="1" t="s">
        <v>4579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</row>
    <row r="10113" spans="1:11" x14ac:dyDescent="0.2">
      <c r="A10113" s="1" t="s">
        <v>112</v>
      </c>
      <c r="B10113" s="1" t="s">
        <v>131</v>
      </c>
      <c r="C10113" s="1" t="str">
        <f>"66298789864357"</f>
        <v>66298789864357</v>
      </c>
      <c r="D10113" s="1" t="str">
        <f>"80874"</f>
        <v>80874</v>
      </c>
      <c r="E10113" s="1" t="s">
        <v>4579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</row>
    <row r="10114" spans="1:11" x14ac:dyDescent="0.2">
      <c r="A10114" s="1" t="s">
        <v>112</v>
      </c>
      <c r="B10114" s="1" t="s">
        <v>132</v>
      </c>
      <c r="C10114" s="1" t="str">
        <f>"66298789937694"</f>
        <v>66298789937694</v>
      </c>
      <c r="D10114" s="1" t="str">
        <f>"62100-053H1-000"</f>
        <v>62100-053H1-000</v>
      </c>
      <c r="E10114" s="1" t="s">
        <v>4579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</row>
    <row r="10115" spans="1:11" x14ac:dyDescent="0.2">
      <c r="A10115" s="1" t="s">
        <v>112</v>
      </c>
      <c r="B10115" s="1" t="s">
        <v>133</v>
      </c>
      <c r="C10115" s="1" t="str">
        <f>"SA003"</f>
        <v>SA003</v>
      </c>
      <c r="D10115" s="1" t="str">
        <f>"SA003"</f>
        <v>SA003</v>
      </c>
      <c r="E10115" s="1" t="s">
        <v>4579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</row>
    <row r="10116" spans="1:11" x14ac:dyDescent="0.2">
      <c r="A10116" s="1" t="s">
        <v>112</v>
      </c>
      <c r="B10116" s="1" t="s">
        <v>134</v>
      </c>
      <c r="C10116" s="1" t="str">
        <f>"1V1-22210-0393"</f>
        <v>1V1-22210-0393</v>
      </c>
      <c r="D10116" s="1" t="str">
        <f>"1V1-22210-0393"</f>
        <v>1V1-22210-0393</v>
      </c>
      <c r="E10116" s="1" t="s">
        <v>4579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</row>
    <row r="10117" spans="1:11" x14ac:dyDescent="0.2">
      <c r="A10117" s="1" t="s">
        <v>112</v>
      </c>
      <c r="B10117" s="1" t="s">
        <v>135</v>
      </c>
      <c r="C10117" s="1" t="str">
        <f>"66298790030782"</f>
        <v>66298790030782</v>
      </c>
      <c r="D10117" s="1" t="str">
        <f>"52400-KVC-900"</f>
        <v>52400-KVC-900</v>
      </c>
      <c r="E10117" s="1" t="s">
        <v>4579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</row>
    <row r="10118" spans="1:11" x14ac:dyDescent="0.2">
      <c r="A10118" s="1" t="s">
        <v>112</v>
      </c>
      <c r="B10118" s="1" t="s">
        <v>136</v>
      </c>
      <c r="C10118" s="1" t="str">
        <f>"66298790211516"</f>
        <v>66298790211516</v>
      </c>
      <c r="D10118" s="1" t="str">
        <f>"400455"</f>
        <v>400455</v>
      </c>
      <c r="E10118" s="1" t="s">
        <v>4579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</row>
    <row r="10119" spans="1:11" x14ac:dyDescent="0.2">
      <c r="A10119" s="1" t="s">
        <v>112</v>
      </c>
      <c r="B10119" s="1" t="s">
        <v>137</v>
      </c>
      <c r="C10119" s="1" t="str">
        <f>"66298790074966"</f>
        <v>66298790074966</v>
      </c>
      <c r="D10119" s="1" t="str">
        <f>"22P-F2210-00"</f>
        <v>22P-F2210-00</v>
      </c>
      <c r="E10119" s="1" t="s">
        <v>4579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</row>
    <row r="10120" spans="1:11" x14ac:dyDescent="0.2">
      <c r="A10120" s="1" t="s">
        <v>112</v>
      </c>
      <c r="B10120" s="1" t="s">
        <v>137</v>
      </c>
      <c r="C10120" s="1" t="str">
        <f>"66298790124672"</f>
        <v>66298790124672</v>
      </c>
      <c r="D10120" s="1" t="str">
        <f>"5VL-F2210-01"</f>
        <v>5VL-F2210-01</v>
      </c>
      <c r="E10120" s="1" t="s">
        <v>4579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</row>
    <row r="10121" spans="1:11" x14ac:dyDescent="0.2">
      <c r="A10121" s="1" t="s">
        <v>112</v>
      </c>
      <c r="B10121" s="1" t="s">
        <v>138</v>
      </c>
      <c r="C10121" s="1" t="str">
        <f>"66298790261414"</f>
        <v>66298790261414</v>
      </c>
      <c r="D10121" s="1" t="str">
        <f>"400490"</f>
        <v>400490</v>
      </c>
      <c r="E10121" s="1" t="s">
        <v>4579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</row>
    <row r="10122" spans="1:11" x14ac:dyDescent="0.2">
      <c r="A10122" s="1" t="s">
        <v>112</v>
      </c>
      <c r="B10122" s="1" t="s">
        <v>139</v>
      </c>
      <c r="C10122" s="1" t="str">
        <f>"66298790300499"</f>
        <v>66298790300499</v>
      </c>
      <c r="D10122" s="1" t="str">
        <f>"400486"</f>
        <v>400486</v>
      </c>
      <c r="E10122" s="1" t="s">
        <v>4579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</row>
    <row r="10123" spans="1:11" x14ac:dyDescent="0.2">
      <c r="A10123" s="1" t="s">
        <v>112</v>
      </c>
      <c r="B10123" s="1" t="s">
        <v>140</v>
      </c>
      <c r="C10123" s="1" t="str">
        <f>"66298790340896"</f>
        <v>66298790340896</v>
      </c>
      <c r="D10123" s="1" t="str">
        <f>"SA005"</f>
        <v>SA005</v>
      </c>
      <c r="E10123" s="1" t="s">
        <v>4579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</row>
    <row r="10124" spans="1:11" ht="30" x14ac:dyDescent="0.2">
      <c r="A10124" s="1" t="s">
        <v>141</v>
      </c>
      <c r="B10124" s="1" t="s">
        <v>142</v>
      </c>
      <c r="C10124" s="1" t="str">
        <f>"66298790381677"</f>
        <v>66298790381677</v>
      </c>
      <c r="D10124" s="1" t="str">
        <f>"81526"</f>
        <v>81526</v>
      </c>
      <c r="E10124" s="1" t="s">
        <v>4579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</row>
    <row r="10125" spans="1:11" x14ac:dyDescent="0.2">
      <c r="A10125" s="1" t="s">
        <v>141</v>
      </c>
      <c r="B10125" s="1" t="s">
        <v>143</v>
      </c>
      <c r="C10125" s="1" t="str">
        <f>"66298790426257"</f>
        <v>66298790426257</v>
      </c>
      <c r="D10125" s="1" t="str">
        <f>"A-2746C"</f>
        <v>A-2746C</v>
      </c>
      <c r="E10125" s="1" t="s">
        <v>4579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</row>
    <row r="10126" spans="1:11" x14ac:dyDescent="0.2">
      <c r="A10126" s="1" t="s">
        <v>141</v>
      </c>
      <c r="B10126" s="1" t="s">
        <v>144</v>
      </c>
      <c r="C10126" s="1" t="str">
        <f>"66298790467302"</f>
        <v>66298790467302</v>
      </c>
      <c r="D10126" s="1" t="str">
        <f>"400913"</f>
        <v>400913</v>
      </c>
      <c r="E10126" s="1" t="s">
        <v>4579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</row>
    <row r="10127" spans="1:11" x14ac:dyDescent="0.2">
      <c r="A10127" s="1" t="s">
        <v>141</v>
      </c>
      <c r="B10127" s="1" t="s">
        <v>145</v>
      </c>
      <c r="C10127" s="1" t="str">
        <f>"66298790509113"</f>
        <v>66298790509113</v>
      </c>
      <c r="D10127" s="1" t="str">
        <f>"12728C1"</f>
        <v>12728C1</v>
      </c>
      <c r="E10127" s="1" t="s">
        <v>4579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</row>
    <row r="10128" spans="1:11" ht="30" x14ac:dyDescent="0.2">
      <c r="A10128" s="1" t="s">
        <v>141</v>
      </c>
      <c r="B10128" s="1" t="s">
        <v>146</v>
      </c>
      <c r="C10128" s="1" t="str">
        <f>"66298790549304"</f>
        <v>66298790549304</v>
      </c>
      <c r="D10128" s="1" t="str">
        <f>"H4-12458MV-BI"</f>
        <v>H4-12458MV-BI</v>
      </c>
      <c r="E10128" s="1" t="s">
        <v>4579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</row>
    <row r="10129" spans="1:11" x14ac:dyDescent="0.2">
      <c r="A10129" s="1" t="s">
        <v>141</v>
      </c>
      <c r="B10129" s="1" t="s">
        <v>147</v>
      </c>
      <c r="C10129" s="1" t="str">
        <f>"66298790596730"</f>
        <v>66298790596730</v>
      </c>
      <c r="D10129" s="1" t="str">
        <f>"400588"</f>
        <v>400588</v>
      </c>
      <c r="E10129" s="1" t="s">
        <v>4579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</row>
    <row r="10130" spans="1:11" x14ac:dyDescent="0.2">
      <c r="A10130" s="1" t="s">
        <v>141</v>
      </c>
      <c r="B10130" s="1" t="s">
        <v>148</v>
      </c>
      <c r="C10130" s="1" t="str">
        <f>"66298790642327"</f>
        <v>66298790642327</v>
      </c>
      <c r="D10130" s="1" t="str">
        <f>"400159"</f>
        <v>400159</v>
      </c>
      <c r="E10130" s="1" t="s">
        <v>4579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</row>
    <row r="10131" spans="1:11" x14ac:dyDescent="0.2">
      <c r="A10131" s="1" t="s">
        <v>141</v>
      </c>
      <c r="B10131" s="1" t="s">
        <v>149</v>
      </c>
      <c r="C10131" s="1" t="str">
        <f>"BA20"</f>
        <v>BA20</v>
      </c>
      <c r="D10131" s="1" t="str">
        <f>"BA20"</f>
        <v>BA20</v>
      </c>
      <c r="E10131" s="1" t="s">
        <v>4579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</row>
    <row r="10132" spans="1:11" x14ac:dyDescent="0.2">
      <c r="A10132" s="1" t="s">
        <v>141</v>
      </c>
      <c r="B10132" s="1" t="s">
        <v>150</v>
      </c>
      <c r="C10132" s="1" t="str">
        <f>"66298790679312"</f>
        <v>66298790679312</v>
      </c>
      <c r="D10132" s="1" t="str">
        <f>"400914"</f>
        <v>400914</v>
      </c>
      <c r="E10132" s="1" t="s">
        <v>4579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</row>
    <row r="10133" spans="1:11" x14ac:dyDescent="0.2">
      <c r="A10133" s="1" t="s">
        <v>141</v>
      </c>
      <c r="B10133" s="1" t="s">
        <v>151</v>
      </c>
      <c r="C10133" s="1" t="str">
        <f>"PX43T"</f>
        <v>PX43T</v>
      </c>
      <c r="D10133" s="1" t="str">
        <f>"PX43T"</f>
        <v>PX43T</v>
      </c>
      <c r="E10133" s="1" t="s">
        <v>4579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</row>
    <row r="10134" spans="1:11" ht="30" x14ac:dyDescent="0.2">
      <c r="A10134" s="1" t="s">
        <v>141</v>
      </c>
      <c r="B10134" s="1" t="s">
        <v>152</v>
      </c>
      <c r="C10134" s="1" t="str">
        <f>"66298790731121"</f>
        <v>66298790731121</v>
      </c>
      <c r="D10134" s="1" t="str">
        <f>"81527"</f>
        <v>81527</v>
      </c>
      <c r="E10134" s="1" t="s">
        <v>4579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</row>
    <row r="10135" spans="1:11" ht="30" x14ac:dyDescent="0.2">
      <c r="A10135" s="1" t="s">
        <v>141</v>
      </c>
      <c r="B10135" s="1" t="s">
        <v>152</v>
      </c>
      <c r="C10135" s="1" t="str">
        <f>"66298790769154"</f>
        <v>66298790769154</v>
      </c>
      <c r="D10135" s="1" t="str">
        <f>"AY-2748-K"</f>
        <v>AY-2748-K</v>
      </c>
      <c r="E10135" s="1" t="s">
        <v>4579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</row>
    <row r="10136" spans="1:11" ht="30" x14ac:dyDescent="0.2">
      <c r="A10136" s="1" t="s">
        <v>141</v>
      </c>
      <c r="B10136" s="1" t="s">
        <v>153</v>
      </c>
      <c r="C10136" s="1" t="str">
        <f>"66298790806601"</f>
        <v>66298790806601</v>
      </c>
      <c r="D10136" s="1" t="str">
        <f>"400589"</f>
        <v>400589</v>
      </c>
      <c r="E10136" s="1" t="s">
        <v>4579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</row>
    <row r="10137" spans="1:11" ht="30" x14ac:dyDescent="0.2">
      <c r="A10137" s="1" t="s">
        <v>141</v>
      </c>
      <c r="B10137" s="1" t="s">
        <v>154</v>
      </c>
      <c r="C10137" s="1" t="str">
        <f>"66298790855077"</f>
        <v>66298790855077</v>
      </c>
      <c r="D10137" s="1" t="str">
        <f>"4464-H"</f>
        <v>4464-H</v>
      </c>
      <c r="E10137" s="1" t="s">
        <v>4579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</row>
    <row r="10138" spans="1:11" x14ac:dyDescent="0.2">
      <c r="A10138" s="1" t="s">
        <v>141</v>
      </c>
      <c r="B10138" s="1" t="s">
        <v>155</v>
      </c>
      <c r="C10138" s="1" t="str">
        <f>"66298790896822"</f>
        <v>66298790896822</v>
      </c>
      <c r="D10138" s="1" t="str">
        <f>"SW-H7"</f>
        <v>SW-H7</v>
      </c>
      <c r="E10138" s="1" t="s">
        <v>4579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</row>
    <row r="10139" spans="1:11" x14ac:dyDescent="0.2">
      <c r="A10139" s="1" t="s">
        <v>141</v>
      </c>
      <c r="B10139" s="1" t="s">
        <v>156</v>
      </c>
      <c r="C10139" s="1" t="str">
        <f>"66298790938668"</f>
        <v>66298790938668</v>
      </c>
      <c r="D10139" s="1" t="str">
        <f>"AY-50340-BX"</f>
        <v>AY-50340-BX</v>
      </c>
      <c r="E10139" s="1" t="s">
        <v>4579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</row>
    <row r="10140" spans="1:11" x14ac:dyDescent="0.2">
      <c r="A10140" s="1" t="s">
        <v>141</v>
      </c>
      <c r="B10140" s="1" t="s">
        <v>157</v>
      </c>
      <c r="C10140" s="1" t="str">
        <f>"66298790980057"</f>
        <v>66298790980057</v>
      </c>
      <c r="D10140" s="1" t="str">
        <f>"VF064"</f>
        <v>VF064</v>
      </c>
      <c r="E10140" s="1" t="s">
        <v>4579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</row>
    <row r="10141" spans="1:11" x14ac:dyDescent="0.2">
      <c r="A10141" s="1" t="s">
        <v>141</v>
      </c>
      <c r="B10141" s="1" t="s">
        <v>158</v>
      </c>
      <c r="C10141" s="1" t="str">
        <f>"66298791021092"</f>
        <v>66298791021092</v>
      </c>
      <c r="D10141" s="1" t="str">
        <f>"VF063"</f>
        <v>VF063</v>
      </c>
      <c r="E10141" s="1" t="s">
        <v>4579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</row>
    <row r="10142" spans="1:11" x14ac:dyDescent="0.2">
      <c r="A10142" s="1" t="s">
        <v>141</v>
      </c>
      <c r="B10142" s="1" t="s">
        <v>159</v>
      </c>
      <c r="C10142" s="1" t="str">
        <f>"66298791062450"</f>
        <v>66298791062450</v>
      </c>
      <c r="D10142" s="1" t="str">
        <f>"VF065"</f>
        <v>VF065</v>
      </c>
      <c r="E10142" s="1" t="s">
        <v>4579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</row>
    <row r="10143" spans="1:11" x14ac:dyDescent="0.2">
      <c r="A10143" s="1" t="s">
        <v>141</v>
      </c>
      <c r="B10143" s="1" t="s">
        <v>160</v>
      </c>
      <c r="C10143" s="1" t="str">
        <f>"134881"</f>
        <v>134881</v>
      </c>
      <c r="D10143" s="1" t="str">
        <f>"134881"</f>
        <v>134881</v>
      </c>
      <c r="E10143" s="1" t="s">
        <v>4579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</row>
    <row r="10144" spans="1:11" x14ac:dyDescent="0.2">
      <c r="A10144" s="1" t="s">
        <v>141</v>
      </c>
      <c r="B10144" s="1" t="s">
        <v>161</v>
      </c>
      <c r="C10144" s="1" t="str">
        <f>"VF024"</f>
        <v>VF024</v>
      </c>
      <c r="D10144" s="1" t="str">
        <f>"VF024"</f>
        <v>VF024</v>
      </c>
      <c r="E10144" s="1" t="s">
        <v>4579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</row>
    <row r="10145" spans="1:11" x14ac:dyDescent="0.2">
      <c r="A10145" s="1" t="s">
        <v>141</v>
      </c>
      <c r="B10145" s="1" t="s">
        <v>162</v>
      </c>
      <c r="C10145" s="1" t="str">
        <f>"66298791108060"</f>
        <v>66298791108060</v>
      </c>
      <c r="D10145" s="1" t="str">
        <f>"VF009"</f>
        <v>VF009</v>
      </c>
      <c r="E10145" s="1" t="s">
        <v>4579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</row>
    <row r="10146" spans="1:11" x14ac:dyDescent="0.2">
      <c r="A10146" s="1" t="s">
        <v>141</v>
      </c>
      <c r="B10146" s="1" t="s">
        <v>163</v>
      </c>
      <c r="C10146" s="1" t="str">
        <f>"66298791149793"</f>
        <v>66298791149793</v>
      </c>
      <c r="D10146" s="1" t="str">
        <f>"VF032"</f>
        <v>VF032</v>
      </c>
      <c r="E10146" s="1" t="s">
        <v>4579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</row>
    <row r="10147" spans="1:11" x14ac:dyDescent="0.2">
      <c r="A10147" s="1" t="s">
        <v>141</v>
      </c>
      <c r="B10147" s="1" t="s">
        <v>164</v>
      </c>
      <c r="C10147" s="1" t="str">
        <f>"1003"</f>
        <v>1003</v>
      </c>
      <c r="D10147" s="1" t="str">
        <f>"1003"</f>
        <v>1003</v>
      </c>
      <c r="E10147" s="1" t="s">
        <v>4579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</row>
    <row r="10148" spans="1:11" x14ac:dyDescent="0.2">
      <c r="A10148" s="1" t="s">
        <v>141</v>
      </c>
      <c r="B10148" s="1" t="s">
        <v>164</v>
      </c>
      <c r="C10148" s="1" t="str">
        <f>"13066"</f>
        <v>13066</v>
      </c>
      <c r="D10148" s="1" t="str">
        <f>"13066"</f>
        <v>13066</v>
      </c>
      <c r="E10148" s="1" t="s">
        <v>4579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</row>
    <row r="10149" spans="1:11" x14ac:dyDescent="0.2">
      <c r="A10149" s="1" t="s">
        <v>141</v>
      </c>
      <c r="B10149" s="1" t="s">
        <v>165</v>
      </c>
      <c r="C10149" s="1" t="str">
        <f>"66298791189346"</f>
        <v>66298791189346</v>
      </c>
      <c r="D10149" s="1" t="str">
        <f>"400160"</f>
        <v>400160</v>
      </c>
      <c r="E10149" s="1" t="s">
        <v>4579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</row>
    <row r="10150" spans="1:11" ht="30" x14ac:dyDescent="0.2">
      <c r="A10150" s="1" t="s">
        <v>141</v>
      </c>
      <c r="B10150" s="1" t="s">
        <v>166</v>
      </c>
      <c r="C10150" s="1" t="str">
        <f>"66298791232937"</f>
        <v>66298791232937</v>
      </c>
      <c r="D10150" s="1" t="str">
        <f>"12496NACP"</f>
        <v>12496NACP</v>
      </c>
      <c r="E10150" s="1" t="s">
        <v>4579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</row>
    <row r="10151" spans="1:11" x14ac:dyDescent="0.2">
      <c r="A10151" s="1" t="s">
        <v>141</v>
      </c>
      <c r="B10151" s="1" t="s">
        <v>167</v>
      </c>
      <c r="C10151" s="1" t="str">
        <f>"66298791273388"</f>
        <v>66298791273388</v>
      </c>
      <c r="D10151" s="1" t="str">
        <f>"AMP-T13"</f>
        <v>AMP-T13</v>
      </c>
      <c r="E10151" s="1" t="s">
        <v>4579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</row>
    <row r="10152" spans="1:11" x14ac:dyDescent="0.2">
      <c r="A10152" s="1" t="s">
        <v>141</v>
      </c>
      <c r="B10152" s="1" t="s">
        <v>168</v>
      </c>
      <c r="C10152" s="1" t="str">
        <f>"66298791313891"</f>
        <v>66298791313891</v>
      </c>
      <c r="D10152" s="1" t="str">
        <f>"VF027"</f>
        <v>VF027</v>
      </c>
      <c r="E10152" s="1" t="s">
        <v>4579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</row>
    <row r="10153" spans="1:11" x14ac:dyDescent="0.2">
      <c r="A10153" s="1" t="s">
        <v>141</v>
      </c>
      <c r="B10153" s="1" t="s">
        <v>169</v>
      </c>
      <c r="C10153" s="1" t="str">
        <f>"66298791356474"</f>
        <v>66298791356474</v>
      </c>
      <c r="D10153" s="1" t="str">
        <f>"504"</f>
        <v>504</v>
      </c>
      <c r="E10153" s="1" t="s">
        <v>4579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</row>
    <row r="10154" spans="1:11" x14ac:dyDescent="0.2">
      <c r="A10154" s="1" t="s">
        <v>141</v>
      </c>
      <c r="B10154" s="1" t="s">
        <v>170</v>
      </c>
      <c r="C10154" s="1" t="str">
        <f>"66298791397313"</f>
        <v>66298791397313</v>
      </c>
      <c r="D10154" s="1" t="str">
        <f>"L10AF"</f>
        <v>L10AF</v>
      </c>
      <c r="E10154" s="1" t="s">
        <v>4579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</row>
    <row r="10155" spans="1:11" x14ac:dyDescent="0.2">
      <c r="A10155" s="1" t="s">
        <v>141</v>
      </c>
      <c r="B10155" s="1" t="s">
        <v>171</v>
      </c>
      <c r="C10155" s="1" t="str">
        <f>"66298791437612"</f>
        <v>66298791437612</v>
      </c>
      <c r="D10155" s="1" t="str">
        <f>"L10R"</f>
        <v>L10R</v>
      </c>
      <c r="E10155" s="1" t="s">
        <v>4579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</row>
    <row r="10156" spans="1:11" x14ac:dyDescent="0.2">
      <c r="A10156" s="1" t="s">
        <v>141</v>
      </c>
      <c r="B10156" s="1" t="s">
        <v>172</v>
      </c>
      <c r="C10156" s="1" t="str">
        <f>"66298791486656"</f>
        <v>66298791486656</v>
      </c>
      <c r="D10156" s="1" t="str">
        <f>"L0103B"</f>
        <v>L0103B</v>
      </c>
      <c r="E10156" s="1" t="s">
        <v>4579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</row>
    <row r="10157" spans="1:11" ht="30" x14ac:dyDescent="0.2">
      <c r="A10157" s="1" t="s">
        <v>141</v>
      </c>
      <c r="B10157" s="1" t="s">
        <v>173</v>
      </c>
      <c r="C10157" s="1" t="str">
        <f>"66298791589185"</f>
        <v>66298791589185</v>
      </c>
      <c r="D10157" s="1" t="str">
        <f>"12499CP"</f>
        <v>12499CP</v>
      </c>
      <c r="E10157" s="1" t="s">
        <v>4579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</row>
    <row r="10158" spans="1:11" x14ac:dyDescent="0.2">
      <c r="A10158" s="1" t="s">
        <v>141</v>
      </c>
      <c r="B10158" s="1" t="s">
        <v>174</v>
      </c>
      <c r="C10158" s="1" t="str">
        <f>"66298791633549"</f>
        <v>66298791633549</v>
      </c>
      <c r="D10158" s="1" t="str">
        <f>"400165"</f>
        <v>400165</v>
      </c>
      <c r="E10158" s="1" t="s">
        <v>4579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</row>
    <row r="10159" spans="1:11" x14ac:dyDescent="0.2">
      <c r="A10159" s="1" t="s">
        <v>141</v>
      </c>
      <c r="B10159" s="1" t="s">
        <v>175</v>
      </c>
      <c r="C10159" s="1" t="str">
        <f>"66298791673488"</f>
        <v>66298791673488</v>
      </c>
      <c r="D10159" s="1" t="str">
        <f>"8134R"</f>
        <v>8134R</v>
      </c>
      <c r="E10159" s="1" t="s">
        <v>4579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</row>
    <row r="10160" spans="1:11" x14ac:dyDescent="0.2">
      <c r="A10160" s="1" t="s">
        <v>141</v>
      </c>
      <c r="B10160" s="1" t="s">
        <v>176</v>
      </c>
      <c r="C10160" s="1" t="str">
        <f>"66298791529843"</f>
        <v>66298791529843</v>
      </c>
      <c r="D10160" s="1" t="str">
        <f>"8134"</f>
        <v>8134</v>
      </c>
      <c r="E10160" s="1" t="s">
        <v>4579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</row>
    <row r="10161" spans="1:11" x14ac:dyDescent="0.2">
      <c r="A10161" s="1" t="s">
        <v>141</v>
      </c>
      <c r="B10161" s="1" t="s">
        <v>176</v>
      </c>
      <c r="C10161" s="1" t="str">
        <f>"66298791535267"</f>
        <v>66298791535267</v>
      </c>
      <c r="D10161" s="1" t="str">
        <f>"8134F"</f>
        <v>8134F</v>
      </c>
      <c r="E10161" s="1" t="s">
        <v>4579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</row>
    <row r="10162" spans="1:11" x14ac:dyDescent="0.2">
      <c r="A10162" s="1" t="s">
        <v>141</v>
      </c>
      <c r="B10162" s="1" t="s">
        <v>177</v>
      </c>
      <c r="C10162" s="1" t="str">
        <f>"66298791714436"</f>
        <v>66298791714436</v>
      </c>
      <c r="D10162" s="1" t="str">
        <f>"0238"</f>
        <v>0238</v>
      </c>
      <c r="E10162" s="1" t="s">
        <v>4579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</row>
    <row r="10163" spans="1:11" x14ac:dyDescent="0.2">
      <c r="A10163" s="1" t="s">
        <v>141</v>
      </c>
      <c r="B10163" s="1" t="s">
        <v>178</v>
      </c>
      <c r="C10163" s="1" t="str">
        <f>"66298791758169"</f>
        <v>66298791758169</v>
      </c>
      <c r="D10163" s="1" t="str">
        <f>"515152"</f>
        <v>515152</v>
      </c>
      <c r="E10163" s="1" t="s">
        <v>4579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</row>
    <row r="10164" spans="1:11" x14ac:dyDescent="0.2">
      <c r="A10164" s="1" t="s">
        <v>141</v>
      </c>
      <c r="B10164" s="1" t="s">
        <v>179</v>
      </c>
      <c r="C10164" s="1" t="str">
        <f>"66298791800422"</f>
        <v>66298791800422</v>
      </c>
      <c r="D10164" s="1" t="str">
        <f>"400577"</f>
        <v>400577</v>
      </c>
      <c r="E10164" s="1" t="s">
        <v>4579</v>
      </c>
      <c r="F10164" s="1">
        <v>4</v>
      </c>
      <c r="G10164" s="1">
        <v>1436</v>
      </c>
      <c r="H10164" s="1">
        <v>5744</v>
      </c>
      <c r="I10164" s="1">
        <v>0</v>
      </c>
      <c r="J10164" s="1">
        <v>4</v>
      </c>
      <c r="K10164" s="1">
        <v>0</v>
      </c>
    </row>
    <row r="10165" spans="1:11" ht="30" x14ac:dyDescent="0.2">
      <c r="A10165" s="1" t="s">
        <v>141</v>
      </c>
      <c r="B10165" s="1" t="s">
        <v>180</v>
      </c>
      <c r="C10165" s="1" t="str">
        <f>"66298791838956"</f>
        <v>66298791838956</v>
      </c>
      <c r="D10165" s="1" t="str">
        <f>"400578"</f>
        <v>400578</v>
      </c>
      <c r="E10165" s="1" t="s">
        <v>4579</v>
      </c>
      <c r="F10165" s="1">
        <v>4</v>
      </c>
      <c r="G10165" s="1">
        <v>1437</v>
      </c>
      <c r="H10165" s="1">
        <v>5748</v>
      </c>
      <c r="I10165" s="1">
        <v>0</v>
      </c>
      <c r="J10165" s="1">
        <v>4</v>
      </c>
      <c r="K10165" s="1">
        <v>0</v>
      </c>
    </row>
    <row r="10166" spans="1:11" x14ac:dyDescent="0.2">
      <c r="A10166" s="1" t="s">
        <v>141</v>
      </c>
      <c r="B10166" s="1" t="s">
        <v>181</v>
      </c>
      <c r="C10166" s="1" t="str">
        <f>"135024"</f>
        <v>135024</v>
      </c>
      <c r="D10166" s="1" t="str">
        <f>"135024"</f>
        <v>135024</v>
      </c>
      <c r="E10166" s="1" t="s">
        <v>4579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</row>
    <row r="10167" spans="1:11" x14ac:dyDescent="0.2">
      <c r="A10167" s="1" t="s">
        <v>141</v>
      </c>
      <c r="B10167" s="1" t="s">
        <v>182</v>
      </c>
      <c r="C10167" s="1" t="str">
        <f>"128677"</f>
        <v>128677</v>
      </c>
      <c r="D10167" s="1" t="str">
        <f>"128677"</f>
        <v>128677</v>
      </c>
      <c r="E10167" s="1" t="s">
        <v>4579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</row>
    <row r="10168" spans="1:11" x14ac:dyDescent="0.2">
      <c r="A10168" s="1" t="s">
        <v>183</v>
      </c>
      <c r="B10168" s="1" t="s">
        <v>184</v>
      </c>
      <c r="C10168" s="1" t="str">
        <f>"51028-STD"</f>
        <v>51028-STD</v>
      </c>
      <c r="D10168" s="1" t="str">
        <f>"51028-STD"</f>
        <v>51028-STD</v>
      </c>
      <c r="E10168" s="1" t="s">
        <v>4579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</row>
    <row r="10169" spans="1:11" x14ac:dyDescent="0.2">
      <c r="A10169" s="1" t="s">
        <v>183</v>
      </c>
      <c r="B10169" s="1" t="s">
        <v>185</v>
      </c>
      <c r="C10169" s="1" t="str">
        <f>"66298791880282"</f>
        <v>66298791880282</v>
      </c>
      <c r="D10169" s="1" t="str">
        <f>"12140-19B10-SJP"</f>
        <v>12140-19B10-SJP</v>
      </c>
      <c r="E10169" s="1" t="s">
        <v>4579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</row>
    <row r="10170" spans="1:11" x14ac:dyDescent="0.2">
      <c r="A10170" s="1" t="s">
        <v>183</v>
      </c>
      <c r="B10170" s="1" t="s">
        <v>186</v>
      </c>
      <c r="C10170" s="1" t="str">
        <f>"66298791926684"</f>
        <v>66298791926684</v>
      </c>
      <c r="D10170" s="1" t="str">
        <f>"12140H3E000H000"</f>
        <v>12140H3E000H000</v>
      </c>
      <c r="E10170" s="1" t="s">
        <v>4579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</row>
    <row r="10171" spans="1:11" x14ac:dyDescent="0.2">
      <c r="A10171" s="1" t="s">
        <v>183</v>
      </c>
      <c r="B10171" s="1" t="s">
        <v>187</v>
      </c>
      <c r="C10171" s="1" t="str">
        <f>"66298791971324"</f>
        <v>66298791971324</v>
      </c>
      <c r="D10171" s="1" t="str">
        <f>"13011-KVC-890JP"</f>
        <v>13011-KVC-890JP</v>
      </c>
      <c r="E10171" s="1" t="s">
        <v>4579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</row>
    <row r="10172" spans="1:11" x14ac:dyDescent="0.2">
      <c r="A10172" s="1" t="s">
        <v>183</v>
      </c>
      <c r="B10172" s="1" t="s">
        <v>188</v>
      </c>
      <c r="C10172" s="1" t="str">
        <f>"66298792011649"</f>
        <v>66298792011649</v>
      </c>
      <c r="D10172" s="1" t="str">
        <f>"13013-KT1-306JP"</f>
        <v>13013-KT1-306JP</v>
      </c>
      <c r="E10172" s="1" t="s">
        <v>4579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</row>
    <row r="10173" spans="1:11" x14ac:dyDescent="0.2">
      <c r="A10173" s="1" t="s">
        <v>183</v>
      </c>
      <c r="B10173" s="1" t="s">
        <v>189</v>
      </c>
      <c r="C10173" s="1" t="str">
        <f>"66298792049420"</f>
        <v>66298792049420</v>
      </c>
      <c r="D10173" s="1" t="str">
        <f>"13015-KT1-306JP"</f>
        <v>13015-KT1-306JP</v>
      </c>
      <c r="E10173" s="1" t="s">
        <v>4579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</row>
    <row r="10174" spans="1:11" x14ac:dyDescent="0.2">
      <c r="A10174" s="1" t="s">
        <v>183</v>
      </c>
      <c r="B10174" s="1" t="s">
        <v>190</v>
      </c>
      <c r="C10174" s="1" t="str">
        <f>"66298792093046"</f>
        <v>66298792093046</v>
      </c>
      <c r="D10174" s="1" t="str">
        <f>"13011-MN1-305JP"</f>
        <v>13011-MN1-305JP</v>
      </c>
      <c r="E10174" s="1" t="s">
        <v>4579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</row>
    <row r="10175" spans="1:11" x14ac:dyDescent="0.2">
      <c r="A10175" s="1" t="s">
        <v>18</v>
      </c>
      <c r="B10175" s="1" t="s">
        <v>191</v>
      </c>
      <c r="C10175" s="1" t="str">
        <f>"R045"</f>
        <v>R045</v>
      </c>
      <c r="D10175" s="1" t="str">
        <f>"R045"</f>
        <v>R045</v>
      </c>
      <c r="E10175" s="1" t="s">
        <v>4579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</row>
    <row r="10176" spans="1:11" x14ac:dyDescent="0.2">
      <c r="A10176" s="1" t="s">
        <v>18</v>
      </c>
      <c r="B10176" s="1" t="s">
        <v>192</v>
      </c>
      <c r="C10176" s="1" t="str">
        <f>"R045-A"</f>
        <v>R045-A</v>
      </c>
      <c r="D10176" s="1" t="str">
        <f>"R045-A"</f>
        <v>R045-A</v>
      </c>
      <c r="E10176" s="1" t="s">
        <v>4579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</row>
    <row r="10177" spans="1:11" x14ac:dyDescent="0.2">
      <c r="A10177" s="1" t="s">
        <v>18</v>
      </c>
      <c r="B10177" s="1" t="s">
        <v>193</v>
      </c>
      <c r="C10177" s="1" t="str">
        <f>"2319"</f>
        <v>2319</v>
      </c>
      <c r="D10177" s="1" t="str">
        <f>"2319"</f>
        <v>2319</v>
      </c>
      <c r="E10177" s="1" t="s">
        <v>4579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</row>
    <row r="10178" spans="1:11" x14ac:dyDescent="0.2">
      <c r="A10178" s="1" t="s">
        <v>18</v>
      </c>
      <c r="B10178" s="1" t="s">
        <v>194</v>
      </c>
      <c r="C10178" s="1" t="str">
        <f>"WF034"</f>
        <v>WF034</v>
      </c>
      <c r="D10178" s="1" t="str">
        <f>"WF034"</f>
        <v>WF034</v>
      </c>
      <c r="E10178" s="1" t="s">
        <v>4579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</row>
    <row r="10179" spans="1:11" x14ac:dyDescent="0.2">
      <c r="A10179" s="1" t="s">
        <v>18</v>
      </c>
      <c r="B10179" s="1" t="s">
        <v>194</v>
      </c>
      <c r="C10179" s="1" t="str">
        <f>"WF038"</f>
        <v>WF038</v>
      </c>
      <c r="D10179" s="1" t="str">
        <f>"WF038"</f>
        <v>WF038</v>
      </c>
      <c r="E10179" s="1" t="s">
        <v>4579</v>
      </c>
      <c r="F10179" s="1">
        <v>2</v>
      </c>
      <c r="G10179" s="1">
        <v>5856</v>
      </c>
      <c r="H10179" s="1">
        <v>11712</v>
      </c>
      <c r="I10179" s="1">
        <v>0</v>
      </c>
      <c r="J10179" s="1">
        <v>2</v>
      </c>
      <c r="K10179" s="1">
        <v>0</v>
      </c>
    </row>
    <row r="10180" spans="1:11" x14ac:dyDescent="0.2">
      <c r="A10180" s="1" t="s">
        <v>195</v>
      </c>
      <c r="B10180" s="1" t="s">
        <v>196</v>
      </c>
      <c r="C10180" s="1" t="str">
        <f>"BK010"</f>
        <v>BK010</v>
      </c>
      <c r="D10180" s="1" t="str">
        <f>"BK010"</f>
        <v>BK010</v>
      </c>
      <c r="E10180" s="1" t="s">
        <v>4579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</row>
    <row r="10181" spans="1:11" x14ac:dyDescent="0.2">
      <c r="A10181" s="1" t="s">
        <v>195</v>
      </c>
      <c r="B10181" s="1" t="s">
        <v>197</v>
      </c>
      <c r="C10181" s="1" t="str">
        <f>"BK082"</f>
        <v>BK082</v>
      </c>
      <c r="D10181" s="1" t="str">
        <f>"BK082"</f>
        <v>BK082</v>
      </c>
      <c r="E10181" s="1" t="s">
        <v>4579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</row>
    <row r="10182" spans="1:11" x14ac:dyDescent="0.2">
      <c r="A10182" s="1" t="s">
        <v>198</v>
      </c>
      <c r="B10182" s="1" t="s">
        <v>199</v>
      </c>
      <c r="C10182" s="1" t="str">
        <f>"66298792174431"</f>
        <v>66298792174431</v>
      </c>
      <c r="D10182" s="1" t="str">
        <f>"82044"</f>
        <v>82044</v>
      </c>
      <c r="E10182" s="1" t="s">
        <v>4579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</row>
    <row r="10183" spans="1:11" x14ac:dyDescent="0.2">
      <c r="A10183" s="1" t="s">
        <v>198</v>
      </c>
      <c r="B10183" s="1" t="s">
        <v>200</v>
      </c>
      <c r="C10183" s="1" t="str">
        <f>"66298792218736"</f>
        <v>66298792218736</v>
      </c>
      <c r="D10183" s="1" t="str">
        <f>"82045"</f>
        <v>82045</v>
      </c>
      <c r="E10183" s="1" t="s">
        <v>4579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</row>
    <row r="10184" spans="1:11" x14ac:dyDescent="0.2">
      <c r="A10184" s="1" t="s">
        <v>198</v>
      </c>
      <c r="B10184" s="1" t="s">
        <v>201</v>
      </c>
      <c r="C10184" s="1" t="str">
        <f>"66298792261874"</f>
        <v>66298792261874</v>
      </c>
      <c r="D10184" s="1" t="str">
        <f>"82040"</f>
        <v>82040</v>
      </c>
      <c r="E10184" s="1" t="s">
        <v>4579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</row>
    <row r="10185" spans="1:11" x14ac:dyDescent="0.2">
      <c r="A10185" s="1" t="s">
        <v>198</v>
      </c>
      <c r="B10185" s="1" t="s">
        <v>202</v>
      </c>
      <c r="C10185" s="1" t="str">
        <f>"66298792302619"</f>
        <v>66298792302619</v>
      </c>
      <c r="D10185" s="1" t="str">
        <f>"82041"</f>
        <v>82041</v>
      </c>
      <c r="E10185" s="1" t="s">
        <v>4579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</row>
    <row r="10186" spans="1:11" x14ac:dyDescent="0.2">
      <c r="A10186" s="1" t="s">
        <v>198</v>
      </c>
      <c r="B10186" s="1" t="s">
        <v>203</v>
      </c>
      <c r="C10186" s="1" t="str">
        <f>"66298792343614"</f>
        <v>66298792343614</v>
      </c>
      <c r="D10186" s="1" t="str">
        <f>"82042"</f>
        <v>82042</v>
      </c>
      <c r="E10186" s="1" t="s">
        <v>4579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</row>
    <row r="10187" spans="1:11" x14ac:dyDescent="0.2">
      <c r="A10187" s="1" t="s">
        <v>204</v>
      </c>
      <c r="B10187" s="1" t="s">
        <v>205</v>
      </c>
      <c r="C10187" s="1" t="str">
        <f>"66298792387580"</f>
        <v>66298792387580</v>
      </c>
      <c r="D10187" s="1" t="str">
        <f>"PP-30105-022JP"</f>
        <v>PP-30105-022JP</v>
      </c>
      <c r="E10187" s="1" t="s">
        <v>4579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</row>
    <row r="10188" spans="1:11" x14ac:dyDescent="0.2">
      <c r="A10188" s="1" t="s">
        <v>204</v>
      </c>
      <c r="B10188" s="1" t="s">
        <v>206</v>
      </c>
      <c r="C10188" s="1" t="str">
        <f>"66298792429596"</f>
        <v>66298792429596</v>
      </c>
      <c r="D10188" s="1" t="str">
        <f>"14431-397-310"</f>
        <v>14431-397-310</v>
      </c>
      <c r="E10188" s="1" t="s">
        <v>4579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</row>
    <row r="10189" spans="1:11" x14ac:dyDescent="0.2">
      <c r="A10189" s="1" t="s">
        <v>204</v>
      </c>
      <c r="B10189" s="1" t="s">
        <v>207</v>
      </c>
      <c r="C10189" s="1" t="str">
        <f>"66298792464425"</f>
        <v>66298792464425</v>
      </c>
      <c r="D10189" s="1" t="str">
        <f>"12850-25C00JP"</f>
        <v>12850-25C00JP</v>
      </c>
      <c r="E10189" s="1" t="s">
        <v>4579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</row>
    <row r="10190" spans="1:11" ht="30" x14ac:dyDescent="0.2">
      <c r="A10190" s="1" t="s">
        <v>204</v>
      </c>
      <c r="B10190" s="1" t="s">
        <v>208</v>
      </c>
      <c r="C10190" s="1" t="str">
        <f>"66298792505817"</f>
        <v>66298792505817</v>
      </c>
      <c r="D10190" s="1" t="str">
        <f>"12840-20G20JP"</f>
        <v>12840-20G20JP</v>
      </c>
      <c r="E10190" s="1" t="s">
        <v>4579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</row>
    <row r="10191" spans="1:11" x14ac:dyDescent="0.2">
      <c r="A10191" s="1" t="s">
        <v>204</v>
      </c>
      <c r="B10191" s="1" t="s">
        <v>209</v>
      </c>
      <c r="C10191" s="1" t="str">
        <f>"66298792550046"</f>
        <v>66298792550046</v>
      </c>
      <c r="D10191" s="1" t="str">
        <f>"21C-E2151-00JP"</f>
        <v>21C-E2151-00JP</v>
      </c>
      <c r="E10191" s="1" t="s">
        <v>4579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</row>
    <row r="10192" spans="1:11" x14ac:dyDescent="0.2">
      <c r="A10192" s="1" t="s">
        <v>204</v>
      </c>
      <c r="B10192" s="1" t="s">
        <v>210</v>
      </c>
      <c r="C10192" s="1" t="str">
        <f>"66298792588913"</f>
        <v>66298792588913</v>
      </c>
      <c r="D10192" s="1" t="str">
        <f>"JD-5112-07"</f>
        <v>JD-5112-07</v>
      </c>
      <c r="E10192" s="1" t="s">
        <v>4579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</row>
    <row r="10193" spans="1:11" x14ac:dyDescent="0.2">
      <c r="A10193" s="1" t="s">
        <v>204</v>
      </c>
      <c r="B10193" s="1" t="s">
        <v>211</v>
      </c>
      <c r="C10193" s="1" t="str">
        <f>"66298792626092"</f>
        <v>66298792626092</v>
      </c>
      <c r="D10193" s="1" t="str">
        <f>"DS-1013-33"</f>
        <v>DS-1013-33</v>
      </c>
      <c r="E10193" s="1" t="s">
        <v>4579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</row>
    <row r="10194" spans="1:11" x14ac:dyDescent="0.2">
      <c r="A10194" s="1" t="s">
        <v>204</v>
      </c>
      <c r="B10194" s="1" t="s">
        <v>212</v>
      </c>
      <c r="C10194" s="1" t="str">
        <f>"66298792663953"</f>
        <v>66298792663953</v>
      </c>
      <c r="D10194" s="1" t="str">
        <f>"14431-KVC-900JP"</f>
        <v>14431-KVC-900JP</v>
      </c>
      <c r="E10194" s="1" t="s">
        <v>4579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</row>
    <row r="10195" spans="1:11" x14ac:dyDescent="0.2">
      <c r="A10195" s="1" t="s">
        <v>204</v>
      </c>
      <c r="B10195" s="1" t="s">
        <v>213</v>
      </c>
      <c r="C10195" s="1" t="str">
        <f>"66298792707258"</f>
        <v>66298792707258</v>
      </c>
      <c r="D10195" s="1" t="str">
        <f>"5D9-E2151-00JP"</f>
        <v>5D9-E2151-00JP</v>
      </c>
      <c r="E10195" s="1" t="s">
        <v>4579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</row>
    <row r="10196" spans="1:11" x14ac:dyDescent="0.2">
      <c r="A10196" s="1" t="s">
        <v>204</v>
      </c>
      <c r="B10196" s="1" t="s">
        <v>214</v>
      </c>
      <c r="C10196" s="1" t="str">
        <f>"66298792748292"</f>
        <v>66298792748292</v>
      </c>
      <c r="D10196" s="1" t="str">
        <f>"14431-383-000JP"</f>
        <v>14431-383-000JP</v>
      </c>
      <c r="E10196" s="1" t="s">
        <v>4579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</row>
    <row r="10197" spans="1:11" x14ac:dyDescent="0.2">
      <c r="A10197" s="1" t="s">
        <v>204</v>
      </c>
      <c r="B10197" s="1" t="s">
        <v>215</v>
      </c>
      <c r="C10197" s="1" t="str">
        <f>"66298792784535"</f>
        <v>66298792784535</v>
      </c>
      <c r="D10197" s="1" t="str">
        <f>"29U-12151-00JP"</f>
        <v>29U-12151-00JP</v>
      </c>
      <c r="E10197" s="1" t="s">
        <v>4579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</row>
    <row r="10198" spans="1:11" x14ac:dyDescent="0.2">
      <c r="A10198" s="1" t="s">
        <v>204</v>
      </c>
      <c r="B10198" s="1" t="s">
        <v>216</v>
      </c>
      <c r="C10198" s="1" t="str">
        <f>"66298792824285"</f>
        <v>66298792824285</v>
      </c>
      <c r="D10198" s="1" t="str">
        <f>"5YY-E2151-00JP"</f>
        <v>5YY-E2151-00JP</v>
      </c>
      <c r="E10198" s="1" t="s">
        <v>4579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</row>
    <row r="10199" spans="1:11" x14ac:dyDescent="0.2">
      <c r="A10199" s="1" t="s">
        <v>204</v>
      </c>
      <c r="B10199" s="1" t="s">
        <v>217</v>
      </c>
      <c r="C10199" s="1" t="str">
        <f>"66298792866188"</f>
        <v>66298792866188</v>
      </c>
      <c r="D10199" s="1" t="str">
        <f>"14441-KR0-000"</f>
        <v>14441-KR0-000</v>
      </c>
      <c r="E10199" s="1" t="s">
        <v>4579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</row>
    <row r="10200" spans="1:11" ht="30" x14ac:dyDescent="0.2">
      <c r="A10200" s="1" t="s">
        <v>204</v>
      </c>
      <c r="B10200" s="1" t="s">
        <v>218</v>
      </c>
      <c r="C10200" s="1" t="str">
        <f>"66298792909139"</f>
        <v>66298792909139</v>
      </c>
      <c r="D10200" s="1" t="str">
        <f>"400972"</f>
        <v>400972</v>
      </c>
      <c r="E10200" s="1" t="s">
        <v>4579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</row>
    <row r="10201" spans="1:11" x14ac:dyDescent="0.2">
      <c r="A10201" s="1" t="s">
        <v>204</v>
      </c>
      <c r="B10201" s="1" t="s">
        <v>219</v>
      </c>
      <c r="C10201" s="1" t="str">
        <f>"66298792946951"</f>
        <v>66298792946951</v>
      </c>
      <c r="D10201" s="1" t="str">
        <f>"EVO-30105-022JP"</f>
        <v>EVO-30105-022JP</v>
      </c>
      <c r="E10201" s="1" t="s">
        <v>4579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</row>
    <row r="10202" spans="1:11" x14ac:dyDescent="0.2">
      <c r="A10202" s="1" t="s">
        <v>204</v>
      </c>
      <c r="B10202" s="1" t="s">
        <v>219</v>
      </c>
      <c r="C10202" s="1" t="str">
        <f>"DE029"</f>
        <v>DE029</v>
      </c>
      <c r="D10202" s="1" t="str">
        <f>"DE029"</f>
        <v>DE029</v>
      </c>
      <c r="E10202" s="1" t="s">
        <v>4579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</row>
    <row r="10203" spans="1:11" ht="30" x14ac:dyDescent="0.2">
      <c r="A10203" s="1" t="s">
        <v>204</v>
      </c>
      <c r="B10203" s="1" t="s">
        <v>220</v>
      </c>
      <c r="C10203" s="1" t="str">
        <f>"66298792984030"</f>
        <v>66298792984030</v>
      </c>
      <c r="D10203" s="1" t="str">
        <f>"400973"</f>
        <v>400973</v>
      </c>
      <c r="E10203" s="1" t="s">
        <v>4579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</row>
    <row r="10204" spans="1:11" x14ac:dyDescent="0.2">
      <c r="A10204" s="1" t="s">
        <v>204</v>
      </c>
      <c r="B10204" s="1" t="s">
        <v>221</v>
      </c>
      <c r="C10204" s="1" t="str">
        <f>"66298793023787"</f>
        <v>66298793023787</v>
      </c>
      <c r="D10204" s="1" t="str">
        <f>"12840-25C00JP"</f>
        <v>12840-25C00JP</v>
      </c>
      <c r="E10204" s="1" t="s">
        <v>4579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</row>
    <row r="10205" spans="1:11" x14ac:dyDescent="0.2">
      <c r="A10205" s="1" t="s">
        <v>204</v>
      </c>
      <c r="B10205" s="1" t="s">
        <v>222</v>
      </c>
      <c r="C10205" s="1" t="str">
        <f>"66298793065656"</f>
        <v>66298793065656</v>
      </c>
      <c r="D10205" s="1" t="str">
        <f>"400958"</f>
        <v>400958</v>
      </c>
      <c r="E10205" s="1" t="s">
        <v>4579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</row>
    <row r="10206" spans="1:11" x14ac:dyDescent="0.2">
      <c r="A10206" s="1" t="s">
        <v>204</v>
      </c>
      <c r="B10206" s="1" t="s">
        <v>223</v>
      </c>
      <c r="C10206" s="1" t="str">
        <f>"66298793151609"</f>
        <v>66298793151609</v>
      </c>
      <c r="D10206" s="1" t="str">
        <f>"400960"</f>
        <v>400960</v>
      </c>
      <c r="E10206" s="1" t="s">
        <v>4579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</row>
    <row r="10207" spans="1:11" ht="30" x14ac:dyDescent="0.2">
      <c r="A10207" s="1" t="s">
        <v>204</v>
      </c>
      <c r="B10207" s="1" t="s">
        <v>224</v>
      </c>
      <c r="C10207" s="1" t="str">
        <f>"66298793106096"</f>
        <v>66298793106096</v>
      </c>
      <c r="D10207" s="1" t="str">
        <f>"400961"</f>
        <v>400961</v>
      </c>
      <c r="E10207" s="1" t="s">
        <v>4579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</row>
    <row r="10208" spans="1:11" ht="30" x14ac:dyDescent="0.2">
      <c r="A10208" s="1" t="s">
        <v>204</v>
      </c>
      <c r="B10208" s="1" t="s">
        <v>225</v>
      </c>
      <c r="C10208" s="1" t="str">
        <f>"66298793191112"</f>
        <v>66298793191112</v>
      </c>
      <c r="D10208" s="1" t="str">
        <f>"400962"</f>
        <v>400962</v>
      </c>
      <c r="E10208" s="1" t="s">
        <v>4579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</row>
    <row r="10209" spans="1:11" x14ac:dyDescent="0.2">
      <c r="A10209" s="1" t="s">
        <v>204</v>
      </c>
      <c r="B10209" s="1" t="s">
        <v>226</v>
      </c>
      <c r="C10209" s="1" t="str">
        <f>"66298793235544"</f>
        <v>66298793235544</v>
      </c>
      <c r="D10209" s="1" t="str">
        <f>"14431-035-020JP"</f>
        <v>14431-035-020JP</v>
      </c>
      <c r="E10209" s="1" t="s">
        <v>4579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</row>
    <row r="10210" spans="1:11" ht="30" x14ac:dyDescent="0.2">
      <c r="A10210" s="1" t="s">
        <v>204</v>
      </c>
      <c r="B10210" s="1" t="s">
        <v>227</v>
      </c>
      <c r="C10210" s="1" t="str">
        <f>"66298793272731"</f>
        <v>66298793272731</v>
      </c>
      <c r="D10210" s="1" t="str">
        <f>"401049"</f>
        <v>401049</v>
      </c>
      <c r="E10210" s="1" t="s">
        <v>4579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</row>
    <row r="10211" spans="1:11" x14ac:dyDescent="0.2">
      <c r="A10211" s="1" t="s">
        <v>204</v>
      </c>
      <c r="B10211" s="1" t="s">
        <v>228</v>
      </c>
      <c r="C10211" s="1" t="str">
        <f>"66298793312333"</f>
        <v>66298793312333</v>
      </c>
      <c r="D10211" s="1" t="str">
        <f>"400964"</f>
        <v>400964</v>
      </c>
      <c r="E10211" s="1" t="s">
        <v>4579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</row>
    <row r="10212" spans="1:11" x14ac:dyDescent="0.2">
      <c r="A10212" s="1" t="s">
        <v>204</v>
      </c>
      <c r="B10212" s="1" t="s">
        <v>229</v>
      </c>
      <c r="C10212" s="1" t="str">
        <f>"66298793356420"</f>
        <v>66298793356420</v>
      </c>
      <c r="D10212" s="1" t="str">
        <f>"400965"</f>
        <v>400965</v>
      </c>
      <c r="E10212" s="1" t="s">
        <v>4579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</row>
    <row r="10213" spans="1:11" x14ac:dyDescent="0.2">
      <c r="A10213" s="1" t="s">
        <v>204</v>
      </c>
      <c r="B10213" s="1" t="s">
        <v>230</v>
      </c>
      <c r="C10213" s="1" t="str">
        <f>"66298793395124"</f>
        <v>66298793395124</v>
      </c>
      <c r="D10213" s="1" t="str">
        <f>"400970"</f>
        <v>400970</v>
      </c>
      <c r="E10213" s="1" t="s">
        <v>4579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</row>
    <row r="10214" spans="1:11" x14ac:dyDescent="0.2">
      <c r="A10214" s="1" t="s">
        <v>204</v>
      </c>
      <c r="B10214" s="1" t="s">
        <v>231</v>
      </c>
      <c r="C10214" s="1" t="str">
        <f>"66298793432571"</f>
        <v>66298793432571</v>
      </c>
      <c r="D10214" s="1" t="str">
        <f>"400101"</f>
        <v>400101</v>
      </c>
      <c r="E10214" s="1" t="s">
        <v>4579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</row>
    <row r="10215" spans="1:11" x14ac:dyDescent="0.2">
      <c r="A10215" s="1" t="s">
        <v>204</v>
      </c>
      <c r="B10215" s="1" t="s">
        <v>232</v>
      </c>
      <c r="C10215" s="1" t="str">
        <f>"66298793477567"</f>
        <v>66298793477567</v>
      </c>
      <c r="D10215" s="1" t="str">
        <f>"400963"</f>
        <v>400963</v>
      </c>
      <c r="E10215" s="1" t="s">
        <v>4579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</row>
    <row r="10216" spans="1:11" x14ac:dyDescent="0.2">
      <c r="A10216" s="1" t="s">
        <v>204</v>
      </c>
      <c r="B10216" s="1" t="s">
        <v>233</v>
      </c>
      <c r="C10216" s="1" t="str">
        <f>"66298793524551"</f>
        <v>66298793524551</v>
      </c>
      <c r="D10216" s="1" t="str">
        <f>"400103"</f>
        <v>400103</v>
      </c>
      <c r="E10216" s="1" t="s">
        <v>4579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</row>
    <row r="10217" spans="1:11" x14ac:dyDescent="0.2">
      <c r="A10217" s="1" t="s">
        <v>204</v>
      </c>
      <c r="B10217" s="1" t="s">
        <v>234</v>
      </c>
      <c r="C10217" s="1" t="str">
        <f>"66298793568403"</f>
        <v>66298793568403</v>
      </c>
      <c r="D10217" s="1" t="str">
        <f>"14431/41-397-310"</f>
        <v>14431/41-397-310</v>
      </c>
      <c r="E10217" s="1" t="s">
        <v>4579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</row>
    <row r="10218" spans="1:11" x14ac:dyDescent="0.2">
      <c r="A10218" s="1" t="s">
        <v>204</v>
      </c>
      <c r="B10218" s="1" t="s">
        <v>235</v>
      </c>
      <c r="C10218" s="1" t="str">
        <f>"66298793608940"</f>
        <v>66298793608940</v>
      </c>
      <c r="D10218" s="1" t="str">
        <f>"400967"</f>
        <v>400967</v>
      </c>
      <c r="E10218" s="1" t="s">
        <v>4579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</row>
    <row r="10219" spans="1:11" ht="30" x14ac:dyDescent="0.2">
      <c r="A10219" s="1" t="s">
        <v>204</v>
      </c>
      <c r="B10219" s="1" t="s">
        <v>236</v>
      </c>
      <c r="C10219" s="1" t="str">
        <f>"66298793649754"</f>
        <v>66298793649754</v>
      </c>
      <c r="D10219" s="1" t="str">
        <f>"DE007"</f>
        <v>DE007</v>
      </c>
      <c r="E10219" s="1" t="s">
        <v>4579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</row>
    <row r="10220" spans="1:11" x14ac:dyDescent="0.2">
      <c r="A10220" s="1" t="s">
        <v>204</v>
      </c>
      <c r="B10220" s="1" t="s">
        <v>237</v>
      </c>
      <c r="C10220" s="1" t="str">
        <f>"66298793697634"</f>
        <v>66298793697634</v>
      </c>
      <c r="D10220" s="1" t="str">
        <f>"400957"</f>
        <v>400957</v>
      </c>
      <c r="E10220" s="1" t="s">
        <v>4579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</row>
    <row r="10221" spans="1:11" x14ac:dyDescent="0.2">
      <c r="A10221" s="1" t="s">
        <v>204</v>
      </c>
      <c r="B10221" s="1" t="s">
        <v>238</v>
      </c>
      <c r="C10221" s="1" t="str">
        <f>"66298793740457"</f>
        <v>66298793740457</v>
      </c>
      <c r="D10221" s="1" t="str">
        <f>"400968"</f>
        <v>400968</v>
      </c>
      <c r="E10221" s="1" t="s">
        <v>4579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</row>
    <row r="10222" spans="1:11" x14ac:dyDescent="0.2">
      <c r="A10222" s="1" t="s">
        <v>204</v>
      </c>
      <c r="B10222" s="1" t="s">
        <v>239</v>
      </c>
      <c r="C10222" s="1" t="str">
        <f>"66298793779864"</f>
        <v>66298793779864</v>
      </c>
      <c r="D10222" s="1" t="str">
        <f>"401094"</f>
        <v>401094</v>
      </c>
      <c r="E10222" s="1" t="s">
        <v>4579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</row>
    <row r="10223" spans="1:11" x14ac:dyDescent="0.2">
      <c r="A10223" s="1" t="s">
        <v>204</v>
      </c>
      <c r="B10223" s="1" t="s">
        <v>240</v>
      </c>
      <c r="C10223" s="1" t="str">
        <f>"66298793824970"</f>
        <v>66298793824970</v>
      </c>
      <c r="D10223" s="1" t="str">
        <f>"400969"</f>
        <v>400969</v>
      </c>
      <c r="E10223" s="1" t="s">
        <v>4579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</row>
    <row r="10224" spans="1:11" x14ac:dyDescent="0.2">
      <c r="A10224" s="1" t="s">
        <v>204</v>
      </c>
      <c r="B10224" s="1" t="s">
        <v>241</v>
      </c>
      <c r="C10224" s="1" t="str">
        <f>"66298793864335"</f>
        <v>66298793864335</v>
      </c>
      <c r="D10224" s="1" t="str">
        <f>"1P3-E2151/61-00"</f>
        <v>1P3-E2151/61-00</v>
      </c>
      <c r="E10224" s="1" t="s">
        <v>4579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</row>
    <row r="10225" spans="1:11" x14ac:dyDescent="0.2">
      <c r="A10225" s="1" t="s">
        <v>18</v>
      </c>
      <c r="B10225" s="1" t="s">
        <v>242</v>
      </c>
      <c r="C10225" s="1" t="str">
        <f>"66298793908828"</f>
        <v>66298793908828</v>
      </c>
      <c r="D10225" s="1" t="str">
        <f>"21C-F3435-00"</f>
        <v>21C-F3435-00</v>
      </c>
      <c r="E10225" s="1" t="s">
        <v>4579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</row>
    <row r="10226" spans="1:11" x14ac:dyDescent="0.2">
      <c r="A10226" s="1" t="s">
        <v>243</v>
      </c>
      <c r="B10226" s="1" t="s">
        <v>244</v>
      </c>
      <c r="C10226" s="1" t="str">
        <f>"66298793952000"</f>
        <v>66298793952000</v>
      </c>
      <c r="D10226" s="1" t="str">
        <f>"CP011"</f>
        <v>CP011</v>
      </c>
      <c r="E10226" s="1" t="s">
        <v>4579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</row>
    <row r="10227" spans="1:11" x14ac:dyDescent="0.2">
      <c r="A10227" s="1" t="s">
        <v>245</v>
      </c>
      <c r="B10227" s="1" t="s">
        <v>246</v>
      </c>
      <c r="C10227" s="1" t="str">
        <f>"66298793993265"</f>
        <v>66298793993265</v>
      </c>
      <c r="D10227" s="1" t="str">
        <f>"YB2.5L-CHB"</f>
        <v>YB2.5L-CHB</v>
      </c>
      <c r="E10227" s="1" t="s">
        <v>4579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</row>
    <row r="10228" spans="1:11" x14ac:dyDescent="0.2">
      <c r="A10228" s="1" t="s">
        <v>245</v>
      </c>
      <c r="B10228" s="1" t="s">
        <v>247</v>
      </c>
      <c r="C10228" s="1" t="str">
        <f>"66298794035118"</f>
        <v>66298794035118</v>
      </c>
      <c r="D10228" s="1" t="str">
        <f>"YB2.5L-C"</f>
        <v>YB2.5L-C</v>
      </c>
      <c r="E10228" s="1" t="s">
        <v>4579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</row>
    <row r="10229" spans="1:11" x14ac:dyDescent="0.2">
      <c r="A10229" s="1" t="s">
        <v>245</v>
      </c>
      <c r="B10229" s="1" t="s">
        <v>248</v>
      </c>
      <c r="C10229" s="1" t="str">
        <f>"12N24-4-BSHK"</f>
        <v>12N24-4-BSHK</v>
      </c>
      <c r="D10229" s="1" t="str">
        <f>"12N24-4-BSHK"</f>
        <v>12N24-4-BSHK</v>
      </c>
      <c r="E10229" s="1" t="s">
        <v>4579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</row>
    <row r="10230" spans="1:11" x14ac:dyDescent="0.2">
      <c r="A10230" s="1" t="s">
        <v>245</v>
      </c>
      <c r="B10230" s="1" t="s">
        <v>249</v>
      </c>
      <c r="C10230" s="1" t="str">
        <f>"66298794081616"</f>
        <v>66298794081616</v>
      </c>
      <c r="D10230" s="1" t="str">
        <f>"YTX4L-BSCN"</f>
        <v>YTX4L-BSCN</v>
      </c>
      <c r="E10230" s="1" t="s">
        <v>4579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</row>
    <row r="10231" spans="1:11" x14ac:dyDescent="0.2">
      <c r="A10231" s="1" t="s">
        <v>245</v>
      </c>
      <c r="B10231" s="1" t="s">
        <v>250</v>
      </c>
      <c r="C10231" s="1" t="str">
        <f>"66298794124475"</f>
        <v>66298794124475</v>
      </c>
      <c r="D10231" s="1" t="str">
        <f>"YT4L-BSHB"</f>
        <v>YT4L-BSHB</v>
      </c>
      <c r="E10231" s="1" t="s">
        <v>4579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</row>
    <row r="10232" spans="1:11" x14ac:dyDescent="0.2">
      <c r="A10232" s="1" t="s">
        <v>245</v>
      </c>
      <c r="B10232" s="1" t="s">
        <v>251</v>
      </c>
      <c r="C10232" s="1" t="str">
        <f>"66298794204604"</f>
        <v>66298794204604</v>
      </c>
      <c r="D10232" s="1" t="str">
        <f>"YTZ5SVTS"</f>
        <v>YTZ5SVTS</v>
      </c>
      <c r="E10232" s="1" t="s">
        <v>4579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</row>
    <row r="10233" spans="1:11" x14ac:dyDescent="0.2">
      <c r="A10233" s="1" t="s">
        <v>245</v>
      </c>
      <c r="B10233" s="1" t="s">
        <v>252</v>
      </c>
      <c r="C10233" s="1" t="str">
        <f>"YB4L-BHB"</f>
        <v>YB4L-BHB</v>
      </c>
      <c r="D10233" s="1" t="str">
        <f>"YB4L-BHB"</f>
        <v>YB4L-BHB</v>
      </c>
      <c r="E10233" s="1" t="s">
        <v>4579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</row>
    <row r="10234" spans="1:11" x14ac:dyDescent="0.2">
      <c r="A10234" s="1" t="s">
        <v>245</v>
      </c>
      <c r="B10234" s="1" t="s">
        <v>253</v>
      </c>
      <c r="C10234" s="1" t="str">
        <f>"66298794293503"</f>
        <v>66298794293503</v>
      </c>
      <c r="D10234" s="1" t="str">
        <f>"YT5AL-BSHB"</f>
        <v>YT5AL-BSHB</v>
      </c>
      <c r="E10234" s="1" t="s">
        <v>4579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</row>
    <row r="10235" spans="1:11" x14ac:dyDescent="0.2">
      <c r="A10235" s="1" t="s">
        <v>245</v>
      </c>
      <c r="B10235" s="1" t="s">
        <v>254</v>
      </c>
      <c r="C10235" s="1" t="str">
        <f>"66298794332881"</f>
        <v>66298794332881</v>
      </c>
      <c r="D10235" s="1" t="str">
        <f>"YB5L-BHB"</f>
        <v>YB5L-BHB</v>
      </c>
      <c r="E10235" s="1" t="s">
        <v>4579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</row>
    <row r="10236" spans="1:11" x14ac:dyDescent="0.2">
      <c r="A10236" s="1" t="s">
        <v>245</v>
      </c>
      <c r="B10236" s="1" t="s">
        <v>255</v>
      </c>
      <c r="C10236" s="1" t="str">
        <f>"66298794418524"</f>
        <v>66298794418524</v>
      </c>
      <c r="D10236" s="1" t="str">
        <f>"12N5-BS"</f>
        <v>12N5-BS</v>
      </c>
      <c r="E10236" s="1" t="s">
        <v>4579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</row>
    <row r="10237" spans="1:11" x14ac:dyDescent="0.2">
      <c r="A10237" s="1" t="s">
        <v>245</v>
      </c>
      <c r="B10237" s="1" t="s">
        <v>256</v>
      </c>
      <c r="C10237" s="1" t="str">
        <f>"66298794500118"</f>
        <v>66298794500118</v>
      </c>
      <c r="D10237" s="1" t="str">
        <f>"YTX7L-BSHB"</f>
        <v>YTX7L-BSHB</v>
      </c>
      <c r="E10237" s="1" t="s">
        <v>4579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</row>
    <row r="10238" spans="1:11" x14ac:dyDescent="0.2">
      <c r="A10238" s="1" t="s">
        <v>245</v>
      </c>
      <c r="B10238" s="1" t="s">
        <v>256</v>
      </c>
      <c r="C10238" s="1" t="str">
        <f>"YTX7A-BSHB"</f>
        <v>YTX7A-BSHB</v>
      </c>
      <c r="D10238" s="1" t="str">
        <f>"YTX7A-BSHB"</f>
        <v>YTX7A-BSHB</v>
      </c>
      <c r="E10238" s="1" t="s">
        <v>4579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</row>
    <row r="10239" spans="1:11" x14ac:dyDescent="0.2">
      <c r="A10239" s="1" t="s">
        <v>245</v>
      </c>
      <c r="B10239" s="1" t="s">
        <v>257</v>
      </c>
      <c r="C10239" s="1" t="str">
        <f>"YTX7L-BSVTS"</f>
        <v>YTX7L-BSVTS</v>
      </c>
      <c r="D10239" s="1" t="str">
        <f>"YTX7L-BSVTS"</f>
        <v>YTX7L-BSVTS</v>
      </c>
      <c r="E10239" s="1" t="s">
        <v>4579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</row>
    <row r="10240" spans="1:11" x14ac:dyDescent="0.2">
      <c r="A10240" s="1" t="s">
        <v>245</v>
      </c>
      <c r="B10240" s="1" t="s">
        <v>258</v>
      </c>
      <c r="C10240" s="1" t="str">
        <f>"66298794461523"</f>
        <v>66298794461523</v>
      </c>
      <c r="D10240" s="1" t="str">
        <f>"YTX7L-BS"</f>
        <v>YTX7L-BS</v>
      </c>
      <c r="E10240" s="1" t="s">
        <v>4579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</row>
    <row r="10241" spans="1:11" x14ac:dyDescent="0.2">
      <c r="A10241" s="1" t="s">
        <v>245</v>
      </c>
      <c r="B10241" s="1" t="s">
        <v>259</v>
      </c>
      <c r="C10241" s="1" t="str">
        <f>"66298794547708"</f>
        <v>66298794547708</v>
      </c>
      <c r="D10241" s="1" t="str">
        <f>"YTX6.5L-BSHB"</f>
        <v>YTX6.5L-BSHB</v>
      </c>
      <c r="E10241" s="1" t="s">
        <v>4579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</row>
    <row r="10242" spans="1:11" x14ac:dyDescent="0.2">
      <c r="A10242" s="1" t="s">
        <v>245</v>
      </c>
      <c r="B10242" s="1" t="s">
        <v>259</v>
      </c>
      <c r="C10242" s="1" t="str">
        <f>"66298794553973"</f>
        <v>66298794553973</v>
      </c>
      <c r="D10242" s="1" t="str">
        <f>"YT7B-BSHB"</f>
        <v>YT7B-BSHB</v>
      </c>
      <c r="E10242" s="1" t="s">
        <v>4579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</row>
    <row r="10243" spans="1:11" x14ac:dyDescent="0.2">
      <c r="A10243" s="1" t="s">
        <v>245</v>
      </c>
      <c r="B10243" s="1" t="s">
        <v>260</v>
      </c>
      <c r="C10243" s="1" t="str">
        <f>"66298794655248"</f>
        <v>66298794655248</v>
      </c>
      <c r="D10243" s="1" t="str">
        <f>"GTX7E-BSHB"</f>
        <v>GTX7E-BSHB</v>
      </c>
      <c r="E10243" s="1" t="s">
        <v>4579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</row>
    <row r="10244" spans="1:11" x14ac:dyDescent="0.2">
      <c r="A10244" s="1" t="s">
        <v>245</v>
      </c>
      <c r="B10244" s="1" t="s">
        <v>260</v>
      </c>
      <c r="C10244" s="1" t="str">
        <f>"66298794661817"</f>
        <v>66298794661817</v>
      </c>
      <c r="D10244" s="1" t="str">
        <f>"YB7-AHB"</f>
        <v>YB7-AHB</v>
      </c>
      <c r="E10244" s="1" t="s">
        <v>4579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</row>
    <row r="10245" spans="1:11" x14ac:dyDescent="0.2">
      <c r="A10245" s="1" t="s">
        <v>245</v>
      </c>
      <c r="B10245" s="1" t="s">
        <v>261</v>
      </c>
      <c r="C10245" s="1" t="str">
        <f>"66298794721917"</f>
        <v>66298794721917</v>
      </c>
      <c r="D10245" s="1" t="str">
        <f>"YTX7DL-BSHB"</f>
        <v>YTX7DL-BSHB</v>
      </c>
      <c r="E10245" s="1" t="s">
        <v>4579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</row>
    <row r="10246" spans="1:11" x14ac:dyDescent="0.2">
      <c r="A10246" s="1" t="s">
        <v>245</v>
      </c>
      <c r="B10246" s="1" t="s">
        <v>262</v>
      </c>
      <c r="C10246" s="1" t="str">
        <f>"66298794609055"</f>
        <v>66298794609055</v>
      </c>
      <c r="D10246" s="1" t="str">
        <f>"YB7B-BHB"</f>
        <v>YB7B-BHB</v>
      </c>
      <c r="E10246" s="1" t="s">
        <v>4579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</row>
    <row r="10247" spans="1:11" x14ac:dyDescent="0.2">
      <c r="A10247" s="1" t="s">
        <v>245</v>
      </c>
      <c r="B10247" s="1" t="s">
        <v>262</v>
      </c>
      <c r="C10247" s="1" t="str">
        <f>"12N7B-3AHB"</f>
        <v>12N7B-3AHB</v>
      </c>
      <c r="D10247" s="1" t="str">
        <f>"12N7B-3AHB"</f>
        <v>12N7B-3AHB</v>
      </c>
      <c r="E10247" s="1" t="s">
        <v>4579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</row>
    <row r="10248" spans="1:11" x14ac:dyDescent="0.2">
      <c r="A10248" s="1" t="s">
        <v>245</v>
      </c>
      <c r="B10248" s="1" t="s">
        <v>262</v>
      </c>
      <c r="C10248" s="1" t="str">
        <f>"12N7-4BHB"</f>
        <v>12N7-4BHB</v>
      </c>
      <c r="D10248" s="1" t="str">
        <f>"12N7-4BHB"</f>
        <v>12N7-4BHB</v>
      </c>
      <c r="E10248" s="1" t="s">
        <v>4579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</row>
    <row r="10249" spans="1:11" x14ac:dyDescent="0.2">
      <c r="A10249" s="1" t="s">
        <v>245</v>
      </c>
      <c r="B10249" s="1" t="s">
        <v>262</v>
      </c>
      <c r="C10249" s="1" t="str">
        <f>"12N7-3BHB"</f>
        <v>12N7-3BHB</v>
      </c>
      <c r="D10249" s="1" t="str">
        <f>"12N7-3BHB"</f>
        <v>12N7-3BHB</v>
      </c>
      <c r="E10249" s="1" t="s">
        <v>4579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</row>
    <row r="10250" spans="1:11" x14ac:dyDescent="0.2">
      <c r="A10250" s="1" t="s">
        <v>245</v>
      </c>
      <c r="B10250" s="1" t="s">
        <v>263</v>
      </c>
      <c r="C10250" s="1" t="str">
        <f>"66298794842712"</f>
        <v>66298794842712</v>
      </c>
      <c r="D10250" s="1" t="str">
        <f>"12N7-4AVTS"</f>
        <v>12N7-4AVTS</v>
      </c>
      <c r="E10250" s="1" t="s">
        <v>4579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</row>
    <row r="10251" spans="1:11" x14ac:dyDescent="0.2">
      <c r="A10251" s="1" t="s">
        <v>245</v>
      </c>
      <c r="B10251" s="1" t="s">
        <v>263</v>
      </c>
      <c r="C10251" s="1" t="str">
        <f>"66298794849062"</f>
        <v>66298794849062</v>
      </c>
      <c r="D10251" s="1" t="str">
        <f>"12N7A-3AVTS"</f>
        <v>12N7A-3AVTS</v>
      </c>
      <c r="E10251" s="1" t="s">
        <v>4579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</row>
    <row r="10252" spans="1:11" x14ac:dyDescent="0.2">
      <c r="A10252" s="1" t="s">
        <v>245</v>
      </c>
      <c r="B10252" s="1" t="s">
        <v>264</v>
      </c>
      <c r="C10252" s="1" t="str">
        <f>"YT9B-BSHB"</f>
        <v>YT9B-BSHB</v>
      </c>
      <c r="D10252" s="1" t="str">
        <f>"YT9B-BSHB"</f>
        <v>YT9B-BSHB</v>
      </c>
      <c r="E10252" s="1" t="s">
        <v>4579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</row>
    <row r="10253" spans="1:11" x14ac:dyDescent="0.2">
      <c r="A10253" s="1" t="s">
        <v>245</v>
      </c>
      <c r="B10253" s="1" t="s">
        <v>265</v>
      </c>
      <c r="C10253" s="1" t="str">
        <f>"66298794903079"</f>
        <v>66298794903079</v>
      </c>
      <c r="D10253" s="1" t="str">
        <f>"YTX9-BSHB"</f>
        <v>YTX9-BSHB</v>
      </c>
      <c r="E10253" s="1" t="s">
        <v>4579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</row>
    <row r="10254" spans="1:11" x14ac:dyDescent="0.2">
      <c r="A10254" s="1" t="s">
        <v>245</v>
      </c>
      <c r="B10254" s="1" t="s">
        <v>266</v>
      </c>
      <c r="C10254" s="1" t="str">
        <f>"YTX9A-BSHB"</f>
        <v>YTX9A-BSHB</v>
      </c>
      <c r="D10254" s="1" t="str">
        <f>"YTX9A-BSHB"</f>
        <v>YTX9A-BSHB</v>
      </c>
      <c r="E10254" s="1" t="s">
        <v>4579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</row>
    <row r="10255" spans="1:11" x14ac:dyDescent="0.2">
      <c r="A10255" s="1" t="s">
        <v>245</v>
      </c>
      <c r="B10255" s="1" t="s">
        <v>267</v>
      </c>
      <c r="C10255" s="1" t="str">
        <f>"66298795088864"</f>
        <v>66298795088864</v>
      </c>
      <c r="D10255" s="1" t="str">
        <f>"YT12B-BSHB"</f>
        <v>YT12B-BSHB</v>
      </c>
      <c r="E10255" s="1" t="s">
        <v>4579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</row>
    <row r="10256" spans="1:11" x14ac:dyDescent="0.2">
      <c r="A10256" s="1" t="s">
        <v>245</v>
      </c>
      <c r="B10256" s="1" t="s">
        <v>267</v>
      </c>
      <c r="C10256" s="1" t="str">
        <f>"YTX12-BSHB"</f>
        <v>YTX12-BSHB</v>
      </c>
      <c r="D10256" s="1" t="str">
        <f>"YTX12-BSHB"</f>
        <v>YTX12-BSHB</v>
      </c>
      <c r="E10256" s="1" t="s">
        <v>4579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</row>
    <row r="10257" spans="1:11" x14ac:dyDescent="0.2">
      <c r="A10257" s="1" t="s">
        <v>245</v>
      </c>
      <c r="B10257" s="1" t="s">
        <v>268</v>
      </c>
      <c r="C10257" s="1" t="str">
        <f>"YT12A-BSFB"</f>
        <v>YT12A-BSFB</v>
      </c>
      <c r="D10257" s="1" t="str">
        <f>"YT12A-BSFB"</f>
        <v>YT12A-BSFB</v>
      </c>
      <c r="E10257" s="1" t="s">
        <v>4579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</row>
    <row r="10258" spans="1:11" ht="30" x14ac:dyDescent="0.2">
      <c r="A10258" s="1" t="s">
        <v>245</v>
      </c>
      <c r="B10258" s="1" t="s">
        <v>269</v>
      </c>
      <c r="C10258" s="1" t="str">
        <f>"YTZ14S-BS/SLA"</f>
        <v>YTZ14S-BS/SLA</v>
      </c>
      <c r="D10258" s="1" t="str">
        <f>"YTZ14S-BS/SLA"</f>
        <v>YTZ14S-BS/SLA</v>
      </c>
      <c r="E10258" s="1" t="s">
        <v>4579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</row>
    <row r="10259" spans="1:11" x14ac:dyDescent="0.2">
      <c r="A10259" s="1" t="s">
        <v>245</v>
      </c>
      <c r="B10259" s="1" t="s">
        <v>270</v>
      </c>
      <c r="C10259" s="1" t="str">
        <f>"YTX14-BSHB"</f>
        <v>YTX14-BSHB</v>
      </c>
      <c r="D10259" s="1" t="str">
        <f>"YTX14-BSHB"</f>
        <v>YTX14-BSHB</v>
      </c>
      <c r="E10259" s="1" t="s">
        <v>4579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</row>
    <row r="10260" spans="1:11" x14ac:dyDescent="0.2">
      <c r="A10260" s="1" t="s">
        <v>245</v>
      </c>
      <c r="B10260" s="1" t="s">
        <v>270</v>
      </c>
      <c r="C10260" s="1" t="str">
        <f>"YT14B-BSHB"</f>
        <v>YT14B-BSHB</v>
      </c>
      <c r="D10260" s="1" t="str">
        <f>"YT14B-BSHB"</f>
        <v>YT14B-BSHB</v>
      </c>
      <c r="E10260" s="1" t="s">
        <v>4579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</row>
    <row r="10261" spans="1:11" x14ac:dyDescent="0.2">
      <c r="A10261" s="1" t="s">
        <v>245</v>
      </c>
      <c r="B10261" s="1" t="s">
        <v>271</v>
      </c>
      <c r="C10261" s="1" t="str">
        <f>"YTX16-BSHB"</f>
        <v>YTX16-BSHB</v>
      </c>
      <c r="D10261" s="1" t="str">
        <f>"YTX16-BSHB"</f>
        <v>YTX16-BSHB</v>
      </c>
      <c r="E10261" s="1" t="s">
        <v>4579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</row>
    <row r="10262" spans="1:11" x14ac:dyDescent="0.2">
      <c r="A10262" s="1" t="s">
        <v>245</v>
      </c>
      <c r="B10262" s="1" t="s">
        <v>272</v>
      </c>
      <c r="C10262" s="1" t="str">
        <f>"YTX20HL-BSHB"</f>
        <v>YTX20HL-BSHB</v>
      </c>
      <c r="D10262" s="1" t="str">
        <f>"YTX20HL-BSHB"</f>
        <v>YTX20HL-BSHB</v>
      </c>
      <c r="E10262" s="1" t="s">
        <v>4579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</row>
    <row r="10263" spans="1:11" x14ac:dyDescent="0.2">
      <c r="A10263" s="1" t="s">
        <v>245</v>
      </c>
      <c r="B10263" s="1" t="s">
        <v>273</v>
      </c>
      <c r="C10263" s="1" t="str">
        <f>"YTX30L-BSHB"</f>
        <v>YTX30L-BSHB</v>
      </c>
      <c r="D10263" s="1" t="str">
        <f>"YTX30L-BSHB"</f>
        <v>YTX30L-BSHB</v>
      </c>
      <c r="E10263" s="1" t="s">
        <v>4579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</row>
    <row r="10264" spans="1:11" ht="30" x14ac:dyDescent="0.2">
      <c r="A10264" s="1" t="s">
        <v>245</v>
      </c>
      <c r="B10264" s="1" t="s">
        <v>274</v>
      </c>
      <c r="C10264" s="1" t="str">
        <f>"YTX12-BS/SLA"</f>
        <v>YTX12-BS/SLA</v>
      </c>
      <c r="D10264" s="1" t="str">
        <f>"YTX12-BS/SLA"</f>
        <v>YTX12-BS/SLA</v>
      </c>
      <c r="E10264" s="1" t="s">
        <v>4579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</row>
    <row r="10265" spans="1:11" ht="30" x14ac:dyDescent="0.2">
      <c r="A10265" s="1" t="s">
        <v>245</v>
      </c>
      <c r="B10265" s="1" t="s">
        <v>275</v>
      </c>
      <c r="C10265" s="1" t="str">
        <f>"YT12B-4-BS/SLA"</f>
        <v>YT12B-4-BS/SLA</v>
      </c>
      <c r="D10265" s="1" t="str">
        <f>"YT12B-4-BS/SLA"</f>
        <v>YT12B-4-BS/SLA</v>
      </c>
      <c r="E10265" s="1" t="s">
        <v>4579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</row>
    <row r="10266" spans="1:11" x14ac:dyDescent="0.2">
      <c r="A10266" s="1" t="s">
        <v>245</v>
      </c>
      <c r="B10266" s="1" t="s">
        <v>276</v>
      </c>
      <c r="C10266" s="1" t="str">
        <f>"Y12A-BSFB"</f>
        <v>Y12A-BSFB</v>
      </c>
      <c r="D10266" s="1" t="str">
        <f>"Y12A-BSFB"</f>
        <v>Y12A-BSFB</v>
      </c>
      <c r="E10266" s="1" t="s">
        <v>4579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</row>
    <row r="10267" spans="1:11" x14ac:dyDescent="0.2">
      <c r="A10267" s="1" t="s">
        <v>245</v>
      </c>
      <c r="B10267" s="1" t="s">
        <v>277</v>
      </c>
      <c r="C10267" s="1" t="str">
        <f>"YTX12-BSHQ"</f>
        <v>YTX12-BSHQ</v>
      </c>
      <c r="D10267" s="1" t="str">
        <f>"YTX12-BSHQ"</f>
        <v>YTX12-BSHQ</v>
      </c>
      <c r="E10267" s="1" t="s">
        <v>4579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</row>
    <row r="10268" spans="1:11" x14ac:dyDescent="0.2">
      <c r="A10268" s="1" t="s">
        <v>245</v>
      </c>
      <c r="B10268" s="1" t="s">
        <v>278</v>
      </c>
      <c r="C10268" s="1" t="str">
        <f>"MBTX9U"</f>
        <v>MBTX9U</v>
      </c>
      <c r="D10268" s="1" t="str">
        <f>"MBTX9U"</f>
        <v>MBTX9U</v>
      </c>
      <c r="E10268" s="1" t="s">
        <v>4579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</row>
    <row r="10269" spans="1:11" ht="30" x14ac:dyDescent="0.2">
      <c r="A10269" s="1" t="s">
        <v>245</v>
      </c>
      <c r="B10269" s="1" t="s">
        <v>279</v>
      </c>
      <c r="C10269" s="1" t="str">
        <f>"YTZ12S-BS/SLA"</f>
        <v>YTZ12S-BS/SLA</v>
      </c>
      <c r="D10269" s="1" t="str">
        <f>"YTZ12S-BS/SLA"</f>
        <v>YTZ12S-BS/SLA</v>
      </c>
      <c r="E10269" s="1" t="s">
        <v>4579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</row>
    <row r="10270" spans="1:11" x14ac:dyDescent="0.2">
      <c r="A10270" s="1" t="s">
        <v>245</v>
      </c>
      <c r="B10270" s="1" t="s">
        <v>280</v>
      </c>
      <c r="C10270" s="1" t="str">
        <f>"MB9U"</f>
        <v>MB9U</v>
      </c>
      <c r="D10270" s="1" t="str">
        <f>"MB9U"</f>
        <v>MB9U</v>
      </c>
      <c r="E10270" s="1" t="s">
        <v>4579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</row>
    <row r="10271" spans="1:11" x14ac:dyDescent="0.2">
      <c r="A10271" s="1" t="s">
        <v>245</v>
      </c>
      <c r="B10271" s="1" t="s">
        <v>281</v>
      </c>
      <c r="C10271" s="1" t="str">
        <f>"MBTZ14S"</f>
        <v>MBTZ14S</v>
      </c>
      <c r="D10271" s="1" t="str">
        <f>"MBTZ14S"</f>
        <v>MBTZ14S</v>
      </c>
      <c r="E10271" s="1" t="s">
        <v>4579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</row>
    <row r="10272" spans="1:11" ht="30" x14ac:dyDescent="0.2">
      <c r="A10272" s="1" t="s">
        <v>245</v>
      </c>
      <c r="B10272" s="1" t="s">
        <v>282</v>
      </c>
      <c r="C10272" s="1" t="str">
        <f>"12N12A-4A-1-BS/DRY"</f>
        <v>12N12A-4A-1-BS/DRY</v>
      </c>
      <c r="D10272" s="1" t="str">
        <f>"12N12A-4A-1-BS/DRY"</f>
        <v>12N12A-4A-1-BS/DRY</v>
      </c>
      <c r="E10272" s="1" t="s">
        <v>4579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</row>
    <row r="10273" spans="1:11" ht="30" x14ac:dyDescent="0.2">
      <c r="A10273" s="1" t="s">
        <v>245</v>
      </c>
      <c r="B10273" s="1" t="s">
        <v>283</v>
      </c>
      <c r="C10273" s="1" t="str">
        <f>"YTX14-BS/MF"</f>
        <v>YTX14-BS/MF</v>
      </c>
      <c r="D10273" s="1" t="str">
        <f>"YTX14-BS/MF"</f>
        <v>YTX14-BS/MF</v>
      </c>
      <c r="E10273" s="1" t="s">
        <v>4579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</row>
    <row r="10274" spans="1:11" ht="30" x14ac:dyDescent="0.2">
      <c r="A10274" s="1" t="s">
        <v>245</v>
      </c>
      <c r="B10274" s="1" t="s">
        <v>284</v>
      </c>
      <c r="C10274" s="1" t="str">
        <f>"YTX14L-BS/MF"</f>
        <v>YTX14L-BS/MF</v>
      </c>
      <c r="D10274" s="1" t="str">
        <f>"YTX14L-BS/MF"</f>
        <v>YTX14L-BS/MF</v>
      </c>
      <c r="E10274" s="1" t="s">
        <v>4579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</row>
    <row r="10275" spans="1:11" x14ac:dyDescent="0.2">
      <c r="A10275" s="1" t="s">
        <v>245</v>
      </c>
      <c r="B10275" s="1" t="s">
        <v>285</v>
      </c>
      <c r="C10275" s="1" t="str">
        <f>"YTX12-BSQS"</f>
        <v>YTX12-BSQS</v>
      </c>
      <c r="D10275" s="1" t="str">
        <f>"YTX12-BSQS"</f>
        <v>YTX12-BSQS</v>
      </c>
      <c r="E10275" s="1" t="s">
        <v>4579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</row>
    <row r="10276" spans="1:11" ht="30" x14ac:dyDescent="0.2">
      <c r="A10276" s="1" t="s">
        <v>245</v>
      </c>
      <c r="B10276" s="1" t="s">
        <v>286</v>
      </c>
      <c r="C10276" s="1" t="str">
        <f>"YTX14AHL-BS/SLA"</f>
        <v>YTX14AHL-BS/SLA</v>
      </c>
      <c r="D10276" s="1" t="str">
        <f>"YTX14AHL-BS/SLA"</f>
        <v>YTX14AHL-BS/SLA</v>
      </c>
      <c r="E10276" s="1" t="s">
        <v>4579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</row>
    <row r="10277" spans="1:11" x14ac:dyDescent="0.2">
      <c r="A10277" s="1" t="s">
        <v>245</v>
      </c>
      <c r="B10277" s="1" t="s">
        <v>287</v>
      </c>
      <c r="C10277" s="1" t="str">
        <f>"MBTX12U"</f>
        <v>MBTX12U</v>
      </c>
      <c r="D10277" s="1" t="str">
        <f>"MBTX12U"</f>
        <v>MBTX12U</v>
      </c>
      <c r="E10277" s="1" t="s">
        <v>4579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</row>
    <row r="10278" spans="1:11" x14ac:dyDescent="0.2">
      <c r="A10278" s="1" t="s">
        <v>245</v>
      </c>
      <c r="B10278" s="1" t="s">
        <v>287</v>
      </c>
      <c r="C10278" s="1" t="str">
        <f>"MB12U"</f>
        <v>MB12U</v>
      </c>
      <c r="D10278" s="1" t="str">
        <f>"MB12U"</f>
        <v>MB12U</v>
      </c>
      <c r="E10278" s="1" t="s">
        <v>4579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</row>
    <row r="10279" spans="1:11" x14ac:dyDescent="0.2">
      <c r="A10279" s="1" t="s">
        <v>245</v>
      </c>
      <c r="B10279" s="1" t="s">
        <v>288</v>
      </c>
      <c r="C10279" s="1" t="str">
        <f>"YTX14-BSQS"</f>
        <v>YTX14-BSQS</v>
      </c>
      <c r="D10279" s="1" t="str">
        <f>"YTX14-BSQS"</f>
        <v>YTX14-BSQS</v>
      </c>
      <c r="E10279" s="1" t="s">
        <v>4579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</row>
    <row r="10280" spans="1:11" x14ac:dyDescent="0.2">
      <c r="A10280" s="1" t="s">
        <v>245</v>
      </c>
      <c r="B10280" s="1" t="s">
        <v>289</v>
      </c>
      <c r="C10280" s="1" t="str">
        <f>"MB10U"</f>
        <v>MB10U</v>
      </c>
      <c r="D10280" s="1" t="str">
        <f>"MB10U"</f>
        <v>MB10U</v>
      </c>
      <c r="E10280" s="1" t="s">
        <v>4579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</row>
    <row r="10281" spans="1:11" x14ac:dyDescent="0.2">
      <c r="A10281" s="1" t="s">
        <v>245</v>
      </c>
      <c r="B10281" s="1" t="s">
        <v>290</v>
      </c>
      <c r="C10281" s="1" t="str">
        <f>"MBTX14AU"</f>
        <v>MBTX14AU</v>
      </c>
      <c r="D10281" s="1" t="str">
        <f>"MBTX14AU"</f>
        <v>MBTX14AU</v>
      </c>
      <c r="E10281" s="1" t="s">
        <v>4579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</row>
    <row r="10282" spans="1:11" x14ac:dyDescent="0.2">
      <c r="A10282" s="1" t="s">
        <v>245</v>
      </c>
      <c r="B10282" s="1" t="s">
        <v>290</v>
      </c>
      <c r="C10282" s="1" t="str">
        <f>"MBYZ16HD"</f>
        <v>MBYZ16HD</v>
      </c>
      <c r="D10282" s="1" t="str">
        <f>"MBYZ16HD"</f>
        <v>MBYZ16HD</v>
      </c>
      <c r="E10282" s="1" t="s">
        <v>4579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</row>
    <row r="10283" spans="1:11" x14ac:dyDescent="0.2">
      <c r="A10283" s="1" t="s">
        <v>245</v>
      </c>
      <c r="B10283" s="1" t="s">
        <v>291</v>
      </c>
      <c r="C10283" s="1" t="str">
        <f>"MBTX16U"</f>
        <v>MBTX16U</v>
      </c>
      <c r="D10283" s="1" t="str">
        <f>"MBTX16U"</f>
        <v>MBTX16U</v>
      </c>
      <c r="E10283" s="1" t="s">
        <v>4579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</row>
    <row r="10284" spans="1:11" ht="30" x14ac:dyDescent="0.2">
      <c r="A10284" s="1" t="s">
        <v>245</v>
      </c>
      <c r="B10284" s="1" t="s">
        <v>292</v>
      </c>
      <c r="C10284" s="1" t="str">
        <f>"YT4B-5-BS/SLA"</f>
        <v>YT4B-5-BS/SLA</v>
      </c>
      <c r="D10284" s="1" t="str">
        <f>"YT4B-5-BS/SLA"</f>
        <v>YT4B-5-BS/SLA</v>
      </c>
      <c r="E10284" s="1" t="s">
        <v>4579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</row>
    <row r="10285" spans="1:11" ht="30" x14ac:dyDescent="0.2">
      <c r="A10285" s="1" t="s">
        <v>245</v>
      </c>
      <c r="B10285" s="1" t="s">
        <v>293</v>
      </c>
      <c r="C10285" s="1" t="str">
        <f>"YB2.5L-C-BS/DRY"</f>
        <v>YB2.5L-C-BS/DRY</v>
      </c>
      <c r="D10285" s="1" t="str">
        <f>"YB2.5L-C-BS/DRY"</f>
        <v>YB2.5L-C-BS/DRY</v>
      </c>
      <c r="E10285" s="1" t="s">
        <v>4579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</row>
    <row r="10286" spans="1:11" x14ac:dyDescent="0.2">
      <c r="A10286" s="1" t="s">
        <v>245</v>
      </c>
      <c r="B10286" s="1" t="s">
        <v>294</v>
      </c>
      <c r="C10286" s="1" t="str">
        <f>"MB16U"</f>
        <v>MB16U</v>
      </c>
      <c r="D10286" s="1" t="str">
        <f>"MB16U"</f>
        <v>MB16U</v>
      </c>
      <c r="E10286" s="1" t="s">
        <v>4579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</row>
    <row r="10287" spans="1:11" x14ac:dyDescent="0.2">
      <c r="A10287" s="1" t="s">
        <v>245</v>
      </c>
      <c r="B10287" s="1" t="s">
        <v>295</v>
      </c>
      <c r="C10287" s="1" t="str">
        <f>"MB16AU"</f>
        <v>MB16AU</v>
      </c>
      <c r="D10287" s="1" t="str">
        <f>"MB16AU"</f>
        <v>MB16AU</v>
      </c>
      <c r="E10287" s="1" t="s">
        <v>4579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</row>
    <row r="10288" spans="1:11" x14ac:dyDescent="0.2">
      <c r="A10288" s="1" t="s">
        <v>245</v>
      </c>
      <c r="B10288" s="1" t="s">
        <v>296</v>
      </c>
      <c r="C10288" s="1" t="str">
        <f>"MBTX20UHD"</f>
        <v>MBTX20UHD</v>
      </c>
      <c r="D10288" s="1" t="str">
        <f>"MBTX20UHD"</f>
        <v>MBTX20UHD</v>
      </c>
      <c r="E10288" s="1" t="s">
        <v>4579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</row>
    <row r="10289" spans="1:11" x14ac:dyDescent="0.2">
      <c r="A10289" s="1" t="s">
        <v>245</v>
      </c>
      <c r="B10289" s="1" t="s">
        <v>297</v>
      </c>
      <c r="C10289" s="1" t="str">
        <f>"MB51814"</f>
        <v>MB51814</v>
      </c>
      <c r="D10289" s="1" t="str">
        <f>"MB51814"</f>
        <v>MB51814</v>
      </c>
      <c r="E10289" s="1" t="s">
        <v>4579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</row>
    <row r="10290" spans="1:11" x14ac:dyDescent="0.2">
      <c r="A10290" s="1" t="s">
        <v>245</v>
      </c>
      <c r="B10290" s="1" t="s">
        <v>298</v>
      </c>
      <c r="C10290" s="1" t="str">
        <f>"66298794161780"</f>
        <v>66298794161780</v>
      </c>
      <c r="D10290" s="1" t="str">
        <f>"YTX4L-BSQS"</f>
        <v>YTX4L-BSQS</v>
      </c>
      <c r="E10290" s="1" t="s">
        <v>4579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</row>
    <row r="10291" spans="1:11" x14ac:dyDescent="0.2">
      <c r="A10291" s="1" t="s">
        <v>245</v>
      </c>
      <c r="B10291" s="1" t="s">
        <v>299</v>
      </c>
      <c r="C10291" s="1" t="str">
        <f>"MBTX30UHD"</f>
        <v>MBTX30UHD</v>
      </c>
      <c r="D10291" s="1" t="str">
        <f>"MBTX30UHD"</f>
        <v>MBTX30UHD</v>
      </c>
      <c r="E10291" s="1" t="s">
        <v>4579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</row>
    <row r="10292" spans="1:11" x14ac:dyDescent="0.2">
      <c r="A10292" s="1" t="s">
        <v>245</v>
      </c>
      <c r="B10292" s="1" t="s">
        <v>299</v>
      </c>
      <c r="C10292" s="1" t="str">
        <f>"MBTX30U"</f>
        <v>MBTX30U</v>
      </c>
      <c r="D10292" s="1" t="str">
        <f>"MBTX30U"</f>
        <v>MBTX30U</v>
      </c>
      <c r="E10292" s="1" t="s">
        <v>4579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</row>
    <row r="10293" spans="1:11" ht="30" x14ac:dyDescent="0.2">
      <c r="A10293" s="1" t="s">
        <v>245</v>
      </c>
      <c r="B10293" s="1" t="s">
        <v>300</v>
      </c>
      <c r="C10293" s="1" t="str">
        <f>"YTX5L-BS/MF"</f>
        <v>YTX5L-BS/MF</v>
      </c>
      <c r="D10293" s="1" t="str">
        <f>"YTX5L-BS/MF"</f>
        <v>YTX5L-BS/MF</v>
      </c>
      <c r="E10293" s="1" t="s">
        <v>4579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</row>
    <row r="10294" spans="1:11" ht="30" x14ac:dyDescent="0.2">
      <c r="A10294" s="1" t="s">
        <v>245</v>
      </c>
      <c r="B10294" s="1" t="s">
        <v>301</v>
      </c>
      <c r="C10294" s="1" t="str">
        <f>"YTX4L-BS/SLA"</f>
        <v>YTX4L-BS/SLA</v>
      </c>
      <c r="D10294" s="1" t="str">
        <f>"YTX4L-BS/SLA"</f>
        <v>YTX4L-BS/SLA</v>
      </c>
      <c r="E10294" s="1" t="s">
        <v>4579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</row>
    <row r="10295" spans="1:11" x14ac:dyDescent="0.2">
      <c r="A10295" s="1" t="s">
        <v>245</v>
      </c>
      <c r="B10295" s="1" t="s">
        <v>302</v>
      </c>
      <c r="C10295" s="1" t="str">
        <f>"YTX4L-BSHQ"</f>
        <v>YTX4L-BSHQ</v>
      </c>
      <c r="D10295" s="1" t="str">
        <f>"YTX4L-BSHQ"</f>
        <v>YTX4L-BSHQ</v>
      </c>
      <c r="E10295" s="1" t="s">
        <v>4579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</row>
    <row r="10296" spans="1:11" x14ac:dyDescent="0.2">
      <c r="A10296" s="1" t="s">
        <v>245</v>
      </c>
      <c r="B10296" s="1" t="s">
        <v>303</v>
      </c>
      <c r="C10296" s="1" t="str">
        <f>"MBTX4U"</f>
        <v>MBTX4U</v>
      </c>
      <c r="D10296" s="1" t="str">
        <f>"MBTX4U"</f>
        <v>MBTX4U</v>
      </c>
      <c r="E10296" s="1" t="s">
        <v>4579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</row>
    <row r="10297" spans="1:11" ht="30" x14ac:dyDescent="0.2">
      <c r="A10297" s="1" t="s">
        <v>245</v>
      </c>
      <c r="B10297" s="1" t="s">
        <v>304</v>
      </c>
      <c r="C10297" s="1" t="str">
        <f>"YB5L-B-BS/SLA"</f>
        <v>YB5L-B-BS/SLA</v>
      </c>
      <c r="D10297" s="1" t="str">
        <f>"YB5L-B-BS/SLA"</f>
        <v>YB5L-B-BS/SLA</v>
      </c>
      <c r="E10297" s="1" t="s">
        <v>4579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</row>
    <row r="10298" spans="1:11" ht="30" x14ac:dyDescent="0.2">
      <c r="A10298" s="1" t="s">
        <v>245</v>
      </c>
      <c r="B10298" s="1" t="s">
        <v>305</v>
      </c>
      <c r="C10298" s="1" t="str">
        <f>"YTX5L-BS/SLA"</f>
        <v>YTX5L-BS/SLA</v>
      </c>
      <c r="D10298" s="1" t="str">
        <f>"YTX5L-BS/SLA"</f>
        <v>YTX5L-BS/SLA</v>
      </c>
      <c r="E10298" s="1" t="s">
        <v>4579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</row>
    <row r="10299" spans="1:11" x14ac:dyDescent="0.2">
      <c r="A10299" s="1" t="s">
        <v>245</v>
      </c>
      <c r="B10299" s="1" t="s">
        <v>306</v>
      </c>
      <c r="C10299" s="1" t="str">
        <f>"66298794375930"</f>
        <v>66298794375930</v>
      </c>
      <c r="D10299" s="1" t="str">
        <f>"YTX5L-BSQS"</f>
        <v>YTX5L-BSQS</v>
      </c>
      <c r="E10299" s="1" t="s">
        <v>4579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</row>
    <row r="10300" spans="1:11" x14ac:dyDescent="0.2">
      <c r="A10300" s="1" t="s">
        <v>245</v>
      </c>
      <c r="B10300" s="1" t="s">
        <v>307</v>
      </c>
      <c r="C10300" s="1" t="str">
        <f>"YTX5L-GEL-BSMZ"</f>
        <v>YTX5L-GEL-BSMZ</v>
      </c>
      <c r="D10300" s="1" t="str">
        <f>"YTX5L-GEL-BSMZ"</f>
        <v>YTX5L-GEL-BSMZ</v>
      </c>
      <c r="E10300" s="1" t="s">
        <v>4579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</row>
    <row r="10301" spans="1:11" ht="30" x14ac:dyDescent="0.2">
      <c r="A10301" s="1" t="s">
        <v>245</v>
      </c>
      <c r="B10301" s="1" t="s">
        <v>308</v>
      </c>
      <c r="C10301" s="1" t="str">
        <f>"YTX7L-BS/SLA"</f>
        <v>YTX7L-BS/SLA</v>
      </c>
      <c r="D10301" s="1" t="str">
        <f>"YTX7L-BS/SLA"</f>
        <v>YTX7L-BS/SLA</v>
      </c>
      <c r="E10301" s="1" t="s">
        <v>4579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</row>
    <row r="10302" spans="1:11" ht="30" x14ac:dyDescent="0.2">
      <c r="A10302" s="1" t="s">
        <v>245</v>
      </c>
      <c r="B10302" s="1" t="s">
        <v>309</v>
      </c>
      <c r="C10302" s="1" t="str">
        <f>"YTX7A-BS/SLA"</f>
        <v>YTX7A-BS/SLA</v>
      </c>
      <c r="D10302" s="1" t="str">
        <f>"YTX7A-BS/SLA"</f>
        <v>YTX7A-BS/SLA</v>
      </c>
      <c r="E10302" s="1" t="s">
        <v>4579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</row>
    <row r="10303" spans="1:11" ht="30" x14ac:dyDescent="0.2">
      <c r="A10303" s="1" t="s">
        <v>245</v>
      </c>
      <c r="B10303" s="1" t="s">
        <v>310</v>
      </c>
      <c r="C10303" s="1" t="str">
        <f>"YTZ7S-BS/SLA"</f>
        <v>YTZ7S-BS/SLA</v>
      </c>
      <c r="D10303" s="1" t="str">
        <f>"YTZ7S-BS/SLA"</f>
        <v>YTZ7S-BS/SLA</v>
      </c>
      <c r="E10303" s="1" t="s">
        <v>4579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</row>
    <row r="10304" spans="1:11" x14ac:dyDescent="0.2">
      <c r="A10304" s="1" t="s">
        <v>245</v>
      </c>
      <c r="B10304" s="1" t="s">
        <v>311</v>
      </c>
      <c r="C10304" s="1" t="str">
        <f>"YTX7A-BS-KAGE"</f>
        <v>YTX7A-BS-KAGE</v>
      </c>
      <c r="D10304" s="1" t="str">
        <f>"YTX7A-BS-KAGE"</f>
        <v>YTX7A-BS-KAGE</v>
      </c>
      <c r="E10304" s="1" t="s">
        <v>4579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</row>
    <row r="10305" spans="1:11" x14ac:dyDescent="0.2">
      <c r="A10305" s="1" t="s">
        <v>245</v>
      </c>
      <c r="B10305" s="1" t="s">
        <v>311</v>
      </c>
      <c r="C10305" s="1" t="str">
        <f>"YTX7L-BS-KAGE"</f>
        <v>YTX7L-BS-KAGE</v>
      </c>
      <c r="D10305" s="1" t="str">
        <f>"YTX7L-BS-KAGE"</f>
        <v>YTX7L-BS-KAGE</v>
      </c>
      <c r="E10305" s="1" t="s">
        <v>4579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</row>
    <row r="10306" spans="1:11" ht="30" x14ac:dyDescent="0.2">
      <c r="A10306" s="1" t="s">
        <v>245</v>
      </c>
      <c r="B10306" s="1" t="s">
        <v>312</v>
      </c>
      <c r="C10306" s="1" t="str">
        <f>"YT7B-4-BS/SLA"</f>
        <v>YT7B-4-BS/SLA</v>
      </c>
      <c r="D10306" s="1" t="str">
        <f>"YT7B-4-BS/SLA"</f>
        <v>YT7B-4-BS/SLA</v>
      </c>
      <c r="E10306" s="1" t="s">
        <v>4579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</row>
    <row r="10307" spans="1:11" ht="30" x14ac:dyDescent="0.2">
      <c r="A10307" s="1" t="s">
        <v>245</v>
      </c>
      <c r="B10307" s="1" t="s">
        <v>313</v>
      </c>
      <c r="C10307" s="1" t="str">
        <f>"YTX6.5L-BS/SLA"</f>
        <v>YTX6.5L-BS/SLA</v>
      </c>
      <c r="D10307" s="1" t="str">
        <f>"YTX6.5L-BS/SLA"</f>
        <v>YTX6.5L-BS/SLA</v>
      </c>
      <c r="E10307" s="1" t="s">
        <v>4579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</row>
    <row r="10308" spans="1:11" x14ac:dyDescent="0.2">
      <c r="A10308" s="1" t="s">
        <v>245</v>
      </c>
      <c r="B10308" s="1" t="s">
        <v>314</v>
      </c>
      <c r="C10308" s="1" t="str">
        <f>"MBTZ7S"</f>
        <v>MBTZ7S</v>
      </c>
      <c r="D10308" s="1" t="str">
        <f>"MBTZ7S"</f>
        <v>MBTZ7S</v>
      </c>
      <c r="E10308" s="1" t="s">
        <v>4579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</row>
    <row r="10309" spans="1:11" x14ac:dyDescent="0.2">
      <c r="A10309" s="1" t="s">
        <v>245</v>
      </c>
      <c r="B10309" s="1" t="s">
        <v>314</v>
      </c>
      <c r="C10309" s="1" t="str">
        <f>"MB7U"</f>
        <v>MB7U</v>
      </c>
      <c r="D10309" s="1" t="str">
        <f>"MB7U"</f>
        <v>MB7U</v>
      </c>
      <c r="E10309" s="1" t="s">
        <v>4579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</row>
    <row r="10310" spans="1:11" x14ac:dyDescent="0.2">
      <c r="A10310" s="1" t="s">
        <v>245</v>
      </c>
      <c r="B10310" s="1" t="s">
        <v>315</v>
      </c>
      <c r="C10310" s="1" t="str">
        <f>"12N6.5-BSHQ"</f>
        <v>12N6.5-BSHQ</v>
      </c>
      <c r="D10310" s="1" t="str">
        <f>"12N6.5-BSHQ"</f>
        <v>12N6.5-BSHQ</v>
      </c>
      <c r="E10310" s="1" t="s">
        <v>4579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</row>
    <row r="10311" spans="1:11" ht="30" x14ac:dyDescent="0.2">
      <c r="A10311" s="1" t="s">
        <v>245</v>
      </c>
      <c r="B10311" s="1" t="s">
        <v>316</v>
      </c>
      <c r="C10311" s="1" t="str">
        <f>"12N7A-3A-BS/DRY"</f>
        <v>12N7A-3A-BS/DRY</v>
      </c>
      <c r="D10311" s="1" t="str">
        <f>"12N7A-3A-BS/DRY"</f>
        <v>12N7A-3A-BS/DRY</v>
      </c>
      <c r="E10311" s="1" t="s">
        <v>4579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</row>
    <row r="10312" spans="1:11" ht="30" x14ac:dyDescent="0.2">
      <c r="A10312" s="1" t="s">
        <v>245</v>
      </c>
      <c r="B10312" s="1" t="s">
        <v>317</v>
      </c>
      <c r="C10312" s="1" t="str">
        <f>"12N7-4A-BS/DRY"</f>
        <v>12N7-4A-BS/DRY</v>
      </c>
      <c r="D10312" s="1" t="str">
        <f>"12N7-4A-BS/DRY"</f>
        <v>12N7-4A-BS/DRY</v>
      </c>
      <c r="E10312" s="1" t="s">
        <v>4579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</row>
    <row r="10313" spans="1:11" ht="30" x14ac:dyDescent="0.2">
      <c r="A10313" s="1" t="s">
        <v>245</v>
      </c>
      <c r="B10313" s="1" t="s">
        <v>318</v>
      </c>
      <c r="C10313" s="1" t="str">
        <f>"12N7-3B-BS/DRY"</f>
        <v>12N7-3B-BS/DRY</v>
      </c>
      <c r="D10313" s="1" t="str">
        <f>"12N7-3B-BS/DRY"</f>
        <v>12N7-3B-BS/DRY</v>
      </c>
      <c r="E10313" s="1" t="s">
        <v>4579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</row>
    <row r="10314" spans="1:11" ht="30" x14ac:dyDescent="0.2">
      <c r="A10314" s="1" t="s">
        <v>245</v>
      </c>
      <c r="B10314" s="1" t="s">
        <v>319</v>
      </c>
      <c r="C10314" s="1" t="str">
        <f>"YB7B-B-BS/DRY"</f>
        <v>YB7B-B-BS/DRY</v>
      </c>
      <c r="D10314" s="1" t="str">
        <f>"YB7B-B-BS/DRY"</f>
        <v>YB7B-B-BS/DRY</v>
      </c>
      <c r="E10314" s="1" t="s">
        <v>4579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</row>
    <row r="10315" spans="1:11" ht="30" x14ac:dyDescent="0.2">
      <c r="A10315" s="1" t="s">
        <v>245</v>
      </c>
      <c r="B10315" s="1" t="s">
        <v>320</v>
      </c>
      <c r="C10315" s="1" t="str">
        <f>"YTZ8V-BS/SLA"</f>
        <v>YTZ8V-BS/SLA</v>
      </c>
      <c r="D10315" s="1" t="str">
        <f>"YTZ8V-BS/SLA"</f>
        <v>YTZ8V-BS/SLA</v>
      </c>
      <c r="E10315" s="1" t="s">
        <v>4579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</row>
    <row r="10316" spans="1:11" x14ac:dyDescent="0.2">
      <c r="A10316" s="1" t="s">
        <v>245</v>
      </c>
      <c r="B10316" s="1" t="s">
        <v>321</v>
      </c>
      <c r="C10316" s="1" t="str">
        <f>"MB5U"</f>
        <v>MB5U</v>
      </c>
      <c r="D10316" s="1" t="str">
        <f>"MB5U"</f>
        <v>MB5U</v>
      </c>
      <c r="E10316" s="1" t="s">
        <v>4579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</row>
    <row r="10317" spans="1:11" x14ac:dyDescent="0.2">
      <c r="A10317" s="1" t="s">
        <v>245</v>
      </c>
      <c r="B10317" s="1" t="s">
        <v>321</v>
      </c>
      <c r="C10317" s="1" t="str">
        <f>"MTX7D"</f>
        <v>MTX7D</v>
      </c>
      <c r="D10317" s="1" t="str">
        <f>"MTX7D"</f>
        <v>MTX7D</v>
      </c>
      <c r="E10317" s="1" t="s">
        <v>4579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</row>
    <row r="10318" spans="1:11" x14ac:dyDescent="0.2">
      <c r="A10318" s="1" t="s">
        <v>245</v>
      </c>
      <c r="B10318" s="1" t="s">
        <v>322</v>
      </c>
      <c r="C10318" s="1" t="str">
        <f>"66298794770594"</f>
        <v>66298794770594</v>
      </c>
      <c r="D10318" s="1" t="str">
        <f>"12N7-3BSQS"</f>
        <v>12N7-3BSQS</v>
      </c>
      <c r="E10318" s="1" t="s">
        <v>4579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</row>
    <row r="10319" spans="1:11" x14ac:dyDescent="0.2">
      <c r="A10319" s="1" t="s">
        <v>245</v>
      </c>
      <c r="B10319" s="1" t="s">
        <v>322</v>
      </c>
      <c r="C10319" s="1" t="str">
        <f>"66298794780459"</f>
        <v>66298794780459</v>
      </c>
      <c r="D10319" s="1" t="str">
        <f>"YTX7A-BSQS"</f>
        <v>YTX7A-BSQS</v>
      </c>
      <c r="E10319" s="1" t="s">
        <v>4579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</row>
    <row r="10320" spans="1:11" x14ac:dyDescent="0.2">
      <c r="A10320" s="1" t="s">
        <v>245</v>
      </c>
      <c r="B10320" s="1" t="s">
        <v>322</v>
      </c>
      <c r="C10320" s="1" t="str">
        <f>"YTX7L-BSQS"</f>
        <v>YTX7L-BSQS</v>
      </c>
      <c r="D10320" s="1" t="str">
        <f>"YTX7L-BSQS"</f>
        <v>YTX7L-BSQS</v>
      </c>
      <c r="E10320" s="1" t="s">
        <v>4579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</row>
    <row r="10321" spans="1:11" x14ac:dyDescent="0.2">
      <c r="A10321" s="1" t="s">
        <v>245</v>
      </c>
      <c r="B10321" s="1" t="s">
        <v>322</v>
      </c>
      <c r="C10321" s="1" t="str">
        <f>"12N7A-3A-BSQS"</f>
        <v>12N7A-3A-BSQS</v>
      </c>
      <c r="D10321" s="1" t="str">
        <f>"12N7A-3A-BSQS"</f>
        <v>12N7A-3A-BSQS</v>
      </c>
      <c r="E10321" s="1" t="s">
        <v>4579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</row>
    <row r="10322" spans="1:11" x14ac:dyDescent="0.2">
      <c r="A10322" s="1" t="s">
        <v>245</v>
      </c>
      <c r="B10322" s="1" t="s">
        <v>322</v>
      </c>
      <c r="C10322" s="1" t="str">
        <f>"12N7-4A-BSQS"</f>
        <v>12N7-4A-BSQS</v>
      </c>
      <c r="D10322" s="1" t="str">
        <f>"12N7-4A-BSQS"</f>
        <v>12N7-4A-BSQS</v>
      </c>
      <c r="E10322" s="1" t="s">
        <v>4579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</row>
    <row r="10323" spans="1:11" x14ac:dyDescent="0.2">
      <c r="A10323" s="1" t="s">
        <v>245</v>
      </c>
      <c r="B10323" s="1" t="s">
        <v>323</v>
      </c>
      <c r="C10323" s="1" t="str">
        <f>"12N7A-3A-BSHQ"</f>
        <v>12N7A-3A-BSHQ</v>
      </c>
      <c r="D10323" s="1" t="str">
        <f>"12N7A-3A-BSHQ"</f>
        <v>12N7A-3A-BSHQ</v>
      </c>
      <c r="E10323" s="1" t="s">
        <v>4579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</row>
    <row r="10324" spans="1:11" x14ac:dyDescent="0.2">
      <c r="A10324" s="1" t="s">
        <v>245</v>
      </c>
      <c r="B10324" s="1" t="s">
        <v>324</v>
      </c>
      <c r="C10324" s="1" t="str">
        <f>"YB7-A-BS-KAGE"</f>
        <v>YB7-A-BS-KAGE</v>
      </c>
      <c r="D10324" s="1" t="str">
        <f>"YB7-A-BS-KAGE"</f>
        <v>YB7-A-BS-KAGE</v>
      </c>
      <c r="E10324" s="1" t="s">
        <v>4579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</row>
    <row r="10325" spans="1:11" x14ac:dyDescent="0.2">
      <c r="A10325" s="1" t="s">
        <v>245</v>
      </c>
      <c r="B10325" s="1" t="s">
        <v>324</v>
      </c>
      <c r="C10325" s="1" t="str">
        <f>"YB7L-B-KAGE"</f>
        <v>YB7L-B-KAGE</v>
      </c>
      <c r="D10325" s="1" t="str">
        <f>"YB7L-B-KAGE"</f>
        <v>YB7L-B-KAGE</v>
      </c>
      <c r="E10325" s="1" t="s">
        <v>4579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</row>
    <row r="10326" spans="1:11" x14ac:dyDescent="0.2">
      <c r="A10326" s="1" t="s">
        <v>245</v>
      </c>
      <c r="B10326" s="1" t="s">
        <v>325</v>
      </c>
      <c r="C10326" s="1" t="str">
        <f>"YTX7L-GEL-BSMZ"</f>
        <v>YTX7L-GEL-BSMZ</v>
      </c>
      <c r="D10326" s="1" t="str">
        <f>"YTX7L-GEL-BSMZ"</f>
        <v>YTX7L-GEL-BSMZ</v>
      </c>
      <c r="E10326" s="1" t="s">
        <v>4579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</row>
    <row r="10327" spans="1:11" ht="30" x14ac:dyDescent="0.2">
      <c r="A10327" s="1" t="s">
        <v>245</v>
      </c>
      <c r="B10327" s="1" t="s">
        <v>326</v>
      </c>
      <c r="C10327" s="1" t="str">
        <f>"YTX9-BS/MF"</f>
        <v>YTX9-BS/MF</v>
      </c>
      <c r="D10327" s="1" t="str">
        <f>"YTX9-BS/MF"</f>
        <v>YTX9-BS/MF</v>
      </c>
      <c r="E10327" s="1" t="s">
        <v>4579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</row>
    <row r="10328" spans="1:11" ht="30" x14ac:dyDescent="0.2">
      <c r="A10328" s="1" t="s">
        <v>245</v>
      </c>
      <c r="B10328" s="1" t="s">
        <v>327</v>
      </c>
      <c r="C10328" s="1" t="str">
        <f>"YT9B-4-BS/SLA"</f>
        <v>YT9B-4-BS/SLA</v>
      </c>
      <c r="D10328" s="1" t="str">
        <f>"YT9B-4-BS/SLA"</f>
        <v>YT9B-4-BS/SLA</v>
      </c>
      <c r="E10328" s="1" t="s">
        <v>4579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</row>
    <row r="10329" spans="1:11" ht="30" x14ac:dyDescent="0.2">
      <c r="A10329" s="1" t="s">
        <v>245</v>
      </c>
      <c r="B10329" s="1" t="s">
        <v>328</v>
      </c>
      <c r="C10329" s="1" t="str">
        <f>"YTX9-BS/SLA"</f>
        <v>YTX9-BS/SLA</v>
      </c>
      <c r="D10329" s="1" t="str">
        <f>"YTX9-BS/SLA"</f>
        <v>YTX9-BS/SLA</v>
      </c>
      <c r="E10329" s="1" t="s">
        <v>4579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</row>
    <row r="10330" spans="1:11" x14ac:dyDescent="0.2">
      <c r="A10330" s="1" t="s">
        <v>245</v>
      </c>
      <c r="B10330" s="1" t="s">
        <v>329</v>
      </c>
      <c r="C10330" s="1" t="str">
        <f>"MBTX7U"</f>
        <v>MBTX7U</v>
      </c>
      <c r="D10330" s="1" t="str">
        <f>"MBTX7U"</f>
        <v>MBTX7U</v>
      </c>
      <c r="E10330" s="1" t="s">
        <v>4579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</row>
    <row r="10331" spans="1:11" x14ac:dyDescent="0.2">
      <c r="A10331" s="1" t="s">
        <v>245</v>
      </c>
      <c r="B10331" s="1" t="s">
        <v>330</v>
      </c>
      <c r="C10331" s="1" t="str">
        <f>"66298794941330"</f>
        <v>66298794941330</v>
      </c>
      <c r="D10331" s="1" t="str">
        <f>"YTX9-BSQS"</f>
        <v>YTX9-BSQS</v>
      </c>
      <c r="E10331" s="1" t="s">
        <v>4579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</row>
    <row r="10332" spans="1:11" ht="30" x14ac:dyDescent="0.2">
      <c r="A10332" s="1" t="s">
        <v>245</v>
      </c>
      <c r="B10332" s="1" t="s">
        <v>331</v>
      </c>
      <c r="C10332" s="1" t="str">
        <f>"YTZ10S-BS/SLA"</f>
        <v>YTZ10S-BS/SLA</v>
      </c>
      <c r="D10332" s="1" t="str">
        <f>"YTZ10S-BS/SLA"</f>
        <v>YTZ10S-BS/SLA</v>
      </c>
      <c r="E10332" s="1" t="s">
        <v>4579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</row>
    <row r="10333" spans="1:11" x14ac:dyDescent="0.2">
      <c r="A10333" s="1" t="s">
        <v>245</v>
      </c>
      <c r="B10333" s="1" t="s">
        <v>332</v>
      </c>
      <c r="C10333" s="1" t="str">
        <f>"MBTZ10S"</f>
        <v>MBTZ10S</v>
      </c>
      <c r="D10333" s="1" t="str">
        <f>"MBTZ10S"</f>
        <v>MBTZ10S</v>
      </c>
      <c r="E10333" s="1" t="s">
        <v>4579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</row>
    <row r="10334" spans="1:11" ht="30" x14ac:dyDescent="0.2">
      <c r="A10334" s="1" t="s">
        <v>245</v>
      </c>
      <c r="B10334" s="1" t="s">
        <v>333</v>
      </c>
      <c r="C10334" s="1" t="str">
        <f>"12N9-4B-1-BS/DRY"</f>
        <v>12N9-4B-1-BS/DRY</v>
      </c>
      <c r="D10334" s="1" t="str">
        <f>"12N9-4B-1-BS/DRY"</f>
        <v>12N9-4B-1-BS/DRY</v>
      </c>
      <c r="E10334" s="1" t="s">
        <v>4579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</row>
    <row r="10335" spans="1:11" ht="30" x14ac:dyDescent="0.2">
      <c r="A10335" s="1" t="s">
        <v>245</v>
      </c>
      <c r="B10335" s="1" t="s">
        <v>334</v>
      </c>
      <c r="C10335" s="1" t="str">
        <f>"12N9-3B-BS/DRY"</f>
        <v>12N9-3B-BS/DRY</v>
      </c>
      <c r="D10335" s="1" t="str">
        <f>"12N9-3B-BS/DRY"</f>
        <v>12N9-3B-BS/DRY</v>
      </c>
      <c r="E10335" s="1" t="s">
        <v>4579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</row>
    <row r="10336" spans="1:11" ht="30" x14ac:dyDescent="0.2">
      <c r="A10336" s="1" t="s">
        <v>245</v>
      </c>
      <c r="B10336" s="1" t="s">
        <v>335</v>
      </c>
      <c r="C10336" s="1" t="str">
        <f>"YT9A-BS/MF"</f>
        <v>YT9A-BS/MF</v>
      </c>
      <c r="D10336" s="1" t="str">
        <f>"YT9A-BS/MF"</f>
        <v>YT9A-BS/MF</v>
      </c>
      <c r="E10336" s="1" t="s">
        <v>4579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</row>
    <row r="10337" spans="1:11" ht="30" x14ac:dyDescent="0.2">
      <c r="A10337" s="1" t="s">
        <v>245</v>
      </c>
      <c r="B10337" s="1" t="s">
        <v>336</v>
      </c>
      <c r="C10337" s="1" t="str">
        <f>"YB9-B-BS/SLA"</f>
        <v>YB9-B-BS/SLA</v>
      </c>
      <c r="D10337" s="1" t="str">
        <f>"YB9-B-BS/SLA"</f>
        <v>YB9-B-BS/SLA</v>
      </c>
      <c r="E10337" s="1" t="s">
        <v>4579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</row>
    <row r="10338" spans="1:11" x14ac:dyDescent="0.2">
      <c r="A10338" s="1" t="s">
        <v>245</v>
      </c>
      <c r="B10338" s="1" t="s">
        <v>337</v>
      </c>
      <c r="C10338" s="1" t="str">
        <f>"MBT9B4"</f>
        <v>MBT9B4</v>
      </c>
      <c r="D10338" s="1" t="str">
        <f>"MBT9B4"</f>
        <v>MBT9B4</v>
      </c>
      <c r="E10338" s="1" t="s">
        <v>4579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</row>
    <row r="10339" spans="1:11" x14ac:dyDescent="0.2">
      <c r="A10339" s="1" t="s">
        <v>245</v>
      </c>
      <c r="B10339" s="1" t="s">
        <v>337</v>
      </c>
      <c r="C10339" s="1" t="str">
        <f>"MB7BB"</f>
        <v>MB7BB</v>
      </c>
      <c r="D10339" s="1" t="str">
        <f>"MB7BB"</f>
        <v>MB7BB</v>
      </c>
      <c r="E10339" s="1" t="s">
        <v>4579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</row>
    <row r="10340" spans="1:11" x14ac:dyDescent="0.2">
      <c r="A10340" s="1" t="s">
        <v>245</v>
      </c>
      <c r="B10340" s="1" t="s">
        <v>338</v>
      </c>
      <c r="C10340" s="1" t="str">
        <f>"66298795050215"</f>
        <v>66298795050215</v>
      </c>
      <c r="D10340" s="1" t="str">
        <f>"12N9-4B-1QS"</f>
        <v>12N9-4B-1QS</v>
      </c>
      <c r="E10340" s="1" t="s">
        <v>4579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</row>
    <row r="10341" spans="1:11" x14ac:dyDescent="0.2">
      <c r="A10341" s="1" t="s">
        <v>245</v>
      </c>
      <c r="B10341" s="1" t="s">
        <v>338</v>
      </c>
      <c r="C10341" s="1" t="str">
        <f>"12N9-3B-BSQS"</f>
        <v>12N9-3B-BSQS</v>
      </c>
      <c r="D10341" s="1" t="str">
        <f>"12N9-3B-BSQS"</f>
        <v>12N9-3B-BSQS</v>
      </c>
      <c r="E10341" s="1" t="s">
        <v>4579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</row>
    <row r="10342" spans="1:11" x14ac:dyDescent="0.2">
      <c r="A10342" s="1" t="s">
        <v>245</v>
      </c>
      <c r="B10342" s="1" t="s">
        <v>339</v>
      </c>
      <c r="C10342" s="1" t="str">
        <f>"12N9-BSHQ"</f>
        <v>12N9-BSHQ</v>
      </c>
      <c r="D10342" s="1" t="str">
        <f>"12N9-BSHQ"</f>
        <v>12N9-BSHQ</v>
      </c>
      <c r="E10342" s="1" t="s">
        <v>4579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</row>
    <row r="10343" spans="1:11" x14ac:dyDescent="0.2">
      <c r="A10343" s="1" t="s">
        <v>245</v>
      </c>
      <c r="B10343" s="1" t="s">
        <v>340</v>
      </c>
      <c r="C10343" s="1" t="str">
        <f>"12N9-BSMZ"</f>
        <v>12N9-BSMZ</v>
      </c>
      <c r="D10343" s="1" t="str">
        <f>"12N9-BSMZ"</f>
        <v>12N9-BSMZ</v>
      </c>
      <c r="E10343" s="1" t="s">
        <v>4579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</row>
    <row r="10344" spans="1:11" x14ac:dyDescent="0.2">
      <c r="A10344" s="1" t="s">
        <v>245</v>
      </c>
      <c r="B10344" s="1" t="s">
        <v>341</v>
      </c>
      <c r="C10344" s="1" t="str">
        <f>"6N4-2A-4-F"</f>
        <v>6N4-2A-4-F</v>
      </c>
      <c r="D10344" s="1" t="str">
        <f>"6N4-2A-4-F"</f>
        <v>6N4-2A-4-F</v>
      </c>
      <c r="E10344" s="1" t="s">
        <v>4579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</row>
    <row r="10345" spans="1:11" ht="30" x14ac:dyDescent="0.2">
      <c r="A10345" s="1" t="s">
        <v>342</v>
      </c>
      <c r="B10345" s="1" t="s">
        <v>343</v>
      </c>
      <c r="C10345" s="1" t="str">
        <f>"400497"</f>
        <v>400497</v>
      </c>
      <c r="D10345" s="1" t="str">
        <f>"400497"</f>
        <v>400497</v>
      </c>
      <c r="E10345" s="1" t="s">
        <v>4579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</row>
    <row r="10346" spans="1:11" ht="30" x14ac:dyDescent="0.2">
      <c r="A10346" s="1" t="s">
        <v>342</v>
      </c>
      <c r="B10346" s="1" t="s">
        <v>344</v>
      </c>
      <c r="C10346" s="1" t="str">
        <f>"400498"</f>
        <v>400498</v>
      </c>
      <c r="D10346" s="1" t="str">
        <f>"400498"</f>
        <v>400498</v>
      </c>
      <c r="E10346" s="1" t="s">
        <v>4579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</row>
    <row r="10347" spans="1:11" ht="30" x14ac:dyDescent="0.2">
      <c r="A10347" s="1" t="s">
        <v>342</v>
      </c>
      <c r="B10347" s="1" t="s">
        <v>345</v>
      </c>
      <c r="C10347" s="1" t="str">
        <f>"400499"</f>
        <v>400499</v>
      </c>
      <c r="D10347" s="1" t="str">
        <f>"400499"</f>
        <v>400499</v>
      </c>
      <c r="E10347" s="1" t="s">
        <v>4579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</row>
    <row r="10348" spans="1:11" ht="30" x14ac:dyDescent="0.2">
      <c r="A10348" s="1" t="s">
        <v>342</v>
      </c>
      <c r="B10348" s="1" t="s">
        <v>346</v>
      </c>
      <c r="C10348" s="1" t="str">
        <f>"66298795595403"</f>
        <v>66298795595403</v>
      </c>
      <c r="D10348" s="1" t="str">
        <f>"400002"</f>
        <v>400002</v>
      </c>
      <c r="E10348" s="1" t="s">
        <v>4579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</row>
    <row r="10349" spans="1:11" ht="30" x14ac:dyDescent="0.2">
      <c r="A10349" s="1" t="s">
        <v>342</v>
      </c>
      <c r="B10349" s="1" t="s">
        <v>347</v>
      </c>
      <c r="C10349" s="1" t="str">
        <f>"S410210321018"</f>
        <v>S410210321018</v>
      </c>
      <c r="D10349" s="1" t="str">
        <f>"S410210321018"</f>
        <v>S410210321018</v>
      </c>
      <c r="E10349" s="1" t="s">
        <v>4579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</row>
    <row r="10350" spans="1:11" x14ac:dyDescent="0.2">
      <c r="A10350" s="1" t="s">
        <v>342</v>
      </c>
      <c r="B10350" s="1" t="s">
        <v>348</v>
      </c>
      <c r="C10350" s="1" t="str">
        <f>"66298795509218"</f>
        <v>66298795509218</v>
      </c>
      <c r="D10350" s="1" t="str">
        <f>"400001"</f>
        <v>400001</v>
      </c>
      <c r="E10350" s="1" t="s">
        <v>4579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</row>
    <row r="10351" spans="1:11" x14ac:dyDescent="0.2">
      <c r="A10351" s="1" t="s">
        <v>342</v>
      </c>
      <c r="B10351" s="1" t="s">
        <v>349</v>
      </c>
      <c r="C10351" s="1" t="str">
        <f>"10548"</f>
        <v>10548</v>
      </c>
      <c r="D10351" s="1" t="str">
        <f>"10548"</f>
        <v>10548</v>
      </c>
      <c r="E10351" s="1" t="s">
        <v>4579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</row>
    <row r="10352" spans="1:11" ht="30" x14ac:dyDescent="0.2">
      <c r="A10352" s="1" t="s">
        <v>342</v>
      </c>
      <c r="B10352" s="1" t="s">
        <v>350</v>
      </c>
      <c r="C10352" s="1" t="str">
        <f>"13201-KTE-900JP"</f>
        <v>13201-KTE-900JP</v>
      </c>
      <c r="D10352" s="1" t="str">
        <f>"13201-KTE-900JP"</f>
        <v>13201-KTE-900JP</v>
      </c>
      <c r="E10352" s="1" t="s">
        <v>4579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</row>
    <row r="10353" spans="1:11" x14ac:dyDescent="0.2">
      <c r="A10353" s="1" t="s">
        <v>342</v>
      </c>
      <c r="B10353" s="1" t="s">
        <v>351</v>
      </c>
      <c r="C10353" s="1" t="str">
        <f>"66298795711618"</f>
        <v>66298795711618</v>
      </c>
      <c r="D10353" s="1" t="str">
        <f>"400149"</f>
        <v>400149</v>
      </c>
      <c r="E10353" s="1" t="s">
        <v>4579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</row>
    <row r="10354" spans="1:11" x14ac:dyDescent="0.2">
      <c r="A10354" s="1" t="s">
        <v>342</v>
      </c>
      <c r="B10354" s="1" t="s">
        <v>352</v>
      </c>
      <c r="C10354" s="1" t="str">
        <f>"66298795673244"</f>
        <v>66298795673244</v>
      </c>
      <c r="D10354" s="1" t="str">
        <f>"13201-KRM-900JP"</f>
        <v>13201-KRM-900JP</v>
      </c>
      <c r="E10354" s="1" t="s">
        <v>4579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</row>
    <row r="10355" spans="1:11" ht="30" x14ac:dyDescent="0.2">
      <c r="A10355" s="1" t="s">
        <v>342</v>
      </c>
      <c r="B10355" s="1" t="s">
        <v>353</v>
      </c>
      <c r="C10355" s="1" t="str">
        <f>"SM-30207-000"</f>
        <v>SM-30207-000</v>
      </c>
      <c r="D10355" s="1" t="str">
        <f>"SM-30207-000"</f>
        <v>SM-30207-000</v>
      </c>
      <c r="E10355" s="1" t="s">
        <v>4579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</row>
    <row r="10356" spans="1:11" x14ac:dyDescent="0.2">
      <c r="A10356" s="1" t="s">
        <v>342</v>
      </c>
      <c r="B10356" s="1" t="s">
        <v>354</v>
      </c>
      <c r="C10356" s="1" t="str">
        <f>"21C-E1651-00"</f>
        <v>21C-E1651-00</v>
      </c>
      <c r="D10356" s="1" t="str">
        <f>"21C-E1651-00"</f>
        <v>21C-E1651-00</v>
      </c>
      <c r="E10356" s="1" t="s">
        <v>4579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</row>
    <row r="10357" spans="1:11" ht="30" x14ac:dyDescent="0.2">
      <c r="A10357" s="1" t="s">
        <v>342</v>
      </c>
      <c r="B10357" s="1" t="s">
        <v>355</v>
      </c>
      <c r="C10357" s="1" t="str">
        <f>"400504"</f>
        <v>400504</v>
      </c>
      <c r="D10357" s="1" t="str">
        <f>"400504"</f>
        <v>400504</v>
      </c>
      <c r="E10357" s="1" t="s">
        <v>4579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</row>
    <row r="10358" spans="1:11" ht="30" x14ac:dyDescent="0.2">
      <c r="A10358" s="1" t="s">
        <v>342</v>
      </c>
      <c r="B10358" s="1" t="s">
        <v>356</v>
      </c>
      <c r="C10358" s="1" t="str">
        <f>"400505"</f>
        <v>400505</v>
      </c>
      <c r="D10358" s="1" t="str">
        <f>"400505"</f>
        <v>400505</v>
      </c>
      <c r="E10358" s="1" t="s">
        <v>4579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</row>
    <row r="10359" spans="1:11" x14ac:dyDescent="0.2">
      <c r="A10359" s="1" t="s">
        <v>342</v>
      </c>
      <c r="B10359" s="1" t="s">
        <v>357</v>
      </c>
      <c r="C10359" s="1" t="str">
        <f>"12200-34J00JP"</f>
        <v>12200-34J00JP</v>
      </c>
      <c r="D10359" s="1" t="str">
        <f>"12200-34J00JP"</f>
        <v>12200-34J00JP</v>
      </c>
      <c r="E10359" s="1" t="s">
        <v>4579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</row>
    <row r="10360" spans="1:11" x14ac:dyDescent="0.2">
      <c r="A10360" s="1" t="s">
        <v>342</v>
      </c>
      <c r="B10360" s="1" t="s">
        <v>358</v>
      </c>
      <c r="C10360" s="1" t="str">
        <f>"B137"</f>
        <v>B137</v>
      </c>
      <c r="D10360" s="1" t="str">
        <f>"B137"</f>
        <v>B137</v>
      </c>
      <c r="E10360" s="1" t="s">
        <v>4579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</row>
    <row r="10361" spans="1:11" x14ac:dyDescent="0.2">
      <c r="A10361" s="1" t="s">
        <v>342</v>
      </c>
      <c r="B10361" s="1" t="s">
        <v>359</v>
      </c>
      <c r="C10361" s="1" t="str">
        <f>"12161-12F80JP"</f>
        <v>12161-12F80JP</v>
      </c>
      <c r="D10361" s="1" t="str">
        <f>"12161-12F80JP"</f>
        <v>12161-12F80JP</v>
      </c>
      <c r="E10361" s="1" t="s">
        <v>4579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</row>
    <row r="10362" spans="1:11" ht="30" x14ac:dyDescent="0.2">
      <c r="A10362" s="1" t="s">
        <v>342</v>
      </c>
      <c r="B10362" s="1" t="s">
        <v>360</v>
      </c>
      <c r="C10362" s="1" t="str">
        <f>"400506"</f>
        <v>400506</v>
      </c>
      <c r="D10362" s="1" t="str">
        <f>"400506"</f>
        <v>400506</v>
      </c>
      <c r="E10362" s="1" t="s">
        <v>4579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</row>
    <row r="10363" spans="1:11" x14ac:dyDescent="0.2">
      <c r="A10363" s="1" t="s">
        <v>342</v>
      </c>
      <c r="B10363" s="1" t="s">
        <v>361</v>
      </c>
      <c r="C10363" s="1" t="str">
        <f>"12105-12F50JP"</f>
        <v>12105-12F50JP</v>
      </c>
      <c r="D10363" s="1" t="str">
        <f>"12105-12F50JP"</f>
        <v>12105-12F50JP</v>
      </c>
      <c r="E10363" s="1" t="s">
        <v>4579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</row>
    <row r="10364" spans="1:11" ht="30" x14ac:dyDescent="0.2">
      <c r="A10364" s="1" t="s">
        <v>342</v>
      </c>
      <c r="B10364" s="1" t="s">
        <v>362</v>
      </c>
      <c r="C10364" s="1" t="str">
        <f>"12200-30HA0"</f>
        <v>12200-30HA0</v>
      </c>
      <c r="D10364" s="1" t="str">
        <f>"12200-30HA0"</f>
        <v>12200-30HA0</v>
      </c>
      <c r="E10364" s="1" t="s">
        <v>4579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</row>
    <row r="10365" spans="1:11" ht="30" x14ac:dyDescent="0.2">
      <c r="A10365" s="1" t="s">
        <v>342</v>
      </c>
      <c r="B10365" s="1" t="s">
        <v>363</v>
      </c>
      <c r="C10365" s="1" t="str">
        <f>"400509"</f>
        <v>400509</v>
      </c>
      <c r="D10365" s="1" t="str">
        <f>"400509"</f>
        <v>400509</v>
      </c>
      <c r="E10365" s="1" t="s">
        <v>4579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</row>
    <row r="10366" spans="1:11" ht="30" x14ac:dyDescent="0.2">
      <c r="A10366" s="1" t="s">
        <v>342</v>
      </c>
      <c r="B10366" s="1" t="s">
        <v>364</v>
      </c>
      <c r="C10366" s="1" t="str">
        <f>"400151"</f>
        <v>400151</v>
      </c>
      <c r="D10366" s="1" t="str">
        <f>"400151"</f>
        <v>400151</v>
      </c>
      <c r="E10366" s="1" t="s">
        <v>4579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</row>
    <row r="10367" spans="1:11" x14ac:dyDescent="0.2">
      <c r="A10367" s="1" t="s">
        <v>342</v>
      </c>
      <c r="B10367" s="1" t="s">
        <v>365</v>
      </c>
      <c r="C10367" s="1" t="str">
        <f>"66298796247832"</f>
        <v>66298796247832</v>
      </c>
      <c r="D10367" s="1" t="str">
        <f>"12161-42A01JP"</f>
        <v>12161-42A01JP</v>
      </c>
      <c r="E10367" s="1" t="s">
        <v>4579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</row>
    <row r="10368" spans="1:11" ht="30" x14ac:dyDescent="0.2">
      <c r="A10368" s="1" t="s">
        <v>342</v>
      </c>
      <c r="B10368" s="1" t="s">
        <v>366</v>
      </c>
      <c r="C10368" s="1" t="str">
        <f>"400512"</f>
        <v>400512</v>
      </c>
      <c r="D10368" s="1" t="str">
        <f>"400512"</f>
        <v>400512</v>
      </c>
      <c r="E10368" s="1" t="s">
        <v>4579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</row>
    <row r="10369" spans="1:11" ht="30" x14ac:dyDescent="0.2">
      <c r="A10369" s="1" t="s">
        <v>342</v>
      </c>
      <c r="B10369" s="1" t="s">
        <v>367</v>
      </c>
      <c r="C10369" s="1" t="str">
        <f>"400493"</f>
        <v>400493</v>
      </c>
      <c r="D10369" s="1" t="str">
        <f>"400493"</f>
        <v>400493</v>
      </c>
      <c r="E10369" s="1" t="s">
        <v>4579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</row>
    <row r="10370" spans="1:11" x14ac:dyDescent="0.2">
      <c r="A10370" s="1" t="s">
        <v>342</v>
      </c>
      <c r="B10370" s="1" t="s">
        <v>368</v>
      </c>
      <c r="C10370" s="1" t="str">
        <f>"66298796449239"</f>
        <v>66298796449239</v>
      </c>
      <c r="D10370" s="1" t="str">
        <f>"JE-5310-00"</f>
        <v>JE-5310-00</v>
      </c>
      <c r="E10370" s="1" t="s">
        <v>4579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</row>
    <row r="10371" spans="1:11" ht="30" x14ac:dyDescent="0.2">
      <c r="A10371" s="1" t="s">
        <v>342</v>
      </c>
      <c r="B10371" s="1" t="s">
        <v>369</v>
      </c>
      <c r="C10371" s="1" t="str">
        <f>"400513"</f>
        <v>400513</v>
      </c>
      <c r="D10371" s="1" t="str">
        <f>"400513"</f>
        <v>400513</v>
      </c>
      <c r="E10371" s="1" t="s">
        <v>4579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</row>
    <row r="10372" spans="1:11" ht="30" x14ac:dyDescent="0.2">
      <c r="A10372" s="1" t="s">
        <v>342</v>
      </c>
      <c r="B10372" s="1" t="s">
        <v>370</v>
      </c>
      <c r="C10372" s="1" t="str">
        <f>"400514"</f>
        <v>400514</v>
      </c>
      <c r="D10372" s="1" t="str">
        <f>"400514"</f>
        <v>400514</v>
      </c>
      <c r="E10372" s="1" t="s">
        <v>4579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</row>
    <row r="10373" spans="1:11" ht="30" x14ac:dyDescent="0.2">
      <c r="A10373" s="1" t="s">
        <v>342</v>
      </c>
      <c r="B10373" s="1" t="s">
        <v>371</v>
      </c>
      <c r="C10373" s="1" t="str">
        <f>"400492"</f>
        <v>400492</v>
      </c>
      <c r="D10373" s="1" t="str">
        <f>"400492"</f>
        <v>400492</v>
      </c>
      <c r="E10373" s="1" t="s">
        <v>4579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</row>
    <row r="10374" spans="1:11" ht="30" x14ac:dyDescent="0.2">
      <c r="A10374" s="1" t="s">
        <v>342</v>
      </c>
      <c r="B10374" s="1" t="s">
        <v>372</v>
      </c>
      <c r="C10374" s="1" t="str">
        <f>"13201-GY6-150JP"</f>
        <v>13201-GY6-150JP</v>
      </c>
      <c r="D10374" s="1" t="str">
        <f>"13201-GY6-150JP"</f>
        <v>13201-GY6-150JP</v>
      </c>
      <c r="E10374" s="1" t="s">
        <v>4579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</row>
    <row r="10375" spans="1:11" ht="30" x14ac:dyDescent="0.2">
      <c r="A10375" s="1" t="s">
        <v>342</v>
      </c>
      <c r="B10375" s="1" t="s">
        <v>373</v>
      </c>
      <c r="C10375" s="1" t="str">
        <f>"400494"</f>
        <v>400494</v>
      </c>
      <c r="D10375" s="1" t="str">
        <f>"400494"</f>
        <v>400494</v>
      </c>
      <c r="E10375" s="1" t="s">
        <v>4579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</row>
    <row r="10376" spans="1:11" ht="30" x14ac:dyDescent="0.2">
      <c r="A10376" s="1" t="s">
        <v>342</v>
      </c>
      <c r="B10376" s="1" t="s">
        <v>374</v>
      </c>
      <c r="C10376" s="1" t="str">
        <f>"4ST-11650-00NPC"</f>
        <v>4ST-11650-00NPC</v>
      </c>
      <c r="D10376" s="1" t="str">
        <f>"4ST-11650-00NPC"</f>
        <v>4ST-11650-00NPC</v>
      </c>
      <c r="E10376" s="1" t="s">
        <v>4579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</row>
    <row r="10377" spans="1:11" x14ac:dyDescent="0.2">
      <c r="A10377" s="1" t="s">
        <v>342</v>
      </c>
      <c r="B10377" s="1" t="s">
        <v>375</v>
      </c>
      <c r="C10377" s="1" t="str">
        <f>"13201-KGA-B00JP"</f>
        <v>13201-KGA-B00JP</v>
      </c>
      <c r="D10377" s="1" t="str">
        <f>"13201-KGA-B00JP"</f>
        <v>13201-KGA-B00JP</v>
      </c>
      <c r="E10377" s="1" t="s">
        <v>4579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</row>
    <row r="10378" spans="1:11" ht="30" x14ac:dyDescent="0.2">
      <c r="A10378" s="1" t="s">
        <v>342</v>
      </c>
      <c r="B10378" s="1" t="s">
        <v>376</v>
      </c>
      <c r="C10378" s="1" t="str">
        <f>"13201-KPF-900JP"</f>
        <v>13201-KPF-900JP</v>
      </c>
      <c r="D10378" s="1" t="str">
        <f>"13201-KPF-900JP"</f>
        <v>13201-KPF-900JP</v>
      </c>
      <c r="E10378" s="1" t="s">
        <v>4579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</row>
    <row r="10379" spans="1:11" ht="30" x14ac:dyDescent="0.2">
      <c r="A10379" s="1" t="s">
        <v>342</v>
      </c>
      <c r="B10379" s="1" t="s">
        <v>377</v>
      </c>
      <c r="C10379" s="1" t="str">
        <f>"66298796836047"</f>
        <v>66298796836047</v>
      </c>
      <c r="D10379" s="1" t="str">
        <f>"400158"</f>
        <v>400158</v>
      </c>
      <c r="E10379" s="1" t="s">
        <v>4579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</row>
    <row r="10380" spans="1:11" ht="30" x14ac:dyDescent="0.2">
      <c r="A10380" s="1" t="s">
        <v>342</v>
      </c>
      <c r="B10380" s="1" t="s">
        <v>378</v>
      </c>
      <c r="C10380" s="1" t="str">
        <f>"400516"</f>
        <v>400516</v>
      </c>
      <c r="D10380" s="1" t="str">
        <f>"400516"</f>
        <v>400516</v>
      </c>
      <c r="E10380" s="1" t="s">
        <v>4579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</row>
    <row r="10381" spans="1:11" ht="30" x14ac:dyDescent="0.2">
      <c r="A10381" s="1" t="s">
        <v>342</v>
      </c>
      <c r="B10381" s="1" t="s">
        <v>379</v>
      </c>
      <c r="C10381" s="1" t="str">
        <f>"400148"</f>
        <v>400148</v>
      </c>
      <c r="D10381" s="1" t="str">
        <f>"400148"</f>
        <v>400148</v>
      </c>
      <c r="E10381" s="1" t="s">
        <v>4579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</row>
    <row r="10382" spans="1:11" x14ac:dyDescent="0.2">
      <c r="A10382" s="1" t="s">
        <v>342</v>
      </c>
      <c r="B10382" s="1" t="s">
        <v>380</v>
      </c>
      <c r="C10382" s="1" t="str">
        <f>"4LS-11651-00IN"</f>
        <v>4LS-11651-00IN</v>
      </c>
      <c r="D10382" s="1" t="str">
        <f>"4LS-11651-00IN"</f>
        <v>4LS-11651-00IN</v>
      </c>
      <c r="E10382" s="1" t="s">
        <v>4579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</row>
    <row r="10383" spans="1:11" x14ac:dyDescent="0.2">
      <c r="A10383" s="1" t="s">
        <v>342</v>
      </c>
      <c r="B10383" s="1" t="s">
        <v>381</v>
      </c>
      <c r="C10383" s="1" t="str">
        <f>"66298796967058"</f>
        <v>66298796967058</v>
      </c>
      <c r="D10383" s="1" t="str">
        <f>"WPR158"</f>
        <v>WPR158</v>
      </c>
      <c r="E10383" s="1" t="s">
        <v>4579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</row>
    <row r="10384" spans="1:11" x14ac:dyDescent="0.2">
      <c r="A10384" s="1" t="s">
        <v>342</v>
      </c>
      <c r="B10384" s="1" t="s">
        <v>382</v>
      </c>
      <c r="C10384" s="1" t="str">
        <f>"4VP-11650-00JP"</f>
        <v>4VP-11650-00JP</v>
      </c>
      <c r="D10384" s="1" t="str">
        <f>"4VP-11650-00JP"</f>
        <v>4VP-11650-00JP</v>
      </c>
      <c r="E10384" s="1" t="s">
        <v>4579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</row>
    <row r="10385" spans="1:11" ht="30" x14ac:dyDescent="0.2">
      <c r="A10385" s="1" t="s">
        <v>342</v>
      </c>
      <c r="B10385" s="1" t="s">
        <v>383</v>
      </c>
      <c r="C10385" s="1" t="str">
        <f>"400501"</f>
        <v>400501</v>
      </c>
      <c r="D10385" s="1" t="str">
        <f>"400501"</f>
        <v>400501</v>
      </c>
      <c r="E10385" s="1" t="s">
        <v>4579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</row>
    <row r="10386" spans="1:11" ht="30" x14ac:dyDescent="0.2">
      <c r="A10386" s="1" t="s">
        <v>342</v>
      </c>
      <c r="B10386" s="1" t="s">
        <v>384</v>
      </c>
      <c r="C10386" s="1" t="str">
        <f>"5LW-11650-00JP"</f>
        <v>5LW-11650-00JP</v>
      </c>
      <c r="D10386" s="1" t="str">
        <f>"5LW-11650-00JP"</f>
        <v>5LW-11650-00JP</v>
      </c>
      <c r="E10386" s="1" t="s">
        <v>4579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</row>
    <row r="10387" spans="1:11" x14ac:dyDescent="0.2">
      <c r="A10387" s="1" t="s">
        <v>342</v>
      </c>
      <c r="B10387" s="1" t="s">
        <v>385</v>
      </c>
      <c r="C10387" s="1" t="str">
        <f>"66298797139480"</f>
        <v>66298797139480</v>
      </c>
      <c r="D10387" s="1" t="str">
        <f>"00-292"</f>
        <v>00-292</v>
      </c>
      <c r="E10387" s="1" t="s">
        <v>4579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</row>
    <row r="10388" spans="1:11" ht="30" x14ac:dyDescent="0.2">
      <c r="A10388" s="1" t="s">
        <v>342</v>
      </c>
      <c r="B10388" s="1" t="s">
        <v>386</v>
      </c>
      <c r="C10388" s="1" t="str">
        <f>"JP2001-30"</f>
        <v>JP2001-30</v>
      </c>
      <c r="D10388" s="1" t="str">
        <f>"JP2001-30"</f>
        <v>JP2001-30</v>
      </c>
      <c r="E10388" s="1" t="s">
        <v>4579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</row>
    <row r="10389" spans="1:11" x14ac:dyDescent="0.2">
      <c r="A10389" s="1" t="s">
        <v>18</v>
      </c>
      <c r="B10389" s="1" t="s">
        <v>387</v>
      </c>
      <c r="C10389" s="1" t="str">
        <f>"792"</f>
        <v>792</v>
      </c>
      <c r="D10389" s="1" t="str">
        <f>"792"</f>
        <v>792</v>
      </c>
      <c r="E10389" s="1" t="s">
        <v>4579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</row>
    <row r="10390" spans="1:11" x14ac:dyDescent="0.2">
      <c r="A10390" s="1" t="s">
        <v>18</v>
      </c>
      <c r="B10390" s="1" t="s">
        <v>387</v>
      </c>
      <c r="C10390" s="1" t="str">
        <f>"570"</f>
        <v>570</v>
      </c>
      <c r="D10390" s="1" t="str">
        <f>"570"</f>
        <v>570</v>
      </c>
      <c r="E10390" s="1" t="s">
        <v>4579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</row>
    <row r="10391" spans="1:11" x14ac:dyDescent="0.2">
      <c r="A10391" s="1" t="s">
        <v>388</v>
      </c>
      <c r="B10391" s="1" t="s">
        <v>389</v>
      </c>
      <c r="C10391" s="1" t="str">
        <f>"66298797219742"</f>
        <v>66298797219742</v>
      </c>
      <c r="D10391" s="1" t="str">
        <f>"1541"</f>
        <v>1541</v>
      </c>
      <c r="E10391" s="1" t="s">
        <v>4579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</row>
    <row r="10392" spans="1:11" x14ac:dyDescent="0.2">
      <c r="A10392" s="1" t="s">
        <v>388</v>
      </c>
      <c r="B10392" s="1" t="s">
        <v>390</v>
      </c>
      <c r="C10392" s="1" t="str">
        <f>"DF-1110-40HB"</f>
        <v>DF-1110-40HB</v>
      </c>
      <c r="D10392" s="1" t="str">
        <f>"DF-1110-40HB"</f>
        <v>DF-1110-40HB</v>
      </c>
      <c r="E10392" s="1" t="s">
        <v>4579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</row>
    <row r="10393" spans="1:11" x14ac:dyDescent="0.2">
      <c r="A10393" s="1" t="s">
        <v>388</v>
      </c>
      <c r="B10393" s="1" t="s">
        <v>391</v>
      </c>
      <c r="C10393" s="1" t="str">
        <f>"66298797259954"</f>
        <v>66298797259954</v>
      </c>
      <c r="D10393" s="1" t="str">
        <f>"PA-3512-01HB"</f>
        <v>PA-3512-01HB</v>
      </c>
      <c r="E10393" s="1" t="s">
        <v>4579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</row>
    <row r="10394" spans="1:11" x14ac:dyDescent="0.2">
      <c r="A10394" s="1" t="s">
        <v>388</v>
      </c>
      <c r="B10394" s="1" t="s">
        <v>392</v>
      </c>
      <c r="C10394" s="1" t="str">
        <f>"66298797301729"</f>
        <v>66298797301729</v>
      </c>
      <c r="D10394" s="1" t="str">
        <f>"30500-KTE-910HB"</f>
        <v>30500-KTE-910HB</v>
      </c>
      <c r="E10394" s="1" t="s">
        <v>4579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</row>
    <row r="10395" spans="1:11" x14ac:dyDescent="0.2">
      <c r="A10395" s="1" t="s">
        <v>388</v>
      </c>
      <c r="B10395" s="1" t="s">
        <v>393</v>
      </c>
      <c r="C10395" s="1" t="str">
        <f>"66298797341619"</f>
        <v>66298797341619</v>
      </c>
      <c r="D10395" s="1" t="str">
        <f>"83162"</f>
        <v>83162</v>
      </c>
      <c r="E10395" s="1" t="s">
        <v>4579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</row>
    <row r="10396" spans="1:11" x14ac:dyDescent="0.2">
      <c r="A10396" s="1" t="s">
        <v>388</v>
      </c>
      <c r="B10396" s="1" t="s">
        <v>394</v>
      </c>
      <c r="C10396" s="1" t="str">
        <f>"66298797383306"</f>
        <v>66298797383306</v>
      </c>
      <c r="D10396" s="1" t="str">
        <f>"30500-KST-940HB"</f>
        <v>30500-KST-940HB</v>
      </c>
      <c r="E10396" s="1" t="s">
        <v>4579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</row>
    <row r="10397" spans="1:11" x14ac:dyDescent="0.2">
      <c r="A10397" s="1" t="s">
        <v>388</v>
      </c>
      <c r="B10397" s="1" t="s">
        <v>395</v>
      </c>
      <c r="C10397" s="1" t="str">
        <f>"66298797418029"</f>
        <v>66298797418029</v>
      </c>
      <c r="D10397" s="1" t="str">
        <f>"80789"</f>
        <v>80789</v>
      </c>
      <c r="E10397" s="1" t="s">
        <v>4579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</row>
    <row r="10398" spans="1:11" x14ac:dyDescent="0.2">
      <c r="A10398" s="1" t="s">
        <v>388</v>
      </c>
      <c r="B10398" s="1" t="s">
        <v>396</v>
      </c>
      <c r="C10398" s="1" t="str">
        <f>"B069"</f>
        <v>B069</v>
      </c>
      <c r="D10398" s="1" t="str">
        <f>"B069"</f>
        <v>B069</v>
      </c>
      <c r="E10398" s="1" t="s">
        <v>4579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</row>
    <row r="10399" spans="1:11" x14ac:dyDescent="0.2">
      <c r="A10399" s="1" t="s">
        <v>388</v>
      </c>
      <c r="B10399" s="1" t="s">
        <v>397</v>
      </c>
      <c r="C10399" s="1" t="str">
        <f>"66298797499279"</f>
        <v>66298797499279</v>
      </c>
      <c r="D10399" s="1" t="str">
        <f>"401088"</f>
        <v>401088</v>
      </c>
      <c r="E10399" s="1" t="s">
        <v>4579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</row>
    <row r="10400" spans="1:11" x14ac:dyDescent="0.2">
      <c r="A10400" s="1" t="s">
        <v>388</v>
      </c>
      <c r="B10400" s="1" t="s">
        <v>398</v>
      </c>
      <c r="C10400" s="1" t="str">
        <f>"30500-KRE-900"</f>
        <v>30500-KRE-900</v>
      </c>
      <c r="D10400" s="1" t="str">
        <f>"30500-KRE-900"</f>
        <v>30500-KRE-900</v>
      </c>
      <c r="E10400" s="1" t="s">
        <v>4579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</row>
    <row r="10401" spans="1:11" x14ac:dyDescent="0.2">
      <c r="A10401" s="1" t="s">
        <v>388</v>
      </c>
      <c r="B10401" s="1" t="s">
        <v>399</v>
      </c>
      <c r="C10401" s="1" t="str">
        <f>"66298797457668"</f>
        <v>66298797457668</v>
      </c>
      <c r="D10401" s="1" t="str">
        <f>"80790"</f>
        <v>80790</v>
      </c>
      <c r="E10401" s="1" t="s">
        <v>4579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</row>
    <row r="10402" spans="1:11" x14ac:dyDescent="0.2">
      <c r="A10402" s="1" t="s">
        <v>388</v>
      </c>
      <c r="B10402" s="1" t="s">
        <v>400</v>
      </c>
      <c r="C10402" s="1" t="str">
        <f>"85248"</f>
        <v>85248</v>
      </c>
      <c r="D10402" s="1" t="str">
        <f>"85248"</f>
        <v>85248</v>
      </c>
      <c r="E10402" s="1" t="s">
        <v>4579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</row>
    <row r="10403" spans="1:11" x14ac:dyDescent="0.2">
      <c r="A10403" s="1" t="s">
        <v>388</v>
      </c>
      <c r="B10403" s="1" t="s">
        <v>401</v>
      </c>
      <c r="C10403" s="1" t="str">
        <f>"66298797537120"</f>
        <v>66298797537120</v>
      </c>
      <c r="D10403" s="1" t="str">
        <f>"DS-1110-35HB"</f>
        <v>DS-1110-35HB</v>
      </c>
      <c r="E10403" s="1" t="s">
        <v>4579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</row>
    <row r="10404" spans="1:11" x14ac:dyDescent="0.2">
      <c r="A10404" s="1" t="s">
        <v>388</v>
      </c>
      <c r="B10404" s="1" t="s">
        <v>402</v>
      </c>
      <c r="C10404" s="1" t="str">
        <f>"66298797588228"</f>
        <v>66298797588228</v>
      </c>
      <c r="D10404" s="1" t="str">
        <f>"83131"</f>
        <v>83131</v>
      </c>
      <c r="E10404" s="1" t="s">
        <v>4579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</row>
    <row r="10405" spans="1:11" x14ac:dyDescent="0.2">
      <c r="A10405" s="1" t="s">
        <v>388</v>
      </c>
      <c r="B10405" s="1" t="s">
        <v>402</v>
      </c>
      <c r="C10405" s="1" t="str">
        <f>"66298797595659"</f>
        <v>66298797595659</v>
      </c>
      <c r="D10405" s="1" t="str">
        <f>"45D-H2310-00HB"</f>
        <v>45D-H2310-00HB</v>
      </c>
      <c r="E10405" s="1" t="s">
        <v>4579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</row>
    <row r="10406" spans="1:11" x14ac:dyDescent="0.2">
      <c r="A10406" s="1" t="s">
        <v>388</v>
      </c>
      <c r="B10406" s="1" t="s">
        <v>402</v>
      </c>
      <c r="C10406" s="1" t="str">
        <f>"66298797602960"</f>
        <v>66298797602960</v>
      </c>
      <c r="D10406" s="1" t="str">
        <f>"VB002"</f>
        <v>VB002</v>
      </c>
      <c r="E10406" s="1" t="s">
        <v>4579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</row>
    <row r="10407" spans="1:11" ht="30" x14ac:dyDescent="0.2">
      <c r="A10407" s="1" t="s">
        <v>388</v>
      </c>
      <c r="B10407" s="1" t="s">
        <v>403</v>
      </c>
      <c r="C10407" s="1" t="str">
        <f>"66298797669217"</f>
        <v>66298797669217</v>
      </c>
      <c r="D10407" s="1" t="str">
        <f>"80793"</f>
        <v>80793</v>
      </c>
      <c r="E10407" s="1" t="s">
        <v>4579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</row>
    <row r="10408" spans="1:11" ht="30" x14ac:dyDescent="0.2">
      <c r="A10408" s="1" t="s">
        <v>388</v>
      </c>
      <c r="B10408" s="1" t="s">
        <v>404</v>
      </c>
      <c r="C10408" s="1" t="str">
        <f>"66298797711956"</f>
        <v>66298797711956</v>
      </c>
      <c r="D10408" s="1" t="str">
        <f>"401089"</f>
        <v>401089</v>
      </c>
      <c r="E10408" s="1" t="s">
        <v>4579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</row>
    <row r="10409" spans="1:11" x14ac:dyDescent="0.2">
      <c r="A10409" s="1" t="s">
        <v>388</v>
      </c>
      <c r="B10409" s="1" t="s">
        <v>405</v>
      </c>
      <c r="C10409" s="1" t="str">
        <f>"66298797756831"</f>
        <v>66298797756831</v>
      </c>
      <c r="D10409" s="1" t="str">
        <f>"82784"</f>
        <v>82784</v>
      </c>
      <c r="E10409" s="1" t="s">
        <v>4579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</row>
    <row r="10410" spans="1:11" x14ac:dyDescent="0.2">
      <c r="A10410" s="1" t="s">
        <v>388</v>
      </c>
      <c r="B10410" s="1" t="s">
        <v>405</v>
      </c>
      <c r="C10410" s="1" t="str">
        <f>"66298797762702"</f>
        <v>66298797762702</v>
      </c>
      <c r="D10410" s="1" t="str">
        <f>"VB005"</f>
        <v>VB005</v>
      </c>
      <c r="E10410" s="1" t="s">
        <v>4579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</row>
    <row r="10411" spans="1:11" x14ac:dyDescent="0.2">
      <c r="A10411" s="1" t="s">
        <v>388</v>
      </c>
      <c r="B10411" s="1" t="s">
        <v>406</v>
      </c>
      <c r="C10411" s="1" t="str">
        <f>"66298797815481"</f>
        <v>66298797815481</v>
      </c>
      <c r="D10411" s="1" t="str">
        <f>"84116"</f>
        <v>84116</v>
      </c>
      <c r="E10411" s="1" t="s">
        <v>4579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</row>
    <row r="10412" spans="1:11" x14ac:dyDescent="0.2">
      <c r="A10412" s="1" t="s">
        <v>388</v>
      </c>
      <c r="B10412" s="1" t="s">
        <v>407</v>
      </c>
      <c r="C10412" s="1" t="str">
        <f>"66298797857135"</f>
        <v>66298797857135</v>
      </c>
      <c r="D10412" s="1" t="str">
        <f>"DJ-1110-59HB"</f>
        <v>DJ-1110-59HB</v>
      </c>
      <c r="E10412" s="1" t="s">
        <v>4579</v>
      </c>
      <c r="F10412" s="1">
        <v>1</v>
      </c>
      <c r="G10412" s="1">
        <v>4505</v>
      </c>
      <c r="H10412" s="1">
        <v>4505</v>
      </c>
      <c r="I10412" s="1">
        <v>0</v>
      </c>
      <c r="J10412" s="1">
        <v>1</v>
      </c>
      <c r="K10412" s="1">
        <v>0</v>
      </c>
    </row>
    <row r="10413" spans="1:11" x14ac:dyDescent="0.2">
      <c r="A10413" s="1" t="s">
        <v>388</v>
      </c>
      <c r="B10413" s="1" t="s">
        <v>408</v>
      </c>
      <c r="C10413" s="1" t="str">
        <f>"66298797942168"</f>
        <v>66298797942168</v>
      </c>
      <c r="D10413" s="1" t="str">
        <f>"BOB-SCOOTER"</f>
        <v>BOB-SCOOTER</v>
      </c>
      <c r="E10413" s="1" t="s">
        <v>4579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</row>
    <row r="10414" spans="1:11" x14ac:dyDescent="0.2">
      <c r="A10414" s="1" t="s">
        <v>388</v>
      </c>
      <c r="B10414" s="1" t="s">
        <v>409</v>
      </c>
      <c r="C10414" s="1" t="str">
        <f>"66298797899375"</f>
        <v>66298797899375</v>
      </c>
      <c r="D10414" s="1" t="str">
        <f>"82314"</f>
        <v>82314</v>
      </c>
      <c r="E10414" s="1" t="s">
        <v>4579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</row>
    <row r="10415" spans="1:11" x14ac:dyDescent="0.2">
      <c r="A10415" s="1" t="s">
        <v>388</v>
      </c>
      <c r="B10415" s="1" t="s">
        <v>409</v>
      </c>
      <c r="C10415" s="1" t="str">
        <f>"H1079"</f>
        <v>H1079</v>
      </c>
      <c r="D10415" s="1" t="str">
        <f>"H1079"</f>
        <v>H1079</v>
      </c>
      <c r="E10415" s="1" t="s">
        <v>4579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</row>
    <row r="10416" spans="1:11" x14ac:dyDescent="0.2">
      <c r="A10416" s="1" t="s">
        <v>388</v>
      </c>
      <c r="B10416" s="1" t="s">
        <v>410</v>
      </c>
      <c r="C10416" s="1" t="str">
        <f>"66298797982311"</f>
        <v>66298797982311</v>
      </c>
      <c r="D10416" s="1" t="str">
        <f>"401090"</f>
        <v>401090</v>
      </c>
      <c r="E10416" s="1" t="s">
        <v>4579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</row>
    <row r="10417" spans="1:11" x14ac:dyDescent="0.2">
      <c r="A10417" s="1" t="s">
        <v>388</v>
      </c>
      <c r="B10417" s="1" t="s">
        <v>411</v>
      </c>
      <c r="C10417" s="1" t="str">
        <f>"66298798020429"</f>
        <v>66298798020429</v>
      </c>
      <c r="D10417" s="1" t="str">
        <f>"N9060180HB"</f>
        <v>N9060180HB</v>
      </c>
      <c r="E10417" s="1" t="s">
        <v>4579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</row>
    <row r="10418" spans="1:11" x14ac:dyDescent="0.2">
      <c r="A10418" s="1" t="s">
        <v>388</v>
      </c>
      <c r="B10418" s="1" t="s">
        <v>412</v>
      </c>
      <c r="C10418" s="1" t="str">
        <f>"66298798057807"</f>
        <v>66298798057807</v>
      </c>
      <c r="D10418" s="1" t="str">
        <f>"33410H87700H000"</f>
        <v>33410H87700H000</v>
      </c>
      <c r="E10418" s="1" t="s">
        <v>4579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</row>
    <row r="10419" spans="1:11" x14ac:dyDescent="0.2">
      <c r="A10419" s="1" t="s">
        <v>388</v>
      </c>
      <c r="B10419" s="1" t="s">
        <v>413</v>
      </c>
      <c r="C10419" s="1" t="str">
        <f>"66298798096122"</f>
        <v>66298798096122</v>
      </c>
      <c r="D10419" s="1" t="str">
        <f>"VB007"</f>
        <v>VB007</v>
      </c>
      <c r="E10419" s="1" t="s">
        <v>4579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</row>
    <row r="10420" spans="1:11" x14ac:dyDescent="0.2">
      <c r="A10420" s="1" t="s">
        <v>388</v>
      </c>
      <c r="B10420" s="1" t="s">
        <v>414</v>
      </c>
      <c r="C10420" s="1" t="str">
        <f>"85230"</f>
        <v>85230</v>
      </c>
      <c r="D10420" s="1" t="str">
        <f>"85230"</f>
        <v>85230</v>
      </c>
      <c r="E10420" s="1" t="s">
        <v>4579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</row>
    <row r="10421" spans="1:11" x14ac:dyDescent="0.2">
      <c r="A10421" s="1" t="s">
        <v>388</v>
      </c>
      <c r="B10421" s="1" t="s">
        <v>415</v>
      </c>
      <c r="C10421" s="1" t="str">
        <f>"66298798136214"</f>
        <v>66298798136214</v>
      </c>
      <c r="D10421" s="1" t="str">
        <f>"80792"</f>
        <v>80792</v>
      </c>
      <c r="E10421" s="1" t="s">
        <v>4579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</row>
    <row r="10422" spans="1:11" x14ac:dyDescent="0.2">
      <c r="A10422" s="1" t="s">
        <v>388</v>
      </c>
      <c r="B10422" s="1" t="s">
        <v>416</v>
      </c>
      <c r="C10422" s="1" t="str">
        <f>"66298798178433"</f>
        <v>66298798178433</v>
      </c>
      <c r="D10422" s="1" t="str">
        <f>"1P5-H2310-00"</f>
        <v>1P5-H2310-00</v>
      </c>
      <c r="E10422" s="1" t="s">
        <v>4579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</row>
    <row r="10423" spans="1:11" x14ac:dyDescent="0.2">
      <c r="A10423" s="1" t="s">
        <v>417</v>
      </c>
      <c r="B10423" s="1" t="s">
        <v>418</v>
      </c>
      <c r="C10423" s="1" t="str">
        <f>"66298798284733"</f>
        <v>66298798284733</v>
      </c>
      <c r="D10423" s="1" t="str">
        <f>"190302"</f>
        <v>190302</v>
      </c>
      <c r="E10423" s="1" t="s">
        <v>4579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</row>
    <row r="10424" spans="1:11" x14ac:dyDescent="0.2">
      <c r="A10424" s="1" t="s">
        <v>417</v>
      </c>
      <c r="B10424" s="1" t="s">
        <v>419</v>
      </c>
      <c r="C10424" s="1" t="str">
        <f>"66298798324111"</f>
        <v>66298798324111</v>
      </c>
      <c r="D10424" s="1" t="str">
        <f>"400593"</f>
        <v>400593</v>
      </c>
      <c r="E10424" s="1" t="s">
        <v>4579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</row>
    <row r="10425" spans="1:11" x14ac:dyDescent="0.2">
      <c r="A10425" s="1" t="s">
        <v>417</v>
      </c>
      <c r="B10425" s="1" t="s">
        <v>420</v>
      </c>
      <c r="C10425" s="1" t="str">
        <f>"66298798367345"</f>
        <v>66298798367345</v>
      </c>
      <c r="D10425" s="1" t="str">
        <f>"827"</f>
        <v>827</v>
      </c>
      <c r="E10425" s="1" t="s">
        <v>4579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</row>
    <row r="10426" spans="1:11" x14ac:dyDescent="0.2">
      <c r="A10426" s="1" t="s">
        <v>417</v>
      </c>
      <c r="B10426" s="1" t="s">
        <v>421</v>
      </c>
      <c r="C10426" s="1" t="str">
        <f>"66298798221015"</f>
        <v>66298798221015</v>
      </c>
      <c r="D10426" s="1" t="str">
        <f>"80795"</f>
        <v>80795</v>
      </c>
      <c r="E10426" s="1" t="s">
        <v>4579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</row>
    <row r="10427" spans="1:11" x14ac:dyDescent="0.2">
      <c r="A10427" s="1" t="s">
        <v>417</v>
      </c>
      <c r="B10427" s="1" t="s">
        <v>421</v>
      </c>
      <c r="C10427" s="1" t="str">
        <f>"66298798226039"</f>
        <v>66298798226039</v>
      </c>
      <c r="D10427" s="1" t="str">
        <f>"80794"</f>
        <v>80794</v>
      </c>
      <c r="E10427" s="1" t="s">
        <v>4579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</row>
    <row r="10428" spans="1:11" x14ac:dyDescent="0.2">
      <c r="A10428" s="1" t="s">
        <v>417</v>
      </c>
      <c r="B10428" s="1" t="s">
        <v>422</v>
      </c>
      <c r="C10428" s="1" t="str">
        <f>"66298798406164"</f>
        <v>66298798406164</v>
      </c>
      <c r="D10428" s="1" t="str">
        <f>"81797"</f>
        <v>81797</v>
      </c>
      <c r="E10428" s="1" t="s">
        <v>4579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</row>
    <row r="10429" spans="1:11" x14ac:dyDescent="0.2">
      <c r="A10429" s="1" t="s">
        <v>417</v>
      </c>
      <c r="B10429" s="1" t="s">
        <v>423</v>
      </c>
      <c r="C10429" s="1" t="str">
        <f>"66298798449230"</f>
        <v>66298798449230</v>
      </c>
      <c r="D10429" s="1" t="str">
        <f>"BOCINA"</f>
        <v>BOCINA</v>
      </c>
      <c r="E10429" s="1" t="s">
        <v>4579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</row>
    <row r="10430" spans="1:11" x14ac:dyDescent="0.2">
      <c r="A10430" s="1" t="s">
        <v>18</v>
      </c>
      <c r="B10430" s="1" t="s">
        <v>424</v>
      </c>
      <c r="C10430" s="1" t="str">
        <f>"66298798491810"</f>
        <v>66298798491810</v>
      </c>
      <c r="D10430" s="1" t="str">
        <f>"BOLSA-VINI"</f>
        <v>BOLSA-VINI</v>
      </c>
      <c r="E10430" s="1" t="s">
        <v>4579</v>
      </c>
      <c r="F10430" s="1">
        <v>20</v>
      </c>
      <c r="G10430" s="1">
        <v>20</v>
      </c>
      <c r="H10430" s="1">
        <v>400</v>
      </c>
      <c r="I10430" s="1">
        <v>0</v>
      </c>
      <c r="J10430" s="1">
        <v>20</v>
      </c>
      <c r="K10430" s="1">
        <v>0</v>
      </c>
    </row>
    <row r="10431" spans="1:11" x14ac:dyDescent="0.2">
      <c r="A10431" s="1" t="s">
        <v>425</v>
      </c>
      <c r="B10431" s="1" t="s">
        <v>426</v>
      </c>
      <c r="C10431" s="1" t="str">
        <f>"66298798533811"</f>
        <v>66298798533811</v>
      </c>
      <c r="D10431" s="1" t="str">
        <f>"400762"</f>
        <v>400762</v>
      </c>
      <c r="E10431" s="1" t="s">
        <v>4579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</row>
    <row r="10432" spans="1:11" x14ac:dyDescent="0.2">
      <c r="A10432" s="1" t="s">
        <v>425</v>
      </c>
      <c r="B10432" s="1" t="s">
        <v>427</v>
      </c>
      <c r="C10432" s="1" t="str">
        <f>"B092"</f>
        <v>B092</v>
      </c>
      <c r="D10432" s="1" t="str">
        <f>"B092"</f>
        <v>B092</v>
      </c>
      <c r="E10432" s="1" t="s">
        <v>4579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</row>
    <row r="10433" spans="1:11" x14ac:dyDescent="0.2">
      <c r="A10433" s="1" t="s">
        <v>425</v>
      </c>
      <c r="B10433" s="1" t="s">
        <v>428</v>
      </c>
      <c r="C10433" s="1" t="str">
        <f>"66298798661833"</f>
        <v>66298798661833</v>
      </c>
      <c r="D10433" s="1" t="str">
        <f>"400765"</f>
        <v>400765</v>
      </c>
      <c r="E10433" s="1" t="s">
        <v>4579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</row>
    <row r="10434" spans="1:11" x14ac:dyDescent="0.2">
      <c r="A10434" s="1" t="s">
        <v>425</v>
      </c>
      <c r="B10434" s="1" t="s">
        <v>429</v>
      </c>
      <c r="C10434" s="1" t="str">
        <f>"11450"</f>
        <v>11450</v>
      </c>
      <c r="D10434" s="1" t="str">
        <f>"11450"</f>
        <v>11450</v>
      </c>
      <c r="E10434" s="1" t="s">
        <v>4579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</row>
    <row r="10435" spans="1:11" x14ac:dyDescent="0.2">
      <c r="A10435" s="1" t="s">
        <v>425</v>
      </c>
      <c r="B10435" s="1" t="s">
        <v>430</v>
      </c>
      <c r="C10435" s="1" t="str">
        <f>"66298798617551"</f>
        <v>66298798617551</v>
      </c>
      <c r="D10435" s="1" t="str">
        <f>"400998"</f>
        <v>400998</v>
      </c>
      <c r="E10435" s="1" t="s">
        <v>4579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</row>
    <row r="10436" spans="1:11" x14ac:dyDescent="0.2">
      <c r="A10436" s="1" t="s">
        <v>425</v>
      </c>
      <c r="B10436" s="1" t="s">
        <v>431</v>
      </c>
      <c r="C10436" s="1" t="str">
        <f>"66298798703427"</f>
        <v>66298798703427</v>
      </c>
      <c r="D10436" s="1" t="str">
        <f>"400766"</f>
        <v>400766</v>
      </c>
      <c r="E10436" s="1" t="s">
        <v>4579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</row>
    <row r="10437" spans="1:11" x14ac:dyDescent="0.2">
      <c r="A10437" s="1" t="s">
        <v>425</v>
      </c>
      <c r="B10437" s="1" t="s">
        <v>432</v>
      </c>
      <c r="C10437" s="1" t="str">
        <f>"66298798749546"</f>
        <v>66298798749546</v>
      </c>
      <c r="D10437" s="1" t="str">
        <f>"80319"</f>
        <v>80319</v>
      </c>
      <c r="E10437" s="1" t="s">
        <v>4579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</row>
    <row r="10438" spans="1:11" x14ac:dyDescent="0.2">
      <c r="A10438" s="1" t="s">
        <v>425</v>
      </c>
      <c r="B10438" s="1" t="s">
        <v>433</v>
      </c>
      <c r="C10438" s="1" t="str">
        <f>"66298798830569"</f>
        <v>66298798830569</v>
      </c>
      <c r="D10438" s="1" t="str">
        <f>"400763"</f>
        <v>400763</v>
      </c>
      <c r="E10438" s="1" t="s">
        <v>4579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</row>
    <row r="10439" spans="1:11" x14ac:dyDescent="0.2">
      <c r="A10439" s="1" t="s">
        <v>425</v>
      </c>
      <c r="B10439" s="1" t="s">
        <v>434</v>
      </c>
      <c r="C10439" s="1" t="str">
        <f>"66298798788674"</f>
        <v>66298798788674</v>
      </c>
      <c r="D10439" s="1" t="str">
        <f>"81359"</f>
        <v>81359</v>
      </c>
      <c r="E10439" s="1" t="s">
        <v>4579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</row>
    <row r="10440" spans="1:11" x14ac:dyDescent="0.2">
      <c r="A10440" s="1" t="s">
        <v>425</v>
      </c>
      <c r="B10440" s="1" t="s">
        <v>435</v>
      </c>
      <c r="C10440" s="1" t="str">
        <f>"66298798871149"</f>
        <v>66298798871149</v>
      </c>
      <c r="D10440" s="1" t="str">
        <f>"400760"</f>
        <v>400760</v>
      </c>
      <c r="E10440" s="1" t="s">
        <v>4579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</row>
    <row r="10441" spans="1:11" x14ac:dyDescent="0.2">
      <c r="A10441" s="1" t="s">
        <v>425</v>
      </c>
      <c r="B10441" s="1" t="s">
        <v>436</v>
      </c>
      <c r="C10441" s="1" t="str">
        <f>"66298798910168"</f>
        <v>66298798910168</v>
      </c>
      <c r="D10441" s="1" t="str">
        <f>"CP002"</f>
        <v>CP002</v>
      </c>
      <c r="E10441" s="1" t="s">
        <v>4579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</row>
    <row r="10442" spans="1:11" x14ac:dyDescent="0.2">
      <c r="A10442" s="1" t="s">
        <v>425</v>
      </c>
      <c r="B10442" s="1" t="s">
        <v>437</v>
      </c>
      <c r="C10442" s="1" t="str">
        <f>"66298798952749"</f>
        <v>66298798952749</v>
      </c>
      <c r="D10442" s="1" t="str">
        <f>"83941"</f>
        <v>83941</v>
      </c>
      <c r="E10442" s="1" t="s">
        <v>4579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</row>
    <row r="10443" spans="1:11" x14ac:dyDescent="0.2">
      <c r="A10443" s="1" t="s">
        <v>425</v>
      </c>
      <c r="B10443" s="1" t="s">
        <v>438</v>
      </c>
      <c r="C10443" s="1" t="str">
        <f>"66298798996589"</f>
        <v>66298798996589</v>
      </c>
      <c r="D10443" s="1" t="str">
        <f>"400761"</f>
        <v>400761</v>
      </c>
      <c r="E10443" s="1" t="s">
        <v>4579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</row>
    <row r="10444" spans="1:11" x14ac:dyDescent="0.2">
      <c r="A10444" s="1" t="s">
        <v>425</v>
      </c>
      <c r="B10444" s="1" t="s">
        <v>439</v>
      </c>
      <c r="C10444" s="1" t="str">
        <f>"CP009"</f>
        <v>CP009</v>
      </c>
      <c r="D10444" s="1" t="str">
        <f>"CP009"</f>
        <v>CP009</v>
      </c>
      <c r="E10444" s="1" t="s">
        <v>4579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</row>
    <row r="10445" spans="1:11" x14ac:dyDescent="0.2">
      <c r="A10445" s="1" t="s">
        <v>425</v>
      </c>
      <c r="B10445" s="1" t="s">
        <v>440</v>
      </c>
      <c r="C10445" s="1" t="str">
        <f>"66298799035344"</f>
        <v>66298799035344</v>
      </c>
      <c r="D10445" s="1" t="str">
        <f>"400764"</f>
        <v>400764</v>
      </c>
      <c r="E10445" s="1" t="s">
        <v>4579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</row>
    <row r="10446" spans="1:11" x14ac:dyDescent="0.2">
      <c r="A10446" s="1" t="s">
        <v>425</v>
      </c>
      <c r="B10446" s="1" t="s">
        <v>441</v>
      </c>
      <c r="C10446" s="1" t="str">
        <f>"12167"</f>
        <v>12167</v>
      </c>
      <c r="D10446" s="1" t="str">
        <f>"12167"</f>
        <v>12167</v>
      </c>
      <c r="E10446" s="1" t="s">
        <v>4579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</row>
    <row r="10447" spans="1:11" x14ac:dyDescent="0.2">
      <c r="A10447" s="1" t="s">
        <v>442</v>
      </c>
      <c r="B10447" s="1" t="s">
        <v>443</v>
      </c>
      <c r="C10447" s="1" t="str">
        <f>"HFP-382H"</f>
        <v>HFP-382H</v>
      </c>
      <c r="D10447" s="1" t="str">
        <f>"HFP-382H"</f>
        <v>HFP-382H</v>
      </c>
      <c r="E10447" s="1" t="s">
        <v>4579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</row>
    <row r="10448" spans="1:11" x14ac:dyDescent="0.2">
      <c r="A10448" s="1" t="s">
        <v>442</v>
      </c>
      <c r="B10448" s="1" t="s">
        <v>444</v>
      </c>
      <c r="C10448" s="1" t="str">
        <f>"66298799077286"</f>
        <v>66298799077286</v>
      </c>
      <c r="D10448" s="1" t="str">
        <f>"AG50"</f>
        <v>AG50</v>
      </c>
      <c r="E10448" s="1" t="s">
        <v>4579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</row>
    <row r="10449" spans="1:11" x14ac:dyDescent="0.2">
      <c r="A10449" s="1" t="s">
        <v>442</v>
      </c>
      <c r="B10449" s="1" t="s">
        <v>445</v>
      </c>
      <c r="C10449" s="1" t="str">
        <f>"66298799126851"</f>
        <v>66298799126851</v>
      </c>
      <c r="D10449" s="1" t="str">
        <f>"GRACE-F13-7"</f>
        <v>GRACE-F13-7</v>
      </c>
      <c r="E10449" s="1" t="s">
        <v>4579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</row>
    <row r="10450" spans="1:11" x14ac:dyDescent="0.2">
      <c r="A10450" s="1" t="s">
        <v>442</v>
      </c>
      <c r="B10450" s="1" t="s">
        <v>446</v>
      </c>
      <c r="C10450" s="1" t="str">
        <f>"66298799172507"</f>
        <v>66298799172507</v>
      </c>
      <c r="D10450" s="1" t="str">
        <f>"HFP-382K"</f>
        <v>HFP-382K</v>
      </c>
      <c r="E10450" s="1" t="s">
        <v>4579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</row>
    <row r="10451" spans="1:11" x14ac:dyDescent="0.2">
      <c r="A10451" s="1" t="s">
        <v>442</v>
      </c>
      <c r="B10451" s="1" t="s">
        <v>447</v>
      </c>
      <c r="C10451" s="1" t="str">
        <f>"66298799209613"</f>
        <v>66298799209613</v>
      </c>
      <c r="D10451" s="1" t="str">
        <f>"HFP-389"</f>
        <v>HFP-389</v>
      </c>
      <c r="E10451" s="1" t="s">
        <v>4579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</row>
    <row r="10452" spans="1:11" x14ac:dyDescent="0.2">
      <c r="A10452" s="1" t="s">
        <v>448</v>
      </c>
      <c r="B10452" s="1" t="s">
        <v>449</v>
      </c>
      <c r="C10452" s="1" t="str">
        <f>"66298799292049"</f>
        <v>66298799292049</v>
      </c>
      <c r="D10452" s="1" t="str">
        <f>"W150"</f>
        <v>W150</v>
      </c>
      <c r="E10452" s="1" t="s">
        <v>4579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</row>
    <row r="10453" spans="1:11" x14ac:dyDescent="0.2">
      <c r="A10453" s="1" t="s">
        <v>448</v>
      </c>
      <c r="B10453" s="1" t="s">
        <v>450</v>
      </c>
      <c r="C10453" s="1" t="str">
        <f>"Q014"</f>
        <v>Q014</v>
      </c>
      <c r="D10453" s="1" t="str">
        <f>"Q014"</f>
        <v>Q014</v>
      </c>
      <c r="E10453" s="1" t="s">
        <v>4579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</row>
    <row r="10454" spans="1:11" x14ac:dyDescent="0.2">
      <c r="A10454" s="1" t="s">
        <v>448</v>
      </c>
      <c r="B10454" s="1" t="s">
        <v>451</v>
      </c>
      <c r="C10454" s="1" t="str">
        <f>"Q015"</f>
        <v>Q015</v>
      </c>
      <c r="D10454" s="1" t="str">
        <f>"Q015"</f>
        <v>Q015</v>
      </c>
      <c r="E10454" s="1" t="s">
        <v>4579</v>
      </c>
      <c r="F10454" s="1">
        <v>1</v>
      </c>
      <c r="G10454" s="1">
        <v>12880</v>
      </c>
      <c r="H10454" s="1">
        <v>12880</v>
      </c>
      <c r="I10454" s="1">
        <v>0</v>
      </c>
      <c r="J10454" s="1">
        <v>1</v>
      </c>
      <c r="K10454" s="1">
        <v>0</v>
      </c>
    </row>
    <row r="10455" spans="1:11" x14ac:dyDescent="0.2">
      <c r="A10455" s="1" t="s">
        <v>448</v>
      </c>
      <c r="B10455" s="1" t="s">
        <v>452</v>
      </c>
      <c r="C10455" s="1" t="str">
        <f>"66298799623614"</f>
        <v>66298799623614</v>
      </c>
      <c r="D10455" s="1" t="str">
        <f>"Q008"</f>
        <v>Q008</v>
      </c>
      <c r="E10455" s="1" t="s">
        <v>4579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</row>
    <row r="10456" spans="1:11" x14ac:dyDescent="0.2">
      <c r="A10456" s="1" t="s">
        <v>448</v>
      </c>
      <c r="B10456" s="1" t="s">
        <v>453</v>
      </c>
      <c r="C10456" s="1" t="str">
        <f>"Q007"</f>
        <v>Q007</v>
      </c>
      <c r="D10456" s="1" t="str">
        <f>"Q007"</f>
        <v>Q007</v>
      </c>
      <c r="E10456" s="1" t="s">
        <v>4579</v>
      </c>
      <c r="F10456" s="1">
        <v>1</v>
      </c>
      <c r="G10456" s="1">
        <v>7980</v>
      </c>
      <c r="H10456" s="1">
        <v>7980</v>
      </c>
      <c r="I10456" s="1">
        <v>0</v>
      </c>
      <c r="J10456" s="1">
        <v>1</v>
      </c>
      <c r="K10456" s="1">
        <v>0</v>
      </c>
    </row>
    <row r="10457" spans="1:11" x14ac:dyDescent="0.2">
      <c r="A10457" s="1" t="s">
        <v>448</v>
      </c>
      <c r="B10457" s="1" t="s">
        <v>454</v>
      </c>
      <c r="C10457" s="1" t="str">
        <f>"9399"</f>
        <v>9399</v>
      </c>
      <c r="D10457" s="1" t="str">
        <f>"9399"</f>
        <v>9399</v>
      </c>
      <c r="E10457" s="1" t="s">
        <v>4579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</row>
    <row r="10458" spans="1:11" x14ac:dyDescent="0.2">
      <c r="A10458" s="1" t="s">
        <v>448</v>
      </c>
      <c r="B10458" s="1" t="s">
        <v>455</v>
      </c>
      <c r="C10458" s="1" t="str">
        <f>"66298799458059"</f>
        <v>66298799458059</v>
      </c>
      <c r="D10458" s="1" t="str">
        <f>"400530"</f>
        <v>400530</v>
      </c>
      <c r="E10458" s="1" t="s">
        <v>4579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</row>
    <row r="10459" spans="1:11" x14ac:dyDescent="0.2">
      <c r="A10459" s="1" t="s">
        <v>448</v>
      </c>
      <c r="B10459" s="1" t="s">
        <v>456</v>
      </c>
      <c r="C10459" s="1" t="str">
        <f>"66298799495819"</f>
        <v>66298799495819</v>
      </c>
      <c r="D10459" s="1" t="str">
        <f>"BF-GN125"</f>
        <v>BF-GN125</v>
      </c>
      <c r="E10459" s="1" t="s">
        <v>4579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</row>
    <row r="10460" spans="1:11" x14ac:dyDescent="0.2">
      <c r="A10460" s="1" t="s">
        <v>448</v>
      </c>
      <c r="B10460" s="1" t="s">
        <v>457</v>
      </c>
      <c r="C10460" s="1" t="str">
        <f>"Q013"</f>
        <v>Q013</v>
      </c>
      <c r="D10460" s="1" t="str">
        <f>"Q013"</f>
        <v>Q013</v>
      </c>
      <c r="E10460" s="1" t="s">
        <v>4579</v>
      </c>
      <c r="F10460" s="1">
        <v>1</v>
      </c>
      <c r="G10460" s="1">
        <v>5670</v>
      </c>
      <c r="H10460" s="1">
        <v>5670</v>
      </c>
      <c r="I10460" s="1">
        <v>0</v>
      </c>
      <c r="J10460" s="1">
        <v>1</v>
      </c>
      <c r="K10460" s="1">
        <v>0</v>
      </c>
    </row>
    <row r="10461" spans="1:11" x14ac:dyDescent="0.2">
      <c r="A10461" s="1" t="s">
        <v>448</v>
      </c>
      <c r="B10461" s="1" t="s">
        <v>458</v>
      </c>
      <c r="C10461" s="1" t="str">
        <f>"66298799535723"</f>
        <v>66298799535723</v>
      </c>
      <c r="D10461" s="1" t="str">
        <f>"59064H2A080H000"</f>
        <v>59064H2A080H000</v>
      </c>
      <c r="E10461" s="1" t="s">
        <v>4579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</row>
    <row r="10462" spans="1:11" x14ac:dyDescent="0.2">
      <c r="A10462" s="1" t="s">
        <v>448</v>
      </c>
      <c r="B10462" s="1" t="s">
        <v>459</v>
      </c>
      <c r="C10462" s="1" t="str">
        <f>"66298799579942"</f>
        <v>66298799579942</v>
      </c>
      <c r="D10462" s="1" t="str">
        <f>"Q029"</f>
        <v>Q029</v>
      </c>
      <c r="E10462" s="1" t="s">
        <v>4579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</row>
    <row r="10463" spans="1:11" x14ac:dyDescent="0.2">
      <c r="A10463" s="1" t="s">
        <v>448</v>
      </c>
      <c r="B10463" s="1" t="s">
        <v>460</v>
      </c>
      <c r="C10463" s="1" t="str">
        <f>"66298799753987"</f>
        <v>66298799753987</v>
      </c>
      <c r="D10463" s="1" t="str">
        <f>"H1110"</f>
        <v>H1110</v>
      </c>
      <c r="E10463" s="1" t="s">
        <v>4579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</row>
    <row r="10464" spans="1:11" x14ac:dyDescent="0.2">
      <c r="A10464" s="1" t="s">
        <v>448</v>
      </c>
      <c r="B10464" s="1" t="s">
        <v>461</v>
      </c>
      <c r="C10464" s="1" t="str">
        <f>"Q012"</f>
        <v>Q012</v>
      </c>
      <c r="D10464" s="1" t="str">
        <f>"Q012"</f>
        <v>Q012</v>
      </c>
      <c r="E10464" s="1" t="s">
        <v>4579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</row>
    <row r="10465" spans="1:11" x14ac:dyDescent="0.2">
      <c r="A10465" s="1" t="s">
        <v>448</v>
      </c>
      <c r="B10465" s="1" t="s">
        <v>461</v>
      </c>
      <c r="C10465" s="1" t="str">
        <f>"66298799708072"</f>
        <v>66298799708072</v>
      </c>
      <c r="D10465" s="1" t="str">
        <f>"LY125"</f>
        <v>LY125</v>
      </c>
      <c r="E10465" s="1" t="s">
        <v>4579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</row>
    <row r="10466" spans="1:11" x14ac:dyDescent="0.2">
      <c r="A10466" s="1" t="s">
        <v>448</v>
      </c>
      <c r="B10466" s="1" t="s">
        <v>462</v>
      </c>
      <c r="C10466" s="1" t="str">
        <f>"66298799792490"</f>
        <v>66298799792490</v>
      </c>
      <c r="D10466" s="1" t="str">
        <f>"400572"</f>
        <v>400572</v>
      </c>
      <c r="E10466" s="1" t="s">
        <v>4579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</row>
    <row r="10467" spans="1:11" x14ac:dyDescent="0.2">
      <c r="A10467" s="1" t="s">
        <v>448</v>
      </c>
      <c r="B10467" s="1" t="s">
        <v>463</v>
      </c>
      <c r="C10467" s="1" t="str">
        <f>"Q009"</f>
        <v>Q009</v>
      </c>
      <c r="D10467" s="1" t="str">
        <f>"Q009"</f>
        <v>Q009</v>
      </c>
      <c r="E10467" s="1" t="s">
        <v>4579</v>
      </c>
      <c r="F10467" s="1">
        <v>1</v>
      </c>
      <c r="G10467" s="1">
        <v>6960</v>
      </c>
      <c r="H10467" s="1">
        <v>6960</v>
      </c>
      <c r="I10467" s="1">
        <v>0</v>
      </c>
      <c r="J10467" s="1">
        <v>1</v>
      </c>
      <c r="K10467" s="1">
        <v>0</v>
      </c>
    </row>
    <row r="10468" spans="1:11" x14ac:dyDescent="0.2">
      <c r="A10468" s="1" t="s">
        <v>448</v>
      </c>
      <c r="B10468" s="1" t="s">
        <v>464</v>
      </c>
      <c r="C10468" s="1" t="str">
        <f>"66298799834223"</f>
        <v>66298799834223</v>
      </c>
      <c r="D10468" s="1" t="str">
        <f>"400531"</f>
        <v>400531</v>
      </c>
      <c r="E10468" s="1" t="s">
        <v>4579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</row>
    <row r="10469" spans="1:11" x14ac:dyDescent="0.2">
      <c r="A10469" s="1" t="s">
        <v>448</v>
      </c>
      <c r="B10469" s="1" t="s">
        <v>465</v>
      </c>
      <c r="C10469" s="1" t="str">
        <f>"66298799926841"</f>
        <v>66298799926841</v>
      </c>
      <c r="D10469" s="1" t="str">
        <f>"G125"</f>
        <v>G125</v>
      </c>
      <c r="E10469" s="1" t="s">
        <v>4579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</row>
    <row r="10470" spans="1:11" x14ac:dyDescent="0.2">
      <c r="A10470" s="1" t="s">
        <v>448</v>
      </c>
      <c r="B10470" s="1" t="s">
        <v>466</v>
      </c>
      <c r="C10470" s="1" t="str">
        <f>"66298799879995"</f>
        <v>66298799879995</v>
      </c>
      <c r="D10470" s="1" t="str">
        <f>"L150"</f>
        <v>L150</v>
      </c>
      <c r="E10470" s="1" t="s">
        <v>4579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</row>
    <row r="10471" spans="1:11" x14ac:dyDescent="0.2">
      <c r="A10471" s="1" t="s">
        <v>448</v>
      </c>
      <c r="B10471" s="1" t="s">
        <v>467</v>
      </c>
      <c r="C10471" s="1" t="str">
        <f>"66298800074222"</f>
        <v>66298800074222</v>
      </c>
      <c r="D10471" s="1" t="str">
        <f>"400571"</f>
        <v>400571</v>
      </c>
      <c r="E10471" s="1" t="s">
        <v>4579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</row>
    <row r="10472" spans="1:11" x14ac:dyDescent="0.2">
      <c r="A10472" s="1" t="s">
        <v>448</v>
      </c>
      <c r="B10472" s="1" t="s">
        <v>468</v>
      </c>
      <c r="C10472" s="1" t="str">
        <f>"66298799966017"</f>
        <v>66298799966017</v>
      </c>
      <c r="D10472" s="1" t="str">
        <f>"E150"</f>
        <v>E150</v>
      </c>
      <c r="E10472" s="1" t="s">
        <v>4579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</row>
    <row r="10473" spans="1:11" x14ac:dyDescent="0.2">
      <c r="A10473" s="1" t="s">
        <v>448</v>
      </c>
      <c r="B10473" s="1" t="s">
        <v>468</v>
      </c>
      <c r="C10473" s="1" t="str">
        <f>"Q001"</f>
        <v>Q001</v>
      </c>
      <c r="D10473" s="1" t="str">
        <f>"Q001"</f>
        <v>Q001</v>
      </c>
      <c r="E10473" s="1" t="s">
        <v>4579</v>
      </c>
      <c r="F10473" s="1">
        <v>1</v>
      </c>
      <c r="G10473" s="1">
        <v>5890</v>
      </c>
      <c r="H10473" s="1">
        <v>5890</v>
      </c>
      <c r="I10473" s="1">
        <v>0</v>
      </c>
      <c r="J10473" s="1">
        <v>1</v>
      </c>
      <c r="K10473" s="1">
        <v>0</v>
      </c>
    </row>
    <row r="10474" spans="1:11" x14ac:dyDescent="0.2">
      <c r="A10474" s="1" t="s">
        <v>448</v>
      </c>
      <c r="B10474" s="1" t="s">
        <v>468</v>
      </c>
      <c r="C10474" s="1" t="str">
        <f>"Q005"</f>
        <v>Q005</v>
      </c>
      <c r="D10474" s="1" t="str">
        <f>"Q005"</f>
        <v>Q005</v>
      </c>
      <c r="E10474" s="1" t="s">
        <v>4579</v>
      </c>
      <c r="F10474" s="1">
        <v>1</v>
      </c>
      <c r="G10474" s="1">
        <v>6170</v>
      </c>
      <c r="H10474" s="1">
        <v>6170</v>
      </c>
      <c r="I10474" s="1">
        <v>0</v>
      </c>
      <c r="J10474" s="1">
        <v>1</v>
      </c>
      <c r="K10474" s="1">
        <v>0</v>
      </c>
    </row>
    <row r="10475" spans="1:11" x14ac:dyDescent="0.2">
      <c r="A10475" s="1" t="s">
        <v>448</v>
      </c>
      <c r="B10475" s="1" t="s">
        <v>468</v>
      </c>
      <c r="C10475" s="1" t="str">
        <f>"Q003"</f>
        <v>Q003</v>
      </c>
      <c r="D10475" s="1" t="str">
        <f>"Q003"</f>
        <v>Q003</v>
      </c>
      <c r="E10475" s="1" t="s">
        <v>4579</v>
      </c>
      <c r="F10475" s="1">
        <v>1</v>
      </c>
      <c r="G10475" s="1">
        <v>7250</v>
      </c>
      <c r="H10475" s="1">
        <v>7250</v>
      </c>
      <c r="I10475" s="1">
        <v>0</v>
      </c>
      <c r="J10475" s="1">
        <v>1</v>
      </c>
      <c r="K10475" s="1">
        <v>0</v>
      </c>
    </row>
    <row r="10476" spans="1:11" x14ac:dyDescent="0.2">
      <c r="A10476" s="1" t="s">
        <v>448</v>
      </c>
      <c r="B10476" s="1" t="s">
        <v>469</v>
      </c>
      <c r="C10476" s="1" t="str">
        <f>"Q016"</f>
        <v>Q016</v>
      </c>
      <c r="D10476" s="1" t="str">
        <f>"Q016"</f>
        <v>Q016</v>
      </c>
      <c r="E10476" s="1" t="s">
        <v>4579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</row>
    <row r="10477" spans="1:11" x14ac:dyDescent="0.2">
      <c r="A10477" s="1" t="s">
        <v>448</v>
      </c>
      <c r="B10477" s="1" t="s">
        <v>470</v>
      </c>
      <c r="C10477" s="1" t="str">
        <f>"66298800152935"</f>
        <v>66298800152935</v>
      </c>
      <c r="D10477" s="1" t="str">
        <f>"400532"</f>
        <v>400532</v>
      </c>
      <c r="E10477" s="1" t="s">
        <v>4579</v>
      </c>
      <c r="F10477" s="1">
        <v>2</v>
      </c>
      <c r="G10477" s="1">
        <v>4062</v>
      </c>
      <c r="H10477" s="1">
        <v>8124</v>
      </c>
      <c r="I10477" s="1">
        <v>0</v>
      </c>
      <c r="J10477" s="1">
        <v>2</v>
      </c>
      <c r="K10477" s="1">
        <v>0</v>
      </c>
    </row>
    <row r="10478" spans="1:11" x14ac:dyDescent="0.2">
      <c r="A10478" s="1" t="s">
        <v>448</v>
      </c>
      <c r="B10478" s="1" t="s">
        <v>471</v>
      </c>
      <c r="C10478" s="1" t="str">
        <f>"Q006"</f>
        <v>Q006</v>
      </c>
      <c r="D10478" s="1" t="str">
        <f>"Q006"</f>
        <v>Q006</v>
      </c>
      <c r="E10478" s="1" t="s">
        <v>4579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</row>
    <row r="10479" spans="1:11" x14ac:dyDescent="0.2">
      <c r="A10479" s="1" t="s">
        <v>448</v>
      </c>
      <c r="B10479" s="1" t="s">
        <v>472</v>
      </c>
      <c r="C10479" s="1" t="str">
        <f>"66298800232610"</f>
        <v>66298800232610</v>
      </c>
      <c r="D10479" s="1" t="str">
        <f>"80975"</f>
        <v>80975</v>
      </c>
      <c r="E10479" s="1" t="s">
        <v>4579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</row>
    <row r="10480" spans="1:11" x14ac:dyDescent="0.2">
      <c r="A10480" s="1" t="s">
        <v>448</v>
      </c>
      <c r="B10480" s="1" t="s">
        <v>473</v>
      </c>
      <c r="C10480" s="1" t="str">
        <f>"66298800112749"</f>
        <v>66298800112749</v>
      </c>
      <c r="D10480" s="1" t="str">
        <f>"Q017"</f>
        <v>Q017</v>
      </c>
      <c r="E10480" s="1" t="s">
        <v>4579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</row>
    <row r="10481" spans="1:11" x14ac:dyDescent="0.2">
      <c r="A10481" s="1" t="s">
        <v>448</v>
      </c>
      <c r="B10481" s="1" t="s">
        <v>474</v>
      </c>
      <c r="C10481" s="1" t="str">
        <f>"66298800272348"</f>
        <v>66298800272348</v>
      </c>
      <c r="D10481" s="1" t="str">
        <f>"400570"</f>
        <v>400570</v>
      </c>
      <c r="E10481" s="1" t="s">
        <v>4579</v>
      </c>
      <c r="F10481" s="1">
        <v>2</v>
      </c>
      <c r="G10481" s="1">
        <v>4041</v>
      </c>
      <c r="H10481" s="1">
        <v>8082</v>
      </c>
      <c r="I10481" s="1">
        <v>0</v>
      </c>
      <c r="J10481" s="1">
        <v>2</v>
      </c>
      <c r="K10481" s="1">
        <v>0</v>
      </c>
    </row>
    <row r="10482" spans="1:11" x14ac:dyDescent="0.2">
      <c r="A10482" s="1" t="s">
        <v>448</v>
      </c>
      <c r="B10482" s="1" t="s">
        <v>475</v>
      </c>
      <c r="C10482" s="1" t="str">
        <f>"66298799247975"</f>
        <v>66298799247975</v>
      </c>
      <c r="D10482" s="1" t="str">
        <f>"J150"</f>
        <v>J150</v>
      </c>
      <c r="E10482" s="1" t="s">
        <v>4579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</row>
    <row r="10483" spans="1:11" x14ac:dyDescent="0.2">
      <c r="A10483" s="1" t="s">
        <v>448</v>
      </c>
      <c r="B10483" s="1" t="s">
        <v>476</v>
      </c>
      <c r="C10483" s="1" t="str">
        <f>"131"</f>
        <v>131</v>
      </c>
      <c r="D10483" s="1" t="str">
        <f>"131"</f>
        <v>131</v>
      </c>
      <c r="E10483" s="1" t="s">
        <v>4579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</row>
    <row r="10484" spans="1:11" x14ac:dyDescent="0.2">
      <c r="A10484" s="1" t="s">
        <v>448</v>
      </c>
      <c r="B10484" s="1" t="s">
        <v>477</v>
      </c>
      <c r="C10484" s="1" t="str">
        <f>"66298800358170"</f>
        <v>66298800358170</v>
      </c>
      <c r="D10484" s="1" t="str">
        <f>"QB001"</f>
        <v>QB001</v>
      </c>
      <c r="E10484" s="1" t="s">
        <v>4579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</row>
    <row r="10485" spans="1:11" x14ac:dyDescent="0.2">
      <c r="A10485" s="1" t="s">
        <v>448</v>
      </c>
      <c r="B10485" s="1" t="s">
        <v>478</v>
      </c>
      <c r="C10485" s="1" t="str">
        <f>"66298800310945"</f>
        <v>66298800310945</v>
      </c>
      <c r="D10485" s="1" t="str">
        <f>"QB003"</f>
        <v>QB003</v>
      </c>
      <c r="E10485" s="1" t="s">
        <v>4579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</row>
    <row r="10486" spans="1:11" x14ac:dyDescent="0.2">
      <c r="A10486" s="1" t="s">
        <v>479</v>
      </c>
      <c r="B10486" s="1" t="s">
        <v>480</v>
      </c>
      <c r="C10486" s="1" t="str">
        <f>"QG005"</f>
        <v>QG005</v>
      </c>
      <c r="D10486" s="1" t="str">
        <f>"QG005"</f>
        <v>QG005</v>
      </c>
      <c r="E10486" s="1" t="s">
        <v>4579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</row>
    <row r="10487" spans="1:11" x14ac:dyDescent="0.2">
      <c r="A10487" s="1" t="s">
        <v>479</v>
      </c>
      <c r="B10487" s="1" t="s">
        <v>480</v>
      </c>
      <c r="C10487" s="1" t="str">
        <f>"BO-BOCINA"</f>
        <v>BO-BOCINA</v>
      </c>
      <c r="D10487" s="1" t="str">
        <f>"BO-BOCINA"</f>
        <v>BO-BOCINA</v>
      </c>
      <c r="E10487" s="1" t="s">
        <v>4579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</row>
    <row r="10488" spans="1:11" x14ac:dyDescent="0.2">
      <c r="A10488" s="1" t="s">
        <v>479</v>
      </c>
      <c r="B10488" s="1" t="s">
        <v>481</v>
      </c>
      <c r="C10488" s="1" t="str">
        <f>"QG003"</f>
        <v>QG003</v>
      </c>
      <c r="D10488" s="1" t="str">
        <f>"QG003"</f>
        <v>QG003</v>
      </c>
      <c r="E10488" s="1" t="s">
        <v>4579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</row>
    <row r="10489" spans="1:11" x14ac:dyDescent="0.2">
      <c r="A10489" s="1" t="s">
        <v>479</v>
      </c>
      <c r="B10489" s="1" t="s">
        <v>481</v>
      </c>
      <c r="C10489" s="1" t="str">
        <f>"BO-CALUCES"</f>
        <v>BO-CALUCES</v>
      </c>
      <c r="D10489" s="1" t="str">
        <f>"BO-CALUCES"</f>
        <v>BO-CALUCES</v>
      </c>
      <c r="E10489" s="1" t="s">
        <v>4579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</row>
    <row r="10490" spans="1:11" x14ac:dyDescent="0.2">
      <c r="A10490" s="1" t="s">
        <v>479</v>
      </c>
      <c r="B10490" s="1" t="s">
        <v>482</v>
      </c>
      <c r="C10490" s="1" t="str">
        <f>"66298800438483"</f>
        <v>66298800438483</v>
      </c>
      <c r="D10490" s="1" t="str">
        <f>"QG076"</f>
        <v>QG076</v>
      </c>
      <c r="E10490" s="1" t="s">
        <v>4579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</row>
    <row r="10491" spans="1:11" x14ac:dyDescent="0.2">
      <c r="A10491" s="1" t="s">
        <v>479</v>
      </c>
      <c r="B10491" s="1" t="s">
        <v>482</v>
      </c>
      <c r="C10491" s="1" t="str">
        <f>"4043"</f>
        <v>4043</v>
      </c>
      <c r="D10491" s="1" t="str">
        <f>"4043"</f>
        <v>4043</v>
      </c>
      <c r="E10491" s="1" t="s">
        <v>4579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</row>
    <row r="10492" spans="1:11" x14ac:dyDescent="0.2">
      <c r="A10492" s="1" t="s">
        <v>479</v>
      </c>
      <c r="B10492" s="1" t="s">
        <v>483</v>
      </c>
      <c r="C10492" s="1" t="str">
        <f>"66298800477532"</f>
        <v>66298800477532</v>
      </c>
      <c r="D10492" s="1" t="str">
        <f>"QF026-A"</f>
        <v>QF026-A</v>
      </c>
      <c r="E10492" s="1" t="s">
        <v>4579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</row>
    <row r="10493" spans="1:11" x14ac:dyDescent="0.2">
      <c r="A10493" s="1" t="s">
        <v>479</v>
      </c>
      <c r="B10493" s="1" t="s">
        <v>484</v>
      </c>
      <c r="C10493" s="1" t="str">
        <f>"BO-ENC"</f>
        <v>BO-ENC</v>
      </c>
      <c r="D10493" s="1" t="str">
        <f>"BO-ENC"</f>
        <v>BO-ENC</v>
      </c>
      <c r="E10493" s="1" t="s">
        <v>4579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</row>
    <row r="10494" spans="1:11" x14ac:dyDescent="0.2">
      <c r="A10494" s="1" t="s">
        <v>479</v>
      </c>
      <c r="B10494" s="1" t="s">
        <v>484</v>
      </c>
      <c r="C10494" s="1" t="str">
        <f>"80400"</f>
        <v>80400</v>
      </c>
      <c r="D10494" s="1" t="str">
        <f>"80400"</f>
        <v>80400</v>
      </c>
      <c r="E10494" s="1" t="s">
        <v>4579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</row>
    <row r="10495" spans="1:11" x14ac:dyDescent="0.2">
      <c r="A10495" s="1" t="s">
        <v>479</v>
      </c>
      <c r="B10495" s="1" t="s">
        <v>485</v>
      </c>
      <c r="C10495" s="1" t="str">
        <f>"QG009"</f>
        <v>QG009</v>
      </c>
      <c r="D10495" s="1" t="str">
        <f>"QG009"</f>
        <v>QG009</v>
      </c>
      <c r="E10495" s="1" t="s">
        <v>4579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</row>
    <row r="10496" spans="1:11" x14ac:dyDescent="0.2">
      <c r="A10496" s="1" t="s">
        <v>479</v>
      </c>
      <c r="B10496" s="1" t="s">
        <v>485</v>
      </c>
      <c r="C10496" s="1" t="str">
        <f>"2250"</f>
        <v>2250</v>
      </c>
      <c r="D10496" s="1" t="str">
        <f>"2250"</f>
        <v>2250</v>
      </c>
      <c r="E10496" s="1" t="s">
        <v>4579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</row>
    <row r="10497" spans="1:11" x14ac:dyDescent="0.2">
      <c r="A10497" s="1" t="s">
        <v>479</v>
      </c>
      <c r="B10497" s="1" t="s">
        <v>486</v>
      </c>
      <c r="C10497" s="1" t="str">
        <f>"QG006"</f>
        <v>QG006</v>
      </c>
      <c r="D10497" s="1" t="str">
        <f>"QG006"</f>
        <v>QG006</v>
      </c>
      <c r="E10497" s="1" t="s">
        <v>4579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</row>
    <row r="10498" spans="1:11" x14ac:dyDescent="0.2">
      <c r="A10498" s="1" t="s">
        <v>479</v>
      </c>
      <c r="B10498" s="1" t="s">
        <v>486</v>
      </c>
      <c r="C10498" s="1" t="str">
        <f>"BO-ALTAYBAJA"</f>
        <v>BO-ALTAYBAJA</v>
      </c>
      <c r="D10498" s="1" t="str">
        <f>"BO-ALTAYBAJA"</f>
        <v>BO-ALTAYBAJA</v>
      </c>
      <c r="E10498" s="1" t="s">
        <v>4579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</row>
    <row r="10499" spans="1:11" x14ac:dyDescent="0.2">
      <c r="A10499" s="1" t="s">
        <v>479</v>
      </c>
      <c r="B10499" s="1" t="s">
        <v>487</v>
      </c>
      <c r="C10499" s="1" t="str">
        <f>"BOTON-GY6"</f>
        <v>BOTON-GY6</v>
      </c>
      <c r="D10499" s="1" t="str">
        <f>"BOTON-GY6"</f>
        <v>BOTON-GY6</v>
      </c>
      <c r="E10499" s="1" t="s">
        <v>4579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</row>
    <row r="10500" spans="1:11" x14ac:dyDescent="0.2">
      <c r="A10500" s="1" t="s">
        <v>479</v>
      </c>
      <c r="B10500" s="1" t="s">
        <v>488</v>
      </c>
      <c r="C10500" s="1" t="str">
        <f>"66298800514760"</f>
        <v>66298800514760</v>
      </c>
      <c r="D10500" s="1" t="str">
        <f>"QG050"</f>
        <v>QG050</v>
      </c>
      <c r="E10500" s="1" t="s">
        <v>4579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</row>
    <row r="10501" spans="1:11" x14ac:dyDescent="0.2">
      <c r="A10501" s="1" t="s">
        <v>479</v>
      </c>
      <c r="B10501" s="1" t="s">
        <v>489</v>
      </c>
      <c r="C10501" s="1" t="str">
        <f>"66298800637205"</f>
        <v>66298800637205</v>
      </c>
      <c r="D10501" s="1" t="str">
        <f>"QG008"</f>
        <v>QG008</v>
      </c>
      <c r="E10501" s="1" t="s">
        <v>4579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</row>
    <row r="10502" spans="1:11" x14ac:dyDescent="0.2">
      <c r="A10502" s="1" t="s">
        <v>479</v>
      </c>
      <c r="B10502" s="1" t="s">
        <v>490</v>
      </c>
      <c r="C10502" s="1" t="str">
        <f>"66298800683705"</f>
        <v>66298800683705</v>
      </c>
      <c r="D10502" s="1" t="str">
        <f>"QG053"</f>
        <v>QG053</v>
      </c>
      <c r="E10502" s="1" t="s">
        <v>4579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</row>
    <row r="10503" spans="1:11" x14ac:dyDescent="0.2">
      <c r="A10503" s="1" t="s">
        <v>479</v>
      </c>
      <c r="B10503" s="1" t="s">
        <v>491</v>
      </c>
      <c r="C10503" s="1" t="str">
        <f>"66298800723853"</f>
        <v>66298800723853</v>
      </c>
      <c r="D10503" s="1" t="str">
        <f>"0393"</f>
        <v>0393</v>
      </c>
      <c r="E10503" s="1" t="s">
        <v>4579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</row>
    <row r="10504" spans="1:11" x14ac:dyDescent="0.2">
      <c r="A10504" s="1" t="s">
        <v>479</v>
      </c>
      <c r="B10504" s="1" t="s">
        <v>492</v>
      </c>
      <c r="C10504" s="1" t="str">
        <f>"66298800555912"</f>
        <v>66298800555912</v>
      </c>
      <c r="D10504" s="1" t="str">
        <f>"3221"</f>
        <v>3221</v>
      </c>
      <c r="E10504" s="1" t="s">
        <v>4579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</row>
    <row r="10505" spans="1:11" x14ac:dyDescent="0.2">
      <c r="A10505" s="1" t="s">
        <v>479</v>
      </c>
      <c r="B10505" s="1" t="s">
        <v>492</v>
      </c>
      <c r="C10505" s="1" t="str">
        <f>"66298800560729"</f>
        <v>66298800560729</v>
      </c>
      <c r="D10505" s="1" t="str">
        <f>"QG077"</f>
        <v>QG077</v>
      </c>
      <c r="E10505" s="1" t="s">
        <v>4579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</row>
    <row r="10506" spans="1:11" x14ac:dyDescent="0.2">
      <c r="A10506" s="1" t="s">
        <v>479</v>
      </c>
      <c r="B10506" s="1" t="s">
        <v>492</v>
      </c>
      <c r="C10506" s="1" t="str">
        <f>"66298800567862"</f>
        <v>66298800567862</v>
      </c>
      <c r="D10506" s="1" t="str">
        <f>"QG054"</f>
        <v>QG054</v>
      </c>
      <c r="E10506" s="1" t="s">
        <v>4579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</row>
    <row r="10507" spans="1:11" x14ac:dyDescent="0.2">
      <c r="A10507" s="1" t="s">
        <v>18</v>
      </c>
      <c r="B10507" s="1" t="s">
        <v>492</v>
      </c>
      <c r="C10507" s="1" t="str">
        <f>"QF016"</f>
        <v>QF016</v>
      </c>
      <c r="D10507" s="1" t="str">
        <f>"QF016"</f>
        <v>QF016</v>
      </c>
      <c r="E10507" s="1" t="s">
        <v>4579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</row>
    <row r="10508" spans="1:11" x14ac:dyDescent="0.2">
      <c r="A10508" s="1" t="s">
        <v>18</v>
      </c>
      <c r="B10508" s="1" t="s">
        <v>492</v>
      </c>
      <c r="C10508" s="1" t="str">
        <f>"QF011"</f>
        <v>QF011</v>
      </c>
      <c r="D10508" s="1" t="str">
        <f>"QF011"</f>
        <v>QF011</v>
      </c>
      <c r="E10508" s="1" t="s">
        <v>4579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</row>
    <row r="10509" spans="1:11" x14ac:dyDescent="0.2">
      <c r="A10509" s="1" t="s">
        <v>479</v>
      </c>
      <c r="B10509" s="1" t="s">
        <v>492</v>
      </c>
      <c r="C10509" s="1" t="str">
        <f>"202104"</f>
        <v>202104</v>
      </c>
      <c r="D10509" s="1" t="str">
        <f>"202104"</f>
        <v>202104</v>
      </c>
      <c r="E10509" s="1" t="s">
        <v>4579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</row>
    <row r="10510" spans="1:11" x14ac:dyDescent="0.2">
      <c r="A10510" s="1" t="s">
        <v>479</v>
      </c>
      <c r="B10510" s="1" t="s">
        <v>493</v>
      </c>
      <c r="C10510" s="1" t="str">
        <f>"QG002"</f>
        <v>QG002</v>
      </c>
      <c r="D10510" s="1" t="str">
        <f>"QG002"</f>
        <v>QG002</v>
      </c>
      <c r="E10510" s="1" t="s">
        <v>4579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</row>
    <row r="10511" spans="1:11" x14ac:dyDescent="0.2">
      <c r="A10511" s="1" t="s">
        <v>479</v>
      </c>
      <c r="B10511" s="1" t="s">
        <v>494</v>
      </c>
      <c r="C10511" s="1" t="str">
        <f>"QG004"</f>
        <v>QG004</v>
      </c>
      <c r="D10511" s="1" t="str">
        <f>"QG004"</f>
        <v>QG004</v>
      </c>
      <c r="E10511" s="1" t="s">
        <v>4579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</row>
    <row r="10512" spans="1:11" x14ac:dyDescent="0.2">
      <c r="A10512" s="1" t="s">
        <v>479</v>
      </c>
      <c r="B10512" s="1" t="s">
        <v>494</v>
      </c>
      <c r="C10512" s="1" t="str">
        <f>"BO-SENAL"</f>
        <v>BO-SENAL</v>
      </c>
      <c r="D10512" s="1" t="str">
        <f>"BO-SENAL"</f>
        <v>BO-SENAL</v>
      </c>
      <c r="E10512" s="1" t="s">
        <v>4579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</row>
    <row r="10513" spans="1:11" x14ac:dyDescent="0.2">
      <c r="A10513" s="1" t="s">
        <v>18</v>
      </c>
      <c r="B10513" s="1" t="s">
        <v>495</v>
      </c>
      <c r="C10513" s="1" t="str">
        <f>"C175"</f>
        <v>C175</v>
      </c>
      <c r="D10513" s="1" t="str">
        <f>"C175"</f>
        <v>C175</v>
      </c>
      <c r="E10513" s="1" t="s">
        <v>4579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</row>
    <row r="10514" spans="1:11" x14ac:dyDescent="0.2">
      <c r="A10514" s="1" t="s">
        <v>496</v>
      </c>
      <c r="B10514" s="1" t="s">
        <v>497</v>
      </c>
      <c r="C10514" s="1" t="str">
        <f>"ZZA005"</f>
        <v>ZZA005</v>
      </c>
      <c r="D10514" s="1" t="str">
        <f>"ZZA005"</f>
        <v>ZZA005</v>
      </c>
      <c r="E10514" s="1" t="s">
        <v>4579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</row>
    <row r="10515" spans="1:11" x14ac:dyDescent="0.2">
      <c r="A10515" s="1" t="s">
        <v>496</v>
      </c>
      <c r="B10515" s="1" t="s">
        <v>498</v>
      </c>
      <c r="C10515" s="1" t="str">
        <f>"21650-33G80-000"</f>
        <v>21650-33G80-000</v>
      </c>
      <c r="D10515" s="1" t="str">
        <f>"21650-33G80-000"</f>
        <v>21650-33G80-000</v>
      </c>
      <c r="E10515" s="1" t="s">
        <v>4579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</row>
    <row r="10516" spans="1:11" x14ac:dyDescent="0.2">
      <c r="A10516" s="1" t="s">
        <v>496</v>
      </c>
      <c r="B10516" s="1" t="s">
        <v>499</v>
      </c>
      <c r="C10516" s="1" t="str">
        <f>"66298800770590"</f>
        <v>66298800770590</v>
      </c>
      <c r="D10516" s="1" t="str">
        <f>"CC003"</f>
        <v>CC003</v>
      </c>
      <c r="E10516" s="1" t="s">
        <v>4579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</row>
    <row r="10517" spans="1:11" ht="30" x14ac:dyDescent="0.2">
      <c r="A10517" s="1" t="s">
        <v>496</v>
      </c>
      <c r="B10517" s="1" t="s">
        <v>500</v>
      </c>
      <c r="C10517" s="1" t="str">
        <f>"66298800816074"</f>
        <v>66298800816074</v>
      </c>
      <c r="D10517" s="1" t="str">
        <f>"CC002"</f>
        <v>CC002</v>
      </c>
      <c r="E10517" s="1" t="s">
        <v>4579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</row>
    <row r="10518" spans="1:11" x14ac:dyDescent="0.2">
      <c r="A10518" s="1" t="s">
        <v>496</v>
      </c>
      <c r="B10518" s="1" t="s">
        <v>501</v>
      </c>
      <c r="C10518" s="1" t="str">
        <f>"22121-HKE-000"</f>
        <v>22121-HKE-000</v>
      </c>
      <c r="D10518" s="1" t="str">
        <f>"22121-HKE-000"</f>
        <v>22121-HKE-000</v>
      </c>
      <c r="E10518" s="1" t="s">
        <v>4579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</row>
    <row r="10519" spans="1:11" x14ac:dyDescent="0.2">
      <c r="A10519" s="1" t="s">
        <v>496</v>
      </c>
      <c r="B10519" s="1" t="s">
        <v>501</v>
      </c>
      <c r="C10519" s="1" t="str">
        <f>"H2120"</f>
        <v>H2120</v>
      </c>
      <c r="D10519" s="1" t="str">
        <f>"H2120"</f>
        <v>H2120</v>
      </c>
      <c r="E10519" s="1" t="s">
        <v>4579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</row>
    <row r="10520" spans="1:11" x14ac:dyDescent="0.2">
      <c r="A10520" s="1" t="s">
        <v>496</v>
      </c>
      <c r="B10520" s="1" t="s">
        <v>502</v>
      </c>
      <c r="C10520" s="1" t="str">
        <f>"CC001"</f>
        <v>CC001</v>
      </c>
      <c r="D10520" s="1" t="str">
        <f>"CC001"</f>
        <v>CC001</v>
      </c>
      <c r="E10520" s="1" t="s">
        <v>4579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</row>
    <row r="10521" spans="1:11" x14ac:dyDescent="0.2">
      <c r="A10521" s="1" t="s">
        <v>496</v>
      </c>
      <c r="B10521" s="1" t="s">
        <v>503</v>
      </c>
      <c r="C10521" s="1" t="str">
        <f>"B120"</f>
        <v>B120</v>
      </c>
      <c r="D10521" s="1" t="str">
        <f>"B120"</f>
        <v>B120</v>
      </c>
      <c r="E10521" s="1" t="s">
        <v>4579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</row>
    <row r="10522" spans="1:11" x14ac:dyDescent="0.2">
      <c r="A10522" s="1" t="s">
        <v>496</v>
      </c>
      <c r="B10522" s="1" t="s">
        <v>504</v>
      </c>
      <c r="C10522" s="1" t="str">
        <f>"66298800858288"</f>
        <v>66298800858288</v>
      </c>
      <c r="D10522" s="1" t="str">
        <f>"13521"</f>
        <v>13521</v>
      </c>
      <c r="E10522" s="1" t="s">
        <v>4579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</row>
    <row r="10523" spans="1:11" x14ac:dyDescent="0.2">
      <c r="A10523" s="1" t="s">
        <v>505</v>
      </c>
      <c r="B10523" s="1" t="s">
        <v>506</v>
      </c>
      <c r="C10523" s="1" t="str">
        <f>"66298800901697"</f>
        <v>66298800901697</v>
      </c>
      <c r="D10523" s="1" t="str">
        <f>"D8EACN"</f>
        <v>D8EACN</v>
      </c>
      <c r="E10523" s="1" t="s">
        <v>4579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</row>
    <row r="10524" spans="1:11" x14ac:dyDescent="0.2">
      <c r="A10524" s="1" t="s">
        <v>505</v>
      </c>
      <c r="B10524" s="1" t="s">
        <v>507</v>
      </c>
      <c r="C10524" s="1" t="str">
        <f>"66298800985695"</f>
        <v>66298800985695</v>
      </c>
      <c r="D10524" s="1" t="str">
        <f>"IU20JP"</f>
        <v>IU20JP</v>
      </c>
      <c r="E10524" s="1" t="s">
        <v>4579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</row>
    <row r="10525" spans="1:11" x14ac:dyDescent="0.2">
      <c r="A10525" s="1" t="s">
        <v>505</v>
      </c>
      <c r="B10525" s="1" t="s">
        <v>508</v>
      </c>
      <c r="C10525" s="1" t="str">
        <f>"66298801067873"</f>
        <v>66298801067873</v>
      </c>
      <c r="D10525" s="1" t="str">
        <f>"IU22JP"</f>
        <v>IU22JP</v>
      </c>
      <c r="E10525" s="1" t="s">
        <v>4579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</row>
    <row r="10526" spans="1:11" x14ac:dyDescent="0.2">
      <c r="A10526" s="1" t="s">
        <v>505</v>
      </c>
      <c r="B10526" s="1" t="s">
        <v>509</v>
      </c>
      <c r="C10526" s="1" t="str">
        <f>"IU24JP"</f>
        <v>IU24JP</v>
      </c>
      <c r="D10526" s="1" t="str">
        <f>"IU24JP"</f>
        <v>IU24JP</v>
      </c>
      <c r="E10526" s="1" t="s">
        <v>4579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</row>
    <row r="10527" spans="1:11" ht="30" x14ac:dyDescent="0.2">
      <c r="A10527" s="1" t="s">
        <v>505</v>
      </c>
      <c r="B10527" s="1" t="s">
        <v>510</v>
      </c>
      <c r="C10527" s="1" t="str">
        <f>"66298801320393"</f>
        <v>66298801320393</v>
      </c>
      <c r="D10527" s="1" t="str">
        <f>"IU24AJP"</f>
        <v>IU24AJP</v>
      </c>
      <c r="E10527" s="1" t="s">
        <v>4579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</row>
    <row r="10528" spans="1:11" x14ac:dyDescent="0.2">
      <c r="A10528" s="1" t="s">
        <v>505</v>
      </c>
      <c r="B10528" s="1" t="s">
        <v>511</v>
      </c>
      <c r="C10528" s="1" t="str">
        <f>"IU27JP"</f>
        <v>IU27JP</v>
      </c>
      <c r="D10528" s="1" t="str">
        <f>"IU27JP"</f>
        <v>IU27JP</v>
      </c>
      <c r="E10528" s="1" t="s">
        <v>4579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</row>
    <row r="10529" spans="1:11" x14ac:dyDescent="0.2">
      <c r="A10529" s="1" t="s">
        <v>505</v>
      </c>
      <c r="B10529" s="1" t="s">
        <v>512</v>
      </c>
      <c r="C10529" s="1" t="str">
        <f>"66298801360705"</f>
        <v>66298801360705</v>
      </c>
      <c r="D10529" s="1" t="str">
        <f>"IU27AJP"</f>
        <v>IU27AJP</v>
      </c>
      <c r="E10529" s="1" t="s">
        <v>4579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</row>
    <row r="10530" spans="1:11" x14ac:dyDescent="0.2">
      <c r="A10530" s="1" t="s">
        <v>505</v>
      </c>
      <c r="B10530" s="1" t="s">
        <v>513</v>
      </c>
      <c r="C10530" s="1" t="str">
        <f>"IU31"</f>
        <v>IU31</v>
      </c>
      <c r="D10530" s="1" t="str">
        <f>"IU31"</f>
        <v>IU31</v>
      </c>
      <c r="E10530" s="1" t="s">
        <v>4579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</row>
    <row r="10531" spans="1:11" ht="30" x14ac:dyDescent="0.2">
      <c r="A10531" s="1" t="s">
        <v>505</v>
      </c>
      <c r="B10531" s="1" t="s">
        <v>514</v>
      </c>
      <c r="C10531" s="1" t="str">
        <f>"66298801025535"</f>
        <v>66298801025535</v>
      </c>
      <c r="D10531" s="1" t="str">
        <f>"IU31AJP"</f>
        <v>IU31AJP</v>
      </c>
      <c r="E10531" s="1" t="s">
        <v>4579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</row>
    <row r="10532" spans="1:11" x14ac:dyDescent="0.2">
      <c r="A10532" s="1" t="s">
        <v>505</v>
      </c>
      <c r="B10532" s="1" t="s">
        <v>515</v>
      </c>
      <c r="C10532" s="1" t="str">
        <f>"IUF22JP"</f>
        <v>IUF22JP</v>
      </c>
      <c r="D10532" s="1" t="str">
        <f>"IUF22JP"</f>
        <v>IUF22JP</v>
      </c>
      <c r="E10532" s="1" t="s">
        <v>4579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</row>
    <row r="10533" spans="1:11" x14ac:dyDescent="0.2">
      <c r="A10533" s="1" t="s">
        <v>505</v>
      </c>
      <c r="B10533" s="1" t="s">
        <v>516</v>
      </c>
      <c r="C10533" s="1" t="str">
        <f>"IUF24JP"</f>
        <v>IUF24JP</v>
      </c>
      <c r="D10533" s="1" t="str">
        <f>"IUF24JP"</f>
        <v>IUF24JP</v>
      </c>
      <c r="E10533" s="1" t="s">
        <v>4579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</row>
    <row r="10534" spans="1:11" x14ac:dyDescent="0.2">
      <c r="A10534" s="1" t="s">
        <v>505</v>
      </c>
      <c r="B10534" s="1" t="s">
        <v>517</v>
      </c>
      <c r="C10534" s="1" t="str">
        <f>"66298801112250"</f>
        <v>66298801112250</v>
      </c>
      <c r="D10534" s="1" t="str">
        <f>"IUH24JP"</f>
        <v>IUH24JP</v>
      </c>
      <c r="E10534" s="1" t="s">
        <v>4579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</row>
    <row r="10535" spans="1:11" x14ac:dyDescent="0.2">
      <c r="A10535" s="1" t="s">
        <v>505</v>
      </c>
      <c r="B10535" s="1" t="s">
        <v>518</v>
      </c>
      <c r="C10535" s="1" t="str">
        <f>"66298801189788"</f>
        <v>66298801189788</v>
      </c>
      <c r="D10535" s="1" t="str">
        <f>"IUH27JP"</f>
        <v>IUH27JP</v>
      </c>
      <c r="E10535" s="1" t="s">
        <v>4579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</row>
    <row r="10536" spans="1:11" x14ac:dyDescent="0.2">
      <c r="A10536" s="1" t="s">
        <v>505</v>
      </c>
      <c r="B10536" s="1" t="s">
        <v>519</v>
      </c>
      <c r="C10536" s="1" t="str">
        <f>"66298800943216"</f>
        <v>66298800943216</v>
      </c>
      <c r="D10536" s="1" t="str">
        <f>"IW24JP"</f>
        <v>IW24JP</v>
      </c>
      <c r="E10536" s="1" t="s">
        <v>4579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</row>
    <row r="10537" spans="1:11" x14ac:dyDescent="0.2">
      <c r="A10537" s="1" t="s">
        <v>505</v>
      </c>
      <c r="B10537" s="1" t="s">
        <v>520</v>
      </c>
      <c r="C10537" s="1" t="str">
        <f>"IWF24JP"</f>
        <v>IWF24JP</v>
      </c>
      <c r="D10537" s="1" t="str">
        <f>"IWF24JP"</f>
        <v>IWF24JP</v>
      </c>
      <c r="E10537" s="1" t="s">
        <v>4579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</row>
    <row r="10538" spans="1:11" x14ac:dyDescent="0.2">
      <c r="A10538" s="1" t="s">
        <v>505</v>
      </c>
      <c r="B10538" s="1" t="s">
        <v>521</v>
      </c>
      <c r="C10538" s="1" t="str">
        <f>"IX24JP"</f>
        <v>IX24JP</v>
      </c>
      <c r="D10538" s="1" t="str">
        <f>"IX24JP"</f>
        <v>IX24JP</v>
      </c>
      <c r="E10538" s="1" t="s">
        <v>4579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</row>
    <row r="10539" spans="1:11" x14ac:dyDescent="0.2">
      <c r="A10539" s="1" t="s">
        <v>505</v>
      </c>
      <c r="B10539" s="1" t="s">
        <v>522</v>
      </c>
      <c r="C10539" s="1" t="str">
        <f>"IX24BJP"</f>
        <v>IX24BJP</v>
      </c>
      <c r="D10539" s="1" t="str">
        <f>"IX24BJP"</f>
        <v>IX24BJP</v>
      </c>
      <c r="E10539" s="1" t="s">
        <v>4579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</row>
    <row r="10540" spans="1:11" x14ac:dyDescent="0.2">
      <c r="A10540" s="1" t="s">
        <v>505</v>
      </c>
      <c r="B10540" s="1" t="s">
        <v>523</v>
      </c>
      <c r="C10540" s="1" t="str">
        <f>"IX27BJP"</f>
        <v>IX27BJP</v>
      </c>
      <c r="D10540" s="1" t="str">
        <f>"IX27BJP"</f>
        <v>IX27BJP</v>
      </c>
      <c r="E10540" s="1" t="s">
        <v>4579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</row>
    <row r="10541" spans="1:11" x14ac:dyDescent="0.2">
      <c r="A10541" s="1" t="s">
        <v>505</v>
      </c>
      <c r="B10541" s="1" t="s">
        <v>524</v>
      </c>
      <c r="C10541" s="1" t="str">
        <f>"IXU24JP"</f>
        <v>IXU24JP</v>
      </c>
      <c r="D10541" s="1" t="str">
        <f>"IXU24JP"</f>
        <v>IXU24JP</v>
      </c>
      <c r="E10541" s="1" t="s">
        <v>4579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</row>
    <row r="10542" spans="1:11" ht="30" x14ac:dyDescent="0.2">
      <c r="A10542" s="1" t="s">
        <v>505</v>
      </c>
      <c r="B10542" s="1" t="s">
        <v>525</v>
      </c>
      <c r="C10542" s="1" t="str">
        <f>"66298801276854"</f>
        <v>66298801276854</v>
      </c>
      <c r="D10542" s="1" t="str">
        <f>"IXU27JP"</f>
        <v>IXU27JP</v>
      </c>
      <c r="E10542" s="1" t="s">
        <v>4579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</row>
    <row r="10543" spans="1:11" x14ac:dyDescent="0.2">
      <c r="A10543" s="1" t="s">
        <v>505</v>
      </c>
      <c r="B10543" s="1" t="s">
        <v>526</v>
      </c>
      <c r="C10543" s="1" t="str">
        <f>"U20EPR-9JP"</f>
        <v>U20EPR-9JP</v>
      </c>
      <c r="D10543" s="1" t="str">
        <f>"U20EPR-9JP"</f>
        <v>U20EPR-9JP</v>
      </c>
      <c r="E10543" s="1" t="s">
        <v>4579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</row>
    <row r="10544" spans="1:11" x14ac:dyDescent="0.2">
      <c r="A10544" s="1" t="s">
        <v>505</v>
      </c>
      <c r="B10544" s="1" t="s">
        <v>527</v>
      </c>
      <c r="C10544" s="1" t="str">
        <f>"U22FS-UJP"</f>
        <v>U22FS-UJP</v>
      </c>
      <c r="D10544" s="1" t="str">
        <f>"U22FS-UJP"</f>
        <v>U22FS-UJP</v>
      </c>
      <c r="E10544" s="1" t="s">
        <v>4579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</row>
    <row r="10545" spans="1:11" x14ac:dyDescent="0.2">
      <c r="A10545" s="1" t="s">
        <v>505</v>
      </c>
      <c r="B10545" s="1" t="s">
        <v>528</v>
      </c>
      <c r="C10545" s="1" t="str">
        <f>"66298801485728"</f>
        <v>66298801485728</v>
      </c>
      <c r="D10545" s="1" t="str">
        <f>"U22FSR-UJP"</f>
        <v>U22FSR-UJP</v>
      </c>
      <c r="E10545" s="1" t="s">
        <v>4579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</row>
    <row r="10546" spans="1:11" x14ac:dyDescent="0.2">
      <c r="A10546" s="1" t="s">
        <v>505</v>
      </c>
      <c r="B10546" s="1" t="s">
        <v>529</v>
      </c>
      <c r="C10546" s="1" t="str">
        <f>"66298801531667"</f>
        <v>66298801531667</v>
      </c>
      <c r="D10546" s="1" t="str">
        <f>"U24ES-NJP"</f>
        <v>U24ES-NJP</v>
      </c>
      <c r="E10546" s="1" t="s">
        <v>4579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</row>
    <row r="10547" spans="1:11" ht="30" x14ac:dyDescent="0.2">
      <c r="A10547" s="1" t="s">
        <v>505</v>
      </c>
      <c r="B10547" s="1" t="s">
        <v>530</v>
      </c>
      <c r="C10547" s="1" t="str">
        <f>"U24FER-9JP"</f>
        <v>U24FER-9JP</v>
      </c>
      <c r="D10547" s="1" t="str">
        <f>"U24FER-9JP"</f>
        <v>U24FER-9JP</v>
      </c>
      <c r="E10547" s="1" t="s">
        <v>4579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</row>
    <row r="10548" spans="1:11" x14ac:dyDescent="0.2">
      <c r="A10548" s="1" t="s">
        <v>505</v>
      </c>
      <c r="B10548" s="1" t="s">
        <v>531</v>
      </c>
      <c r="C10548" s="1" t="str">
        <f>"66298801608746"</f>
        <v>66298801608746</v>
      </c>
      <c r="D10548" s="1" t="str">
        <f>"U27ES-NJP"</f>
        <v>U27ES-NJP</v>
      </c>
      <c r="E10548" s="1" t="s">
        <v>4579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</row>
    <row r="10549" spans="1:11" x14ac:dyDescent="0.2">
      <c r="A10549" s="1" t="s">
        <v>505</v>
      </c>
      <c r="B10549" s="1" t="s">
        <v>532</v>
      </c>
      <c r="C10549" s="1" t="str">
        <f>"66298801651527"</f>
        <v>66298801651527</v>
      </c>
      <c r="D10549" s="1" t="str">
        <f>"U27ESR-NJP"</f>
        <v>U27ESR-NJP</v>
      </c>
      <c r="E10549" s="1" t="s">
        <v>4579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</row>
    <row r="10550" spans="1:11" x14ac:dyDescent="0.2">
      <c r="A10550" s="1" t="s">
        <v>505</v>
      </c>
      <c r="B10550" s="1" t="s">
        <v>533</v>
      </c>
      <c r="C10550" s="1" t="str">
        <f>"66298801407141"</f>
        <v>66298801407141</v>
      </c>
      <c r="D10550" s="1" t="str">
        <f>"U27FER-9JP"</f>
        <v>U27FER-9JP</v>
      </c>
      <c r="E10550" s="1" t="s">
        <v>4579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</row>
    <row r="10551" spans="1:11" x14ac:dyDescent="0.2">
      <c r="A10551" s="1" t="s">
        <v>505</v>
      </c>
      <c r="B10551" s="1" t="s">
        <v>534</v>
      </c>
      <c r="C10551" s="1" t="str">
        <f>"66298801696820"</f>
        <v>66298801696820</v>
      </c>
      <c r="D10551" s="1" t="str">
        <f>"U31ETRJP"</f>
        <v>U31ETRJP</v>
      </c>
      <c r="E10551" s="1" t="s">
        <v>4579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</row>
    <row r="10552" spans="1:11" x14ac:dyDescent="0.2">
      <c r="A10552" s="1" t="s">
        <v>505</v>
      </c>
      <c r="B10552" s="1" t="s">
        <v>535</v>
      </c>
      <c r="C10552" s="1" t="str">
        <f>"W20M-UJP"</f>
        <v>W20M-UJP</v>
      </c>
      <c r="D10552" s="1" t="str">
        <f>"W20M-UJP"</f>
        <v>W20M-UJP</v>
      </c>
      <c r="E10552" s="1" t="s">
        <v>4579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</row>
    <row r="10553" spans="1:11" x14ac:dyDescent="0.2">
      <c r="A10553" s="1" t="s">
        <v>505</v>
      </c>
      <c r="B10553" s="1" t="s">
        <v>536</v>
      </c>
      <c r="C10553" s="1" t="str">
        <f>"W24ESR-UJP"</f>
        <v>W24ESR-UJP</v>
      </c>
      <c r="D10553" s="1" t="str">
        <f>"W24ESR-UJP"</f>
        <v>W24ESR-UJP</v>
      </c>
      <c r="E10553" s="1" t="s">
        <v>4579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</row>
    <row r="10554" spans="1:11" x14ac:dyDescent="0.2">
      <c r="A10554" s="1" t="s">
        <v>505</v>
      </c>
      <c r="B10554" s="1" t="s">
        <v>537</v>
      </c>
      <c r="C10554" s="1" t="str">
        <f>"W24ESR-VJP"</f>
        <v>W24ESR-VJP</v>
      </c>
      <c r="D10554" s="1" t="str">
        <f>"W24ESR-VJP"</f>
        <v>W24ESR-VJP</v>
      </c>
      <c r="E10554" s="1" t="s">
        <v>4579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</row>
    <row r="10555" spans="1:11" x14ac:dyDescent="0.2">
      <c r="A10555" s="1" t="s">
        <v>505</v>
      </c>
      <c r="B10555" s="1" t="s">
        <v>538</v>
      </c>
      <c r="C10555" s="1" t="str">
        <f>"W24FS-UJP"</f>
        <v>W24FS-UJP</v>
      </c>
      <c r="D10555" s="1" t="str">
        <f>"W24FS-UJP"</f>
        <v>W24FS-UJP</v>
      </c>
      <c r="E10555" s="1" t="s">
        <v>4579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</row>
    <row r="10556" spans="1:11" x14ac:dyDescent="0.2">
      <c r="A10556" s="1" t="s">
        <v>505</v>
      </c>
      <c r="B10556" s="1" t="s">
        <v>539</v>
      </c>
      <c r="C10556" s="1" t="str">
        <f>"X24EP-U9JP"</f>
        <v>X24EP-U9JP</v>
      </c>
      <c r="D10556" s="1" t="str">
        <f>"X24EP-U9JP"</f>
        <v>X24EP-U9JP</v>
      </c>
      <c r="E10556" s="1" t="s">
        <v>4579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</row>
    <row r="10557" spans="1:11" x14ac:dyDescent="0.2">
      <c r="A10557" s="1" t="s">
        <v>505</v>
      </c>
      <c r="B10557" s="1" t="s">
        <v>540</v>
      </c>
      <c r="C10557" s="1" t="str">
        <f>"66298801737741"</f>
        <v>66298801737741</v>
      </c>
      <c r="D10557" s="1" t="str">
        <f>"X24EPR-U9JP"</f>
        <v>X24EPR-U9JP</v>
      </c>
      <c r="E10557" s="1" t="s">
        <v>4579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</row>
    <row r="10558" spans="1:11" x14ac:dyDescent="0.2">
      <c r="A10558" s="1" t="s">
        <v>505</v>
      </c>
      <c r="B10558" s="1" t="s">
        <v>541</v>
      </c>
      <c r="C10558" s="1" t="str">
        <f>"66298801824468"</f>
        <v>66298801824468</v>
      </c>
      <c r="D10558" s="1" t="str">
        <f>"XU24EPR-UJP"</f>
        <v>XU24EPR-UJP</v>
      </c>
      <c r="E10558" s="1" t="s">
        <v>4579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</row>
    <row r="10559" spans="1:11" x14ac:dyDescent="0.2">
      <c r="A10559" s="1" t="s">
        <v>505</v>
      </c>
      <c r="B10559" s="1" t="s">
        <v>542</v>
      </c>
      <c r="C10559" s="1" t="str">
        <f>"66298801864920"</f>
        <v>66298801864920</v>
      </c>
      <c r="D10559" s="1" t="str">
        <f>"CR9E-EK"</f>
        <v>CR9E-EK</v>
      </c>
      <c r="E10559" s="1" t="s">
        <v>4579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</row>
    <row r="10560" spans="1:11" x14ac:dyDescent="0.2">
      <c r="A10560" s="1" t="s">
        <v>505</v>
      </c>
      <c r="B10560" s="1" t="s">
        <v>543</v>
      </c>
      <c r="C10560" s="1" t="str">
        <f>"66298801905107"</f>
        <v>66298801905107</v>
      </c>
      <c r="D10560" s="1" t="str">
        <f>"CR7EI-EK"</f>
        <v>CR7EI-EK</v>
      </c>
      <c r="E10560" s="1" t="s">
        <v>4579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</row>
    <row r="10561" spans="1:11" x14ac:dyDescent="0.2">
      <c r="A10561" s="1" t="s">
        <v>505</v>
      </c>
      <c r="B10561" s="1" t="s">
        <v>544</v>
      </c>
      <c r="C10561" s="1" t="str">
        <f>"66298801945839"</f>
        <v>66298801945839</v>
      </c>
      <c r="D10561" s="1" t="str">
        <f>"IUF22-EK"</f>
        <v>IUF22-EK</v>
      </c>
      <c r="E10561" s="1" t="s">
        <v>4579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</row>
    <row r="10562" spans="1:11" x14ac:dyDescent="0.2">
      <c r="A10562" s="1" t="s">
        <v>505</v>
      </c>
      <c r="B10562" s="1" t="s">
        <v>545</v>
      </c>
      <c r="C10562" s="1" t="str">
        <f>"66298801987355"</f>
        <v>66298801987355</v>
      </c>
      <c r="D10562" s="1" t="str">
        <f>"B7HS-EK"</f>
        <v>B7HS-EK</v>
      </c>
      <c r="E10562" s="1" t="s">
        <v>4579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</row>
    <row r="10563" spans="1:11" x14ac:dyDescent="0.2">
      <c r="A10563" s="1" t="s">
        <v>505</v>
      </c>
      <c r="B10563" s="1" t="s">
        <v>546</v>
      </c>
      <c r="C10563" s="1" t="str">
        <f>"66298802033748"</f>
        <v>66298802033748</v>
      </c>
      <c r="D10563" s="1" t="str">
        <f>"A7TC-EK"</f>
        <v>A7TC-EK</v>
      </c>
      <c r="E10563" s="1" t="s">
        <v>4579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</row>
    <row r="10564" spans="1:11" x14ac:dyDescent="0.2">
      <c r="A10564" s="1" t="s">
        <v>505</v>
      </c>
      <c r="B10564" s="1" t="s">
        <v>547</v>
      </c>
      <c r="C10564" s="1" t="str">
        <f>"66298802074846"</f>
        <v>66298802074846</v>
      </c>
      <c r="D10564" s="1" t="str">
        <f>"CR7HSCN"</f>
        <v>CR7HSCN</v>
      </c>
      <c r="E10564" s="1" t="s">
        <v>4579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</row>
    <row r="10565" spans="1:11" x14ac:dyDescent="0.2">
      <c r="A10565" s="1" t="s">
        <v>505</v>
      </c>
      <c r="B10565" s="1" t="s">
        <v>548</v>
      </c>
      <c r="C10565" s="1" t="str">
        <f>"66298802120728"</f>
        <v>66298802120728</v>
      </c>
      <c r="D10565" s="1" t="str">
        <f>"DPR8EA-9CN"</f>
        <v>DPR8EA-9CN</v>
      </c>
      <c r="E10565" s="1" t="s">
        <v>4579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</row>
    <row r="10566" spans="1:11" x14ac:dyDescent="0.2">
      <c r="A10566" s="1" t="s">
        <v>505</v>
      </c>
      <c r="B10566" s="1" t="s">
        <v>549</v>
      </c>
      <c r="C10566" s="1" t="str">
        <f>"66298802172961"</f>
        <v>66298802172961</v>
      </c>
      <c r="D10566" s="1" t="str">
        <f>"IWF16-JP"</f>
        <v>IWF16-JP</v>
      </c>
      <c r="E10566" s="1" t="s">
        <v>4579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</row>
    <row r="10567" spans="1:11" x14ac:dyDescent="0.2">
      <c r="A10567" s="1" t="s">
        <v>505</v>
      </c>
      <c r="B10567" s="1" t="s">
        <v>550</v>
      </c>
      <c r="C10567" s="1" t="str">
        <f>"66298802217472"</f>
        <v>66298802217472</v>
      </c>
      <c r="D10567" s="1" t="str">
        <f>"BPR8EIXJP"</f>
        <v>BPR8EIXJP</v>
      </c>
      <c r="E10567" s="1" t="s">
        <v>4579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</row>
    <row r="10568" spans="1:11" x14ac:dyDescent="0.2">
      <c r="A10568" s="1" t="s">
        <v>505</v>
      </c>
      <c r="B10568" s="1" t="s">
        <v>551</v>
      </c>
      <c r="C10568" s="1" t="str">
        <f>"66298802262478"</f>
        <v>66298802262478</v>
      </c>
      <c r="D10568" s="1" t="str">
        <f>"BR10EIX"</f>
        <v>BR10EIX</v>
      </c>
      <c r="E10568" s="1" t="s">
        <v>4579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</row>
    <row r="10569" spans="1:11" ht="30" x14ac:dyDescent="0.2">
      <c r="A10569" s="1" t="s">
        <v>505</v>
      </c>
      <c r="B10569" s="1" t="s">
        <v>552</v>
      </c>
      <c r="C10569" s="1" t="str">
        <f>"IFR6G-11K"</f>
        <v>IFR6G-11K</v>
      </c>
      <c r="D10569" s="1" t="str">
        <f>"IFR6G-11K"</f>
        <v>IFR6G-11K</v>
      </c>
      <c r="E10569" s="1" t="s">
        <v>4579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</row>
    <row r="10570" spans="1:11" x14ac:dyDescent="0.2">
      <c r="A10570" s="1" t="s">
        <v>505</v>
      </c>
      <c r="B10570" s="1" t="s">
        <v>553</v>
      </c>
      <c r="C10570" s="1" t="str">
        <f>"66298802311964"</f>
        <v>66298802311964</v>
      </c>
      <c r="D10570" s="1" t="str">
        <f>"IJR8B-9JP"</f>
        <v>IJR8B-9JP</v>
      </c>
      <c r="E10570" s="1" t="s">
        <v>4579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</row>
    <row r="10571" spans="1:11" x14ac:dyDescent="0.2">
      <c r="A10571" s="1" t="s">
        <v>505</v>
      </c>
      <c r="B10571" s="1" t="s">
        <v>554</v>
      </c>
      <c r="C10571" s="1" t="str">
        <f>"B8ESJP"</f>
        <v>B8ESJP</v>
      </c>
      <c r="D10571" s="1" t="str">
        <f>"B8ESJP"</f>
        <v>B8ESJP</v>
      </c>
      <c r="E10571" s="1" t="s">
        <v>4579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</row>
    <row r="10572" spans="1:11" x14ac:dyDescent="0.2">
      <c r="A10572" s="1" t="s">
        <v>505</v>
      </c>
      <c r="B10572" s="1" t="s">
        <v>555</v>
      </c>
      <c r="C10572" s="1" t="str">
        <f>"66298802354731"</f>
        <v>66298802354731</v>
      </c>
      <c r="D10572" s="1" t="str">
        <f>"BPR6ESJP"</f>
        <v>BPR6ESJP</v>
      </c>
      <c r="E10572" s="1" t="s">
        <v>4579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</row>
    <row r="10573" spans="1:11" x14ac:dyDescent="0.2">
      <c r="A10573" s="1" t="s">
        <v>505</v>
      </c>
      <c r="B10573" s="1" t="s">
        <v>556</v>
      </c>
      <c r="C10573" s="1" t="str">
        <f>"66298802399039"</f>
        <v>66298802399039</v>
      </c>
      <c r="D10573" s="1" t="str">
        <f>"BPR6ES-11BR"</f>
        <v>BPR6ES-11BR</v>
      </c>
      <c r="E10573" s="1" t="s">
        <v>4579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</row>
    <row r="10574" spans="1:11" x14ac:dyDescent="0.2">
      <c r="A10574" s="1" t="s">
        <v>505</v>
      </c>
      <c r="B10574" s="1" t="s">
        <v>557</v>
      </c>
      <c r="C10574" s="1" t="str">
        <f>"C7HSBR"</f>
        <v>C7HSBR</v>
      </c>
      <c r="D10574" s="1" t="str">
        <f>"C7HSBR"</f>
        <v>C7HSBR</v>
      </c>
      <c r="E10574" s="1" t="s">
        <v>4579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</row>
    <row r="10575" spans="1:11" x14ac:dyDescent="0.2">
      <c r="A10575" s="1" t="s">
        <v>505</v>
      </c>
      <c r="B10575" s="1" t="s">
        <v>558</v>
      </c>
      <c r="C10575" s="1" t="str">
        <f>"C7HSA-BR"</f>
        <v>C7HSA-BR</v>
      </c>
      <c r="D10575" s="1" t="str">
        <f>"C7HSA-BR"</f>
        <v>C7HSA-BR</v>
      </c>
      <c r="E10575" s="1" t="s">
        <v>4579</v>
      </c>
      <c r="F10575" s="1">
        <v>1</v>
      </c>
      <c r="G10575" s="1">
        <v>1125</v>
      </c>
      <c r="H10575" s="1">
        <v>1125</v>
      </c>
      <c r="I10575" s="1">
        <v>0</v>
      </c>
      <c r="J10575" s="1">
        <v>1</v>
      </c>
      <c r="K10575" s="1">
        <v>0</v>
      </c>
    </row>
    <row r="10576" spans="1:11" x14ac:dyDescent="0.2">
      <c r="A10576" s="1" t="s">
        <v>505</v>
      </c>
      <c r="B10576" s="1" t="s">
        <v>559</v>
      </c>
      <c r="C10576" s="1" t="str">
        <f>"CR6HS"</f>
        <v>CR6HS</v>
      </c>
      <c r="D10576" s="1" t="str">
        <f>"CR6HS"</f>
        <v>CR6HS</v>
      </c>
      <c r="E10576" s="1" t="s">
        <v>4579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</row>
    <row r="10577" spans="1:11" x14ac:dyDescent="0.2">
      <c r="A10577" s="1" t="s">
        <v>505</v>
      </c>
      <c r="B10577" s="1" t="s">
        <v>560</v>
      </c>
      <c r="C10577" s="1" t="str">
        <f>"66298802441205"</f>
        <v>66298802441205</v>
      </c>
      <c r="D10577" s="1" t="str">
        <f>"CR7EH-9JP"</f>
        <v>CR7EH-9JP</v>
      </c>
      <c r="E10577" s="1" t="s">
        <v>4579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</row>
    <row r="10578" spans="1:11" x14ac:dyDescent="0.2">
      <c r="A10578" s="1" t="s">
        <v>505</v>
      </c>
      <c r="B10578" s="1" t="s">
        <v>561</v>
      </c>
      <c r="C10578" s="1" t="str">
        <f>"CR8EJP"</f>
        <v>CR8EJP</v>
      </c>
      <c r="D10578" s="1" t="str">
        <f>"CR8EJP"</f>
        <v>CR8EJP</v>
      </c>
      <c r="E10578" s="1" t="s">
        <v>4579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</row>
    <row r="10579" spans="1:11" x14ac:dyDescent="0.2">
      <c r="A10579" s="1" t="s">
        <v>505</v>
      </c>
      <c r="B10579" s="1" t="s">
        <v>562</v>
      </c>
      <c r="C10579" s="1" t="str">
        <f>"CR9EJP"</f>
        <v>CR9EJP</v>
      </c>
      <c r="D10579" s="1" t="str">
        <f>"CR9EJP"</f>
        <v>CR9EJP</v>
      </c>
      <c r="E10579" s="1" t="s">
        <v>4579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</row>
    <row r="10580" spans="1:11" x14ac:dyDescent="0.2">
      <c r="A10580" s="1" t="s">
        <v>505</v>
      </c>
      <c r="B10580" s="1" t="s">
        <v>563</v>
      </c>
      <c r="C10580" s="1" t="str">
        <f>"D8EAJP"</f>
        <v>D8EAJP</v>
      </c>
      <c r="D10580" s="1" t="str">
        <f>"D8EAJP"</f>
        <v>D8EAJP</v>
      </c>
      <c r="E10580" s="1" t="s">
        <v>4579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</row>
    <row r="10581" spans="1:11" x14ac:dyDescent="0.2">
      <c r="A10581" s="1" t="s">
        <v>505</v>
      </c>
      <c r="B10581" s="1" t="s">
        <v>564</v>
      </c>
      <c r="C10581" s="1" t="str">
        <f>"66298802485220"</f>
        <v>66298802485220</v>
      </c>
      <c r="D10581" s="1" t="str">
        <f>"DPR8EA-9BR"</f>
        <v>DPR8EA-9BR</v>
      </c>
      <c r="E10581" s="1" t="s">
        <v>4579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</row>
    <row r="10582" spans="1:11" ht="30" x14ac:dyDescent="0.2">
      <c r="A10582" s="1" t="s">
        <v>505</v>
      </c>
      <c r="B10582" s="1" t="s">
        <v>565</v>
      </c>
      <c r="C10582" s="1" t="str">
        <f>"LKAR8A-9"</f>
        <v>LKAR8A-9</v>
      </c>
      <c r="D10582" s="1" t="str">
        <f>"LKAR8A-9"</f>
        <v>LKAR8A-9</v>
      </c>
      <c r="E10582" s="1" t="s">
        <v>4579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</row>
    <row r="10583" spans="1:11" x14ac:dyDescent="0.2">
      <c r="A10583" s="1" t="s">
        <v>505</v>
      </c>
      <c r="B10583" s="1" t="s">
        <v>566</v>
      </c>
      <c r="C10583" s="1" t="str">
        <f>"66298802530482"</f>
        <v>66298802530482</v>
      </c>
      <c r="D10583" s="1" t="str">
        <f>"CPR8EA-9EIX-VN"</f>
        <v>CPR8EA-9EIX-VN</v>
      </c>
      <c r="E10583" s="1" t="s">
        <v>4579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</row>
    <row r="10584" spans="1:11" x14ac:dyDescent="0.2">
      <c r="A10584" s="1" t="s">
        <v>505</v>
      </c>
      <c r="B10584" s="1" t="s">
        <v>567</v>
      </c>
      <c r="C10584" s="1" t="str">
        <f>"66298802573508"</f>
        <v>66298802573508</v>
      </c>
      <c r="D10584" s="1" t="str">
        <f>"CR8EH-9EIX-VN"</f>
        <v>CR8EH-9EIX-VN</v>
      </c>
      <c r="E10584" s="1" t="s">
        <v>4579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</row>
    <row r="10585" spans="1:11" x14ac:dyDescent="0.2">
      <c r="A10585" s="1" t="s">
        <v>505</v>
      </c>
      <c r="B10585" s="1" t="s">
        <v>568</v>
      </c>
      <c r="C10585" s="1" t="str">
        <f>"66298802617007"</f>
        <v>66298802617007</v>
      </c>
      <c r="D10585" s="1" t="str">
        <f>"DPR8EA-9EIX-VN"</f>
        <v>DPR8EA-9EIX-VN</v>
      </c>
      <c r="E10585" s="1" t="s">
        <v>4579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</row>
    <row r="10586" spans="1:11" x14ac:dyDescent="0.2">
      <c r="A10586" s="1" t="s">
        <v>505</v>
      </c>
      <c r="B10586" s="1" t="s">
        <v>569</v>
      </c>
      <c r="C10586" s="1" t="str">
        <f>"66298802661000"</f>
        <v>66298802661000</v>
      </c>
      <c r="D10586" s="1" t="str">
        <f>"C7HSVN"</f>
        <v>C7HSVN</v>
      </c>
      <c r="E10586" s="1" t="s">
        <v>4579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</row>
    <row r="10587" spans="1:11" x14ac:dyDescent="0.2">
      <c r="A10587" s="1" t="s">
        <v>505</v>
      </c>
      <c r="B10587" s="1" t="s">
        <v>570</v>
      </c>
      <c r="C10587" s="1" t="str">
        <f>"66298802707892"</f>
        <v>66298802707892</v>
      </c>
      <c r="D10587" s="1" t="str">
        <f>"CR8EVN"</f>
        <v>CR8EVN</v>
      </c>
      <c r="E10587" s="1" t="s">
        <v>4579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</row>
    <row r="10588" spans="1:11" x14ac:dyDescent="0.2">
      <c r="A10588" s="1" t="s">
        <v>505</v>
      </c>
      <c r="B10588" s="1" t="s">
        <v>571</v>
      </c>
      <c r="C10588" s="1" t="str">
        <f>"66298802748152"</f>
        <v>66298802748152</v>
      </c>
      <c r="D10588" s="1" t="str">
        <f>"D8EAVN"</f>
        <v>D8EAVN</v>
      </c>
      <c r="E10588" s="1" t="s">
        <v>4579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</row>
    <row r="10589" spans="1:11" x14ac:dyDescent="0.2">
      <c r="A10589" s="1" t="s">
        <v>572</v>
      </c>
      <c r="B10589" s="1" t="s">
        <v>573</v>
      </c>
      <c r="C10589" s="1" t="str">
        <f>"66298802786849"</f>
        <v>66298802786849</v>
      </c>
      <c r="D10589" s="1" t="str">
        <f>"DM-B-00004"</f>
        <v>DM-B-00004</v>
      </c>
      <c r="E10589" s="1" t="s">
        <v>4579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</row>
    <row r="10590" spans="1:11" x14ac:dyDescent="0.2">
      <c r="A10590" s="1" t="s">
        <v>574</v>
      </c>
      <c r="B10590" s="1" t="s">
        <v>575</v>
      </c>
      <c r="C10590" s="1" t="str">
        <f>"66298802829474"</f>
        <v>66298802829474</v>
      </c>
      <c r="D10590" s="1" t="str">
        <f>"VA004"</f>
        <v>VA004</v>
      </c>
      <c r="E10590" s="1" t="s">
        <v>4579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</row>
    <row r="10591" spans="1:11" x14ac:dyDescent="0.2">
      <c r="A10591" s="1" t="s">
        <v>574</v>
      </c>
      <c r="B10591" s="1" t="s">
        <v>576</v>
      </c>
      <c r="C10591" s="1" t="str">
        <f>"66298802872553"</f>
        <v>66298802872553</v>
      </c>
      <c r="D10591" s="1" t="str">
        <f>"VA008"</f>
        <v>VA008</v>
      </c>
      <c r="E10591" s="1" t="s">
        <v>4579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</row>
    <row r="10592" spans="1:11" x14ac:dyDescent="0.2">
      <c r="A10592" s="1" t="s">
        <v>574</v>
      </c>
      <c r="B10592" s="1" t="s">
        <v>576</v>
      </c>
      <c r="C10592" s="1" t="str">
        <f>"66298802914895"</f>
        <v>66298802914895</v>
      </c>
      <c r="D10592" s="1" t="str">
        <f>"VA019"</f>
        <v>VA019</v>
      </c>
      <c r="E10592" s="1" t="s">
        <v>4579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</row>
    <row r="10593" spans="1:11" x14ac:dyDescent="0.2">
      <c r="A10593" s="1" t="s">
        <v>574</v>
      </c>
      <c r="B10593" s="1" t="s">
        <v>577</v>
      </c>
      <c r="C10593" s="1" t="str">
        <f>"VA040"</f>
        <v>VA040</v>
      </c>
      <c r="D10593" s="1" t="str">
        <f>"VA040"</f>
        <v>VA040</v>
      </c>
      <c r="E10593" s="1" t="s">
        <v>4579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</row>
    <row r="10594" spans="1:11" ht="30" x14ac:dyDescent="0.2">
      <c r="A10594" s="1" t="s">
        <v>574</v>
      </c>
      <c r="B10594" s="1" t="s">
        <v>578</v>
      </c>
      <c r="C10594" s="1" t="str">
        <f>"66298802954882"</f>
        <v>66298802954882</v>
      </c>
      <c r="D10594" s="1" t="str">
        <f>"30410-KSP-911HB"</f>
        <v>30410-KSP-911HB</v>
      </c>
      <c r="E10594" s="1" t="s">
        <v>4579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</row>
    <row r="10595" spans="1:11" x14ac:dyDescent="0.2">
      <c r="A10595" s="1" t="s">
        <v>574</v>
      </c>
      <c r="B10595" s="1" t="s">
        <v>579</v>
      </c>
      <c r="C10595" s="1" t="str">
        <f>"66298802996722"</f>
        <v>66298802996722</v>
      </c>
      <c r="D10595" s="1" t="str">
        <f>"83163"</f>
        <v>83163</v>
      </c>
      <c r="E10595" s="1" t="s">
        <v>4579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</row>
    <row r="10596" spans="1:11" x14ac:dyDescent="0.2">
      <c r="A10596" s="1" t="s">
        <v>574</v>
      </c>
      <c r="B10596" s="1" t="s">
        <v>580</v>
      </c>
      <c r="C10596" s="1" t="str">
        <f>"66298803039279"</f>
        <v>66298803039279</v>
      </c>
      <c r="D10596" s="1" t="str">
        <f>"V027"</f>
        <v>V027</v>
      </c>
      <c r="E10596" s="1" t="s">
        <v>4579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</row>
    <row r="10597" spans="1:11" x14ac:dyDescent="0.2">
      <c r="A10597" s="1" t="s">
        <v>574</v>
      </c>
      <c r="B10597" s="1" t="s">
        <v>580</v>
      </c>
      <c r="C10597" s="1" t="str">
        <f>"66298803045585"</f>
        <v>66298803045585</v>
      </c>
      <c r="D10597" s="1" t="str">
        <f>"VA016"</f>
        <v>VA016</v>
      </c>
      <c r="E10597" s="1" t="s">
        <v>4579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</row>
    <row r="10598" spans="1:11" x14ac:dyDescent="0.2">
      <c r="A10598" s="1" t="s">
        <v>574</v>
      </c>
      <c r="B10598" s="1" t="s">
        <v>581</v>
      </c>
      <c r="C10598" s="1" t="str">
        <f>"F34"</f>
        <v>F34</v>
      </c>
      <c r="D10598" s="1" t="str">
        <f>"F34"</f>
        <v>F34</v>
      </c>
      <c r="E10598" s="1" t="s">
        <v>4579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</row>
    <row r="10599" spans="1:11" x14ac:dyDescent="0.2">
      <c r="A10599" s="1" t="s">
        <v>574</v>
      </c>
      <c r="B10599" s="1" t="s">
        <v>581</v>
      </c>
      <c r="C10599" s="1" t="str">
        <f>"F35"</f>
        <v>F35</v>
      </c>
      <c r="D10599" s="1" t="str">
        <f>"F35"</f>
        <v>F35</v>
      </c>
      <c r="E10599" s="1" t="s">
        <v>4579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</row>
    <row r="10600" spans="1:11" x14ac:dyDescent="0.2">
      <c r="A10600" s="1" t="s">
        <v>574</v>
      </c>
      <c r="B10600" s="1" t="s">
        <v>582</v>
      </c>
      <c r="C10600" s="1" t="str">
        <f>"66298803186450"</f>
        <v>66298803186450</v>
      </c>
      <c r="D10600" s="1" t="str">
        <f>"M067"</f>
        <v>M067</v>
      </c>
      <c r="E10600" s="1" t="s">
        <v>4579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</row>
    <row r="10601" spans="1:11" x14ac:dyDescent="0.2">
      <c r="A10601" s="1" t="s">
        <v>574</v>
      </c>
      <c r="B10601" s="1" t="s">
        <v>583</v>
      </c>
      <c r="C10601" s="1" t="str">
        <f>"66298803108320"</f>
        <v>66298803108320</v>
      </c>
      <c r="D10601" s="1" t="str">
        <f>"80782"</f>
        <v>80782</v>
      </c>
      <c r="E10601" s="1" t="s">
        <v>4579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</row>
    <row r="10602" spans="1:11" x14ac:dyDescent="0.2">
      <c r="A10602" s="1" t="s">
        <v>574</v>
      </c>
      <c r="B10602" s="1" t="s">
        <v>583</v>
      </c>
      <c r="C10602" s="1" t="str">
        <f>"66298803113014"</f>
        <v>66298803113014</v>
      </c>
      <c r="D10602" s="1" t="str">
        <f>"DM-C-00039"</f>
        <v>DM-C-00039</v>
      </c>
      <c r="E10602" s="1" t="s">
        <v>4579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</row>
    <row r="10603" spans="1:11" x14ac:dyDescent="0.2">
      <c r="A10603" s="1" t="s">
        <v>574</v>
      </c>
      <c r="B10603" s="1" t="s">
        <v>583</v>
      </c>
      <c r="C10603" s="1" t="str">
        <f>"66298803118491"</f>
        <v>66298803118491</v>
      </c>
      <c r="D10603" s="1" t="str">
        <f>"VA013"</f>
        <v>VA013</v>
      </c>
      <c r="E10603" s="1" t="s">
        <v>4579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</row>
    <row r="10604" spans="1:11" x14ac:dyDescent="0.2">
      <c r="A10604" s="1" t="s">
        <v>574</v>
      </c>
      <c r="B10604" s="1" t="s">
        <v>584</v>
      </c>
      <c r="C10604" s="1" t="str">
        <f>"81092"</f>
        <v>81092</v>
      </c>
      <c r="D10604" s="1" t="str">
        <f>"81092"</f>
        <v>81092</v>
      </c>
      <c r="E10604" s="1" t="s">
        <v>4579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</row>
    <row r="10605" spans="1:11" x14ac:dyDescent="0.2">
      <c r="A10605" s="1" t="s">
        <v>574</v>
      </c>
      <c r="B10605" s="1" t="s">
        <v>585</v>
      </c>
      <c r="C10605" s="1" t="str">
        <f>"66298803264171"</f>
        <v>66298803264171</v>
      </c>
      <c r="D10605" s="1" t="str">
        <f>"401054"</f>
        <v>401054</v>
      </c>
      <c r="E10605" s="1" t="s">
        <v>4579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</row>
    <row r="10606" spans="1:11" x14ac:dyDescent="0.2">
      <c r="A10606" s="1" t="s">
        <v>574</v>
      </c>
      <c r="B10606" s="1" t="s">
        <v>586</v>
      </c>
      <c r="C10606" s="1" t="str">
        <f>"66298803303011"</f>
        <v>66298803303011</v>
      </c>
      <c r="D10606" s="1" t="str">
        <f>"80781"</f>
        <v>80781</v>
      </c>
      <c r="E10606" s="1" t="s">
        <v>4579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</row>
    <row r="10607" spans="1:11" x14ac:dyDescent="0.2">
      <c r="A10607" s="1" t="s">
        <v>574</v>
      </c>
      <c r="B10607" s="1" t="s">
        <v>587</v>
      </c>
      <c r="C10607" s="1" t="str">
        <f>"VA002"</f>
        <v>VA002</v>
      </c>
      <c r="D10607" s="1" t="str">
        <f>"VA002"</f>
        <v>VA002</v>
      </c>
      <c r="E10607" s="1" t="s">
        <v>4579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</row>
    <row r="10608" spans="1:11" x14ac:dyDescent="0.2">
      <c r="A10608" s="1" t="s">
        <v>574</v>
      </c>
      <c r="B10608" s="1" t="s">
        <v>588</v>
      </c>
      <c r="C10608" s="1" t="str">
        <f>"66298803344101"</f>
        <v>66298803344101</v>
      </c>
      <c r="D10608" s="1" t="str">
        <f>"VA018"</f>
        <v>VA018</v>
      </c>
      <c r="E10608" s="1" t="s">
        <v>4579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</row>
    <row r="10609" spans="1:11" x14ac:dyDescent="0.2">
      <c r="A10609" s="1" t="s">
        <v>574</v>
      </c>
      <c r="B10609" s="1" t="s">
        <v>589</v>
      </c>
      <c r="C10609" s="1" t="str">
        <f>"66298803394235"</f>
        <v>66298803394235</v>
      </c>
      <c r="D10609" s="1" t="str">
        <f>"21C-H5540-00HB"</f>
        <v>21C-H5540-00HB</v>
      </c>
      <c r="E10609" s="1" t="s">
        <v>4579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</row>
    <row r="10610" spans="1:11" x14ac:dyDescent="0.2">
      <c r="A10610" s="1" t="s">
        <v>574</v>
      </c>
      <c r="B10610" s="1" t="s">
        <v>589</v>
      </c>
      <c r="C10610" s="1" t="str">
        <f>"VA014"</f>
        <v>VA014</v>
      </c>
      <c r="D10610" s="1" t="str">
        <f>"VA014"</f>
        <v>VA014</v>
      </c>
      <c r="E10610" s="1" t="s">
        <v>4579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</row>
    <row r="10611" spans="1:11" x14ac:dyDescent="0.2">
      <c r="A10611" s="1" t="s">
        <v>574</v>
      </c>
      <c r="B10611" s="1" t="s">
        <v>589</v>
      </c>
      <c r="C10611" s="1" t="str">
        <f>"CDI-FZ16"</f>
        <v>CDI-FZ16</v>
      </c>
      <c r="D10611" s="1" t="str">
        <f>"CDI-FZ16"</f>
        <v>CDI-FZ16</v>
      </c>
      <c r="E10611" s="1" t="s">
        <v>4579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</row>
    <row r="10612" spans="1:11" x14ac:dyDescent="0.2">
      <c r="A10612" s="1" t="s">
        <v>574</v>
      </c>
      <c r="B10612" s="1" t="s">
        <v>590</v>
      </c>
      <c r="C10612" s="1" t="str">
        <f>"66298803437005"</f>
        <v>66298803437005</v>
      </c>
      <c r="D10612" s="1" t="str">
        <f>"B77-H591A-00"</f>
        <v>B77-H591A-00</v>
      </c>
      <c r="E10612" s="1" t="s">
        <v>4579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</row>
    <row r="10613" spans="1:11" x14ac:dyDescent="0.2">
      <c r="A10613" s="1" t="s">
        <v>574</v>
      </c>
      <c r="B10613" s="1" t="s">
        <v>591</v>
      </c>
      <c r="C10613" s="1" t="str">
        <f>"66298803478068"</f>
        <v>66298803478068</v>
      </c>
      <c r="D10613" s="1" t="str">
        <f>"VA017"</f>
        <v>VA017</v>
      </c>
      <c r="E10613" s="1" t="s">
        <v>4579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</row>
    <row r="10614" spans="1:11" x14ac:dyDescent="0.2">
      <c r="A10614" s="1" t="s">
        <v>574</v>
      </c>
      <c r="B10614" s="1" t="s">
        <v>592</v>
      </c>
      <c r="C10614" s="1" t="str">
        <f>"66298803518064"</f>
        <v>66298803518064</v>
      </c>
      <c r="D10614" s="1" t="str">
        <f>"VA023"</f>
        <v>VA023</v>
      </c>
      <c r="E10614" s="1" t="s">
        <v>4579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</row>
    <row r="10615" spans="1:11" x14ac:dyDescent="0.2">
      <c r="A10615" s="1" t="s">
        <v>574</v>
      </c>
      <c r="B10615" s="1" t="s">
        <v>593</v>
      </c>
      <c r="C10615" s="1" t="str">
        <f>"66298803559321"</f>
        <v>66298803559321</v>
      </c>
      <c r="D10615" s="1" t="str">
        <f>"VA020"</f>
        <v>VA020</v>
      </c>
      <c r="E10615" s="1" t="s">
        <v>4579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</row>
    <row r="10616" spans="1:11" x14ac:dyDescent="0.2">
      <c r="A10616" s="1" t="s">
        <v>574</v>
      </c>
      <c r="B10616" s="1" t="s">
        <v>594</v>
      </c>
      <c r="C10616" s="1" t="str">
        <f>"66298803599467"</f>
        <v>66298803599467</v>
      </c>
      <c r="D10616" s="1" t="str">
        <f>"32900H2C000H000"</f>
        <v>32900H2C000H000</v>
      </c>
      <c r="E10616" s="1" t="s">
        <v>4579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</row>
    <row r="10617" spans="1:11" x14ac:dyDescent="0.2">
      <c r="A10617" s="1" t="s">
        <v>574</v>
      </c>
      <c r="B10617" s="1" t="s">
        <v>595</v>
      </c>
      <c r="C10617" s="1" t="str">
        <f>"66298803640520"</f>
        <v>66298803640520</v>
      </c>
      <c r="D10617" s="1" t="str">
        <f>"32900H40000H000"</f>
        <v>32900H40000H000</v>
      </c>
      <c r="E10617" s="1" t="s">
        <v>4579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</row>
    <row r="10618" spans="1:11" x14ac:dyDescent="0.2">
      <c r="A10618" s="1" t="s">
        <v>574</v>
      </c>
      <c r="B10618" s="1" t="s">
        <v>596</v>
      </c>
      <c r="C10618" s="1" t="str">
        <f>"66298803683575"</f>
        <v>66298803683575</v>
      </c>
      <c r="D10618" s="1" t="str">
        <f>"83179"</f>
        <v>83179</v>
      </c>
      <c r="E10618" s="1" t="s">
        <v>4579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</row>
    <row r="10619" spans="1:11" x14ac:dyDescent="0.2">
      <c r="A10619" s="1" t="s">
        <v>574</v>
      </c>
      <c r="B10619" s="1" t="s">
        <v>596</v>
      </c>
      <c r="C10619" s="1" t="str">
        <f>"66298803691138"</f>
        <v>66298803691138</v>
      </c>
      <c r="D10619" s="1" t="str">
        <f>"JL-3512-00HB"</f>
        <v>JL-3512-00HB</v>
      </c>
      <c r="E10619" s="1" t="s">
        <v>4579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</row>
    <row r="10620" spans="1:11" x14ac:dyDescent="0.2">
      <c r="A10620" s="1" t="s">
        <v>574</v>
      </c>
      <c r="B10620" s="1" t="s">
        <v>597</v>
      </c>
      <c r="C10620" s="1" t="str">
        <f>"66298803748282"</f>
        <v>66298803748282</v>
      </c>
      <c r="D10620" s="1" t="str">
        <f>"401053"</f>
        <v>401053</v>
      </c>
      <c r="E10620" s="1" t="s">
        <v>4579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</row>
    <row r="10621" spans="1:11" x14ac:dyDescent="0.2">
      <c r="A10621" s="1" t="s">
        <v>574</v>
      </c>
      <c r="B10621" s="1" t="s">
        <v>598</v>
      </c>
      <c r="C10621" s="1" t="str">
        <f>"66298803787525"</f>
        <v>66298803787525</v>
      </c>
      <c r="D10621" s="1" t="str">
        <f>"82795"</f>
        <v>82795</v>
      </c>
      <c r="E10621" s="1" t="s">
        <v>4579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</row>
    <row r="10622" spans="1:11" x14ac:dyDescent="0.2">
      <c r="A10622" s="1" t="s">
        <v>574</v>
      </c>
      <c r="B10622" s="1" t="s">
        <v>599</v>
      </c>
      <c r="C10622" s="1" t="str">
        <f>"66298803834424"</f>
        <v>66298803834424</v>
      </c>
      <c r="D10622" s="1" t="str">
        <f>"VA021"</f>
        <v>VA021</v>
      </c>
      <c r="E10622" s="1" t="s">
        <v>4579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</row>
    <row r="10623" spans="1:11" x14ac:dyDescent="0.2">
      <c r="A10623" s="1" t="s">
        <v>574</v>
      </c>
      <c r="B10623" s="1" t="s">
        <v>600</v>
      </c>
      <c r="C10623" s="1" t="str">
        <f>"CK110S7-F2-28"</f>
        <v>CK110S7-F2-28</v>
      </c>
      <c r="D10623" s="1" t="str">
        <f>"CK110S7-F2-28"</f>
        <v>CK110S7-F2-28</v>
      </c>
      <c r="E10623" s="1" t="s">
        <v>4579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</row>
    <row r="10624" spans="1:11" x14ac:dyDescent="0.2">
      <c r="A10624" s="1" t="s">
        <v>574</v>
      </c>
      <c r="B10624" s="1" t="s">
        <v>601</v>
      </c>
      <c r="C10624" s="1" t="str">
        <f>"LXGS2-F10-3"</f>
        <v>LXGS2-F10-3</v>
      </c>
      <c r="D10624" s="1" t="str">
        <f>"LXGS2-F10-3"</f>
        <v>LXGS2-F10-3</v>
      </c>
      <c r="E10624" s="1" t="s">
        <v>4579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</row>
    <row r="10625" spans="1:11" x14ac:dyDescent="0.2">
      <c r="A10625" s="1" t="s">
        <v>574</v>
      </c>
      <c r="B10625" s="1" t="s">
        <v>602</v>
      </c>
      <c r="C10625" s="1" t="str">
        <f>"66298803876078"</f>
        <v>66298803876078</v>
      </c>
      <c r="D10625" s="1" t="str">
        <f>"82421"</f>
        <v>82421</v>
      </c>
      <c r="E10625" s="1" t="s">
        <v>4579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</row>
    <row r="10626" spans="1:11" x14ac:dyDescent="0.2">
      <c r="A10626" s="1" t="s">
        <v>574</v>
      </c>
      <c r="B10626" s="1" t="s">
        <v>603</v>
      </c>
      <c r="C10626" s="1" t="str">
        <f>"139"</f>
        <v>139</v>
      </c>
      <c r="D10626" s="1" t="str">
        <f>"139"</f>
        <v>139</v>
      </c>
      <c r="E10626" s="1" t="s">
        <v>4579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</row>
    <row r="10627" spans="1:11" x14ac:dyDescent="0.2">
      <c r="A10627" s="1" t="s">
        <v>574</v>
      </c>
      <c r="B10627" s="1" t="s">
        <v>604</v>
      </c>
      <c r="C10627" s="1" t="str">
        <f>"66298803918266"</f>
        <v>66298803918266</v>
      </c>
      <c r="D10627" s="1" t="str">
        <f>"VA015"</f>
        <v>VA015</v>
      </c>
      <c r="E10627" s="1" t="s">
        <v>4579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</row>
    <row r="10628" spans="1:11" ht="30" x14ac:dyDescent="0.2">
      <c r="A10628" s="1" t="s">
        <v>574</v>
      </c>
      <c r="B10628" s="1" t="s">
        <v>605</v>
      </c>
      <c r="C10628" s="1" t="str">
        <f>"66298803960807"</f>
        <v>66298803960807</v>
      </c>
      <c r="D10628" s="1" t="str">
        <f>"400026"</f>
        <v>400026</v>
      </c>
      <c r="E10628" s="1" t="s">
        <v>4579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</row>
    <row r="10629" spans="1:11" x14ac:dyDescent="0.2">
      <c r="A10629" s="1" t="s">
        <v>574</v>
      </c>
      <c r="B10629" s="1" t="s">
        <v>606</v>
      </c>
      <c r="C10629" s="1" t="str">
        <f>"66298804004536"</f>
        <v>66298804004536</v>
      </c>
      <c r="D10629" s="1" t="str">
        <f>"401052"</f>
        <v>401052</v>
      </c>
      <c r="E10629" s="1" t="s">
        <v>4579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</row>
    <row r="10630" spans="1:11" x14ac:dyDescent="0.2">
      <c r="A10630" s="1" t="s">
        <v>18</v>
      </c>
      <c r="B10630" s="1" t="s">
        <v>607</v>
      </c>
      <c r="C10630" s="1" t="str">
        <f>"66298804043366"</f>
        <v>66298804043366</v>
      </c>
      <c r="D10630" s="1" t="str">
        <f>"H186"</f>
        <v>H186</v>
      </c>
      <c r="E10630" s="1" t="s">
        <v>4579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</row>
    <row r="10631" spans="1:11" x14ac:dyDescent="0.2">
      <c r="A10631" s="1" t="s">
        <v>608</v>
      </c>
      <c r="B10631" s="1" t="s">
        <v>609</v>
      </c>
      <c r="C10631" s="1" t="str">
        <f>"66298804083958"</f>
        <v>66298804083958</v>
      </c>
      <c r="D10631" s="1" t="str">
        <f>"88"</f>
        <v>88</v>
      </c>
      <c r="E10631" s="1" t="s">
        <v>4579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</row>
    <row r="10632" spans="1:11" x14ac:dyDescent="0.2">
      <c r="A10632" s="1" t="s">
        <v>608</v>
      </c>
      <c r="B10632" s="1" t="s">
        <v>609</v>
      </c>
      <c r="C10632" s="1" t="str">
        <f>"ACEL-UNIV"</f>
        <v>ACEL-UNIV</v>
      </c>
      <c r="D10632" s="1" t="str">
        <f>"ACEL-UNIV"</f>
        <v>ACEL-UNIV</v>
      </c>
      <c r="E10632" s="1" t="s">
        <v>4579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</row>
    <row r="10633" spans="1:11" x14ac:dyDescent="0.2">
      <c r="A10633" s="1" t="s">
        <v>608</v>
      </c>
      <c r="B10633" s="1" t="s">
        <v>610</v>
      </c>
      <c r="C10633" s="1" t="str">
        <f>"66298804126657"</f>
        <v>66298804126657</v>
      </c>
      <c r="D10633" s="1" t="str">
        <f>"XN-12901-000JP"</f>
        <v>XN-12901-000JP</v>
      </c>
      <c r="E10633" s="1" t="s">
        <v>4579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</row>
    <row r="10634" spans="1:11" x14ac:dyDescent="0.2">
      <c r="A10634" s="1" t="s">
        <v>608</v>
      </c>
      <c r="B10634" s="1" t="s">
        <v>611</v>
      </c>
      <c r="C10634" s="1" t="str">
        <f>"66298804166211"</f>
        <v>66298804166211</v>
      </c>
      <c r="D10634" s="1" t="str">
        <f>"82066"</f>
        <v>82066</v>
      </c>
      <c r="E10634" s="1" t="s">
        <v>4579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</row>
    <row r="10635" spans="1:11" x14ac:dyDescent="0.2">
      <c r="A10635" s="1" t="s">
        <v>608</v>
      </c>
      <c r="B10635" s="1" t="s">
        <v>611</v>
      </c>
      <c r="C10635" s="1" t="str">
        <f>"66298804209961"</f>
        <v>66298804209961</v>
      </c>
      <c r="D10635" s="1" t="str">
        <f>"BC008"</f>
        <v>BC008</v>
      </c>
      <c r="E10635" s="1" t="s">
        <v>4579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</row>
    <row r="10636" spans="1:11" x14ac:dyDescent="0.2">
      <c r="A10636" s="1" t="s">
        <v>608</v>
      </c>
      <c r="B10636" s="1" t="s">
        <v>612</v>
      </c>
      <c r="C10636" s="1" t="str">
        <f>"66298804254152"</f>
        <v>66298804254152</v>
      </c>
      <c r="D10636" s="1" t="str">
        <f>"400630"</f>
        <v>400630</v>
      </c>
      <c r="E10636" s="1" t="s">
        <v>4579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</row>
    <row r="10637" spans="1:11" x14ac:dyDescent="0.2">
      <c r="A10637" s="1" t="s">
        <v>608</v>
      </c>
      <c r="B10637" s="1" t="s">
        <v>613</v>
      </c>
      <c r="C10637" s="1" t="str">
        <f>"66298804392057"</f>
        <v>66298804392057</v>
      </c>
      <c r="D10637" s="1" t="str">
        <f>"17910-K70-601GH"</f>
        <v>17910-K70-601GH</v>
      </c>
      <c r="E10637" s="1" t="s">
        <v>4579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</row>
    <row r="10638" spans="1:11" x14ac:dyDescent="0.2">
      <c r="A10638" s="1" t="s">
        <v>608</v>
      </c>
      <c r="B10638" s="1" t="s">
        <v>614</v>
      </c>
      <c r="C10638" s="1" t="str">
        <f>"66298804346374"</f>
        <v>66298804346374</v>
      </c>
      <c r="D10638" s="1" t="str">
        <f>"17910-K70-601HB"</f>
        <v>17910-K70-601HB</v>
      </c>
      <c r="E10638" s="1" t="s">
        <v>4579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</row>
    <row r="10639" spans="1:11" x14ac:dyDescent="0.2">
      <c r="A10639" s="1" t="s">
        <v>608</v>
      </c>
      <c r="B10639" s="1" t="s">
        <v>615</v>
      </c>
      <c r="C10639" s="1" t="str">
        <f>"66298804431042"</f>
        <v>66298804431042</v>
      </c>
      <c r="D10639" s="1" t="str">
        <f>"400645"</f>
        <v>400645</v>
      </c>
      <c r="E10639" s="1" t="s">
        <v>4579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</row>
    <row r="10640" spans="1:11" x14ac:dyDescent="0.2">
      <c r="A10640" s="1" t="s">
        <v>608</v>
      </c>
      <c r="B10640" s="1" t="s">
        <v>616</v>
      </c>
      <c r="C10640" s="1" t="str">
        <f>"66298804472212"</f>
        <v>66298804472212</v>
      </c>
      <c r="D10640" s="1" t="str">
        <f>"400646"</f>
        <v>400646</v>
      </c>
      <c r="E10640" s="1" t="s">
        <v>4579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</row>
    <row r="10641" spans="1:11" x14ac:dyDescent="0.2">
      <c r="A10641" s="1" t="s">
        <v>608</v>
      </c>
      <c r="B10641" s="1" t="s">
        <v>617</v>
      </c>
      <c r="C10641" s="1" t="str">
        <f>"BC021"</f>
        <v>BC021</v>
      </c>
      <c r="D10641" s="1" t="str">
        <f>"BC021"</f>
        <v>BC021</v>
      </c>
      <c r="E10641" s="1" t="s">
        <v>4579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</row>
    <row r="10642" spans="1:11" x14ac:dyDescent="0.2">
      <c r="A10642" s="1" t="s">
        <v>608</v>
      </c>
      <c r="B10642" s="1" t="s">
        <v>618</v>
      </c>
      <c r="C10642" s="1" t="str">
        <f>"BC015"</f>
        <v>BC015</v>
      </c>
      <c r="D10642" s="1" t="str">
        <f>"BC015"</f>
        <v>BC015</v>
      </c>
      <c r="E10642" s="1" t="s">
        <v>4579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</row>
    <row r="10643" spans="1:11" x14ac:dyDescent="0.2">
      <c r="A10643" s="1" t="s">
        <v>608</v>
      </c>
      <c r="B10643" s="1" t="s">
        <v>619</v>
      </c>
      <c r="C10643" s="1" t="str">
        <f>"66298804512010"</f>
        <v>66298804512010</v>
      </c>
      <c r="D10643" s="1" t="str">
        <f>"400631"</f>
        <v>400631</v>
      </c>
      <c r="E10643" s="1" t="s">
        <v>4579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</row>
    <row r="10644" spans="1:11" x14ac:dyDescent="0.2">
      <c r="A10644" s="1" t="s">
        <v>608</v>
      </c>
      <c r="B10644" s="1" t="s">
        <v>620</v>
      </c>
      <c r="C10644" s="1" t="str">
        <f>"66298804551896"</f>
        <v>66298804551896</v>
      </c>
      <c r="D10644" s="1" t="str">
        <f>"17910-KSP-900HB"</f>
        <v>17910-KSP-900HB</v>
      </c>
      <c r="E10644" s="1" t="s">
        <v>4579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</row>
    <row r="10645" spans="1:11" x14ac:dyDescent="0.2">
      <c r="A10645" s="1" t="s">
        <v>608</v>
      </c>
      <c r="B10645" s="1" t="s">
        <v>621</v>
      </c>
      <c r="C10645" s="1" t="str">
        <f>"66298804592175"</f>
        <v>66298804592175</v>
      </c>
      <c r="D10645" s="1" t="str">
        <f>"80338"</f>
        <v>80338</v>
      </c>
      <c r="E10645" s="1" t="s">
        <v>4579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</row>
    <row r="10646" spans="1:11" x14ac:dyDescent="0.2">
      <c r="A10646" s="1" t="s">
        <v>608</v>
      </c>
      <c r="B10646" s="1" t="s">
        <v>622</v>
      </c>
      <c r="C10646" s="1" t="str">
        <f>"66298804639819"</f>
        <v>66298804639819</v>
      </c>
      <c r="D10646" s="1" t="str">
        <f>"171210510-0001JP"</f>
        <v>171210510-0001JP</v>
      </c>
      <c r="E10646" s="1" t="s">
        <v>4579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</row>
    <row r="10647" spans="1:11" x14ac:dyDescent="0.2">
      <c r="A10647" s="1" t="s">
        <v>608</v>
      </c>
      <c r="B10647" s="1" t="s">
        <v>622</v>
      </c>
      <c r="C10647" s="1" t="str">
        <f>"66298804648191"</f>
        <v>66298804648191</v>
      </c>
      <c r="D10647" s="1" t="str">
        <f>"7701023704380"</f>
        <v>7701023704380</v>
      </c>
      <c r="E10647" s="1" t="s">
        <v>4579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</row>
    <row r="10648" spans="1:11" x14ac:dyDescent="0.2">
      <c r="A10648" s="1" t="s">
        <v>608</v>
      </c>
      <c r="B10648" s="1" t="s">
        <v>622</v>
      </c>
      <c r="C10648" s="1" t="str">
        <f>"66298804654264"</f>
        <v>66298804654264</v>
      </c>
      <c r="D10648" s="1" t="str">
        <f>"BC001"</f>
        <v>BC001</v>
      </c>
      <c r="E10648" s="1" t="s">
        <v>4579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</row>
    <row r="10649" spans="1:11" x14ac:dyDescent="0.2">
      <c r="A10649" s="1" t="s">
        <v>608</v>
      </c>
      <c r="B10649" s="1" t="s">
        <v>623</v>
      </c>
      <c r="C10649" s="1" t="str">
        <f>"66298804725437"</f>
        <v>66298804725437</v>
      </c>
      <c r="D10649" s="1" t="str">
        <f>"80341"</f>
        <v>80341</v>
      </c>
      <c r="E10649" s="1" t="s">
        <v>4579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</row>
    <row r="10650" spans="1:11" x14ac:dyDescent="0.2">
      <c r="A10650" s="1" t="s">
        <v>608</v>
      </c>
      <c r="B10650" s="1" t="s">
        <v>624</v>
      </c>
      <c r="C10650" s="1" t="str">
        <f>"66298804774501"</f>
        <v>66298804774501</v>
      </c>
      <c r="D10650" s="1" t="str">
        <f>"17910-KRF-B41HB"</f>
        <v>17910-KRF-B41HB</v>
      </c>
      <c r="E10650" s="1" t="s">
        <v>4579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</row>
    <row r="10651" spans="1:11" x14ac:dyDescent="0.2">
      <c r="A10651" s="1" t="s">
        <v>608</v>
      </c>
      <c r="B10651" s="1" t="s">
        <v>624</v>
      </c>
      <c r="C10651" s="1" t="str">
        <f>"66298804781728"</f>
        <v>66298804781728</v>
      </c>
      <c r="D10651" s="1" t="str">
        <f>"82064"</f>
        <v>82064</v>
      </c>
      <c r="E10651" s="1" t="s">
        <v>4579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</row>
    <row r="10652" spans="1:11" x14ac:dyDescent="0.2">
      <c r="A10652" s="1" t="s">
        <v>608</v>
      </c>
      <c r="B10652" s="1" t="s">
        <v>625</v>
      </c>
      <c r="C10652" s="1" t="str">
        <f>"66298804837282"</f>
        <v>66298804837282</v>
      </c>
      <c r="D10652" s="1" t="str">
        <f>"400246"</f>
        <v>400246</v>
      </c>
      <c r="E10652" s="1" t="s">
        <v>4579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</row>
    <row r="10653" spans="1:11" x14ac:dyDescent="0.2">
      <c r="A10653" s="1" t="s">
        <v>608</v>
      </c>
      <c r="B10653" s="1" t="s">
        <v>626</v>
      </c>
      <c r="C10653" s="1" t="str">
        <f>"66298804874553"</f>
        <v>66298804874553</v>
      </c>
      <c r="D10653" s="1" t="str">
        <f>"58300-44AA0"</f>
        <v>58300-44AA0</v>
      </c>
      <c r="E10653" s="1" t="s">
        <v>4579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</row>
    <row r="10654" spans="1:11" x14ac:dyDescent="0.2">
      <c r="A10654" s="1" t="s">
        <v>608</v>
      </c>
      <c r="B10654" s="1" t="s">
        <v>627</v>
      </c>
      <c r="C10654" s="1" t="str">
        <f>"66298804915148"</f>
        <v>66298804915148</v>
      </c>
      <c r="D10654" s="1" t="str">
        <f>"BC016"</f>
        <v>BC016</v>
      </c>
      <c r="E10654" s="1" t="s">
        <v>4579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</row>
    <row r="10655" spans="1:11" x14ac:dyDescent="0.2">
      <c r="A10655" s="1" t="s">
        <v>608</v>
      </c>
      <c r="B10655" s="1" t="s">
        <v>628</v>
      </c>
      <c r="C10655" s="1" t="str">
        <f>"66298805200494"</f>
        <v>66298805200494</v>
      </c>
      <c r="D10655" s="1" t="str">
        <f>"3JO-23260-00HB"</f>
        <v>3JO-23260-00HB</v>
      </c>
      <c r="E10655" s="1" t="s">
        <v>4579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</row>
    <row r="10656" spans="1:11" x14ac:dyDescent="0.2">
      <c r="A10656" s="1" t="s">
        <v>608</v>
      </c>
      <c r="B10656" s="1" t="s">
        <v>629</v>
      </c>
      <c r="C10656" s="1" t="str">
        <f>"66298805240704"</f>
        <v>66298805240704</v>
      </c>
      <c r="D10656" s="1" t="str">
        <f>"90102091000"</f>
        <v>90102091000</v>
      </c>
      <c r="E10656" s="1" t="s">
        <v>4579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</row>
    <row r="10657" spans="1:11" x14ac:dyDescent="0.2">
      <c r="A10657" s="1" t="s">
        <v>608</v>
      </c>
      <c r="B10657" s="1" t="s">
        <v>630</v>
      </c>
      <c r="C10657" s="1" t="str">
        <f>"66298805279694"</f>
        <v>66298805279694</v>
      </c>
      <c r="D10657" s="1" t="str">
        <f>"82607"</f>
        <v>82607</v>
      </c>
      <c r="E10657" s="1" t="s">
        <v>4579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</row>
    <row r="10658" spans="1:11" x14ac:dyDescent="0.2">
      <c r="A10658" s="1" t="s">
        <v>608</v>
      </c>
      <c r="B10658" s="1" t="s">
        <v>631</v>
      </c>
      <c r="C10658" s="1" t="str">
        <f>"66298805319195"</f>
        <v>66298805319195</v>
      </c>
      <c r="D10658" s="1" t="str">
        <f>"82067"</f>
        <v>82067</v>
      </c>
      <c r="E10658" s="1" t="s">
        <v>4579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</row>
    <row r="10659" spans="1:11" x14ac:dyDescent="0.2">
      <c r="A10659" s="1" t="s">
        <v>608</v>
      </c>
      <c r="B10659" s="1" t="s">
        <v>632</v>
      </c>
      <c r="C10659" s="1" t="str">
        <f>"BC019"</f>
        <v>BC019</v>
      </c>
      <c r="D10659" s="1" t="str">
        <f>"BC019"</f>
        <v>BC019</v>
      </c>
      <c r="E10659" s="1" t="s">
        <v>4579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</row>
    <row r="10660" spans="1:11" x14ac:dyDescent="0.2">
      <c r="A10660" s="1" t="s">
        <v>608</v>
      </c>
      <c r="B10660" s="1" t="s">
        <v>633</v>
      </c>
      <c r="C10660" s="1" t="str">
        <f>"66298805359607"</f>
        <v>66298805359607</v>
      </c>
      <c r="D10660" s="1" t="str">
        <f>"400632"</f>
        <v>400632</v>
      </c>
      <c r="E10660" s="1" t="s">
        <v>4579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</row>
    <row r="10661" spans="1:11" x14ac:dyDescent="0.2">
      <c r="A10661" s="1" t="s">
        <v>608</v>
      </c>
      <c r="B10661" s="1" t="s">
        <v>634</v>
      </c>
      <c r="C10661" s="1" t="str">
        <f>"66298805400042"</f>
        <v>66298805400042</v>
      </c>
      <c r="D10661" s="1" t="str">
        <f>"400633"</f>
        <v>400633</v>
      </c>
      <c r="E10661" s="1" t="s">
        <v>4579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</row>
    <row r="10662" spans="1:11" x14ac:dyDescent="0.2">
      <c r="A10662" s="1" t="s">
        <v>608</v>
      </c>
      <c r="B10662" s="1" t="s">
        <v>635</v>
      </c>
      <c r="C10662" s="1" t="str">
        <f>"BC003"</f>
        <v>BC003</v>
      </c>
      <c r="D10662" s="1" t="str">
        <f>"BC003"</f>
        <v>BC003</v>
      </c>
      <c r="E10662" s="1" t="s">
        <v>4579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</row>
    <row r="10663" spans="1:11" x14ac:dyDescent="0.2">
      <c r="A10663" s="1" t="s">
        <v>608</v>
      </c>
      <c r="B10663" s="1" t="s">
        <v>636</v>
      </c>
      <c r="C10663" s="1" t="str">
        <f>"66298805438150"</f>
        <v>66298805438150</v>
      </c>
      <c r="D10663" s="1" t="str">
        <f>"21C-F6311-00HB"</f>
        <v>21C-F6311-00HB</v>
      </c>
      <c r="E10663" s="1" t="s">
        <v>4579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</row>
    <row r="10664" spans="1:11" x14ac:dyDescent="0.2">
      <c r="A10664" s="1" t="s">
        <v>608</v>
      </c>
      <c r="B10664" s="1" t="s">
        <v>636</v>
      </c>
      <c r="C10664" s="1" t="str">
        <f>"66298805477505"</f>
        <v>66298805477505</v>
      </c>
      <c r="D10664" s="1" t="str">
        <f>"21C-F6311-00"</f>
        <v>21C-F6311-00</v>
      </c>
      <c r="E10664" s="1" t="s">
        <v>4579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</row>
    <row r="10665" spans="1:11" x14ac:dyDescent="0.2">
      <c r="A10665" s="1" t="s">
        <v>608</v>
      </c>
      <c r="B10665" s="1" t="s">
        <v>637</v>
      </c>
      <c r="C10665" s="1" t="str">
        <f>"66298805519587"</f>
        <v>66298805519587</v>
      </c>
      <c r="D10665" s="1" t="str">
        <f>"400634"</f>
        <v>400634</v>
      </c>
      <c r="E10665" s="1" t="s">
        <v>4579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</row>
    <row r="10666" spans="1:11" x14ac:dyDescent="0.2">
      <c r="A10666" s="1" t="s">
        <v>608</v>
      </c>
      <c r="B10666" s="1" t="s">
        <v>638</v>
      </c>
      <c r="C10666" s="1" t="str">
        <f>"BC020"</f>
        <v>BC020</v>
      </c>
      <c r="D10666" s="1" t="str">
        <f>"BC020"</f>
        <v>BC020</v>
      </c>
      <c r="E10666" s="1" t="s">
        <v>4579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</row>
    <row r="10667" spans="1:11" x14ac:dyDescent="0.2">
      <c r="A10667" s="1" t="s">
        <v>608</v>
      </c>
      <c r="B10667" s="1" t="s">
        <v>639</v>
      </c>
      <c r="C10667" s="1" t="str">
        <f>"66298805630405"</f>
        <v>66298805630405</v>
      </c>
      <c r="D10667" s="1" t="str">
        <f>"400636"</f>
        <v>400636</v>
      </c>
      <c r="E10667" s="1" t="s">
        <v>4579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</row>
    <row r="10668" spans="1:11" x14ac:dyDescent="0.2">
      <c r="A10668" s="1" t="s">
        <v>608</v>
      </c>
      <c r="B10668" s="1" t="s">
        <v>640</v>
      </c>
      <c r="C10668" s="1" t="str">
        <f>"66298805676320"</f>
        <v>66298805676320</v>
      </c>
      <c r="D10668" s="1" t="str">
        <f>"400635"</f>
        <v>400635</v>
      </c>
      <c r="E10668" s="1" t="s">
        <v>4579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</row>
    <row r="10669" spans="1:11" x14ac:dyDescent="0.2">
      <c r="A10669" s="1" t="s">
        <v>608</v>
      </c>
      <c r="B10669" s="1" t="s">
        <v>641</v>
      </c>
      <c r="C10669" s="1" t="str">
        <f>"66298805571772"</f>
        <v>66298805571772</v>
      </c>
      <c r="D10669" s="1" t="str">
        <f>"58300-053G0HB"</f>
        <v>58300-053G0HB</v>
      </c>
      <c r="E10669" s="1" t="s">
        <v>4579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</row>
    <row r="10670" spans="1:11" x14ac:dyDescent="0.2">
      <c r="A10670" s="1" t="s">
        <v>608</v>
      </c>
      <c r="B10670" s="1" t="s">
        <v>642</v>
      </c>
      <c r="C10670" s="1" t="str">
        <f>"66298805563428"</f>
        <v>66298805563428</v>
      </c>
      <c r="D10670" s="1" t="str">
        <f>"82065"</f>
        <v>82065</v>
      </c>
      <c r="E10670" s="1" t="s">
        <v>4579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</row>
    <row r="10671" spans="1:11" x14ac:dyDescent="0.2">
      <c r="A10671" s="1" t="s">
        <v>608</v>
      </c>
      <c r="B10671" s="1" t="s">
        <v>643</v>
      </c>
      <c r="C10671" s="1" t="str">
        <f>"66298805717325"</f>
        <v>66298805717325</v>
      </c>
      <c r="D10671" s="1" t="str">
        <f>"58300-45F40JP"</f>
        <v>58300-45F40JP</v>
      </c>
      <c r="E10671" s="1" t="s">
        <v>4579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</row>
    <row r="10672" spans="1:11" x14ac:dyDescent="0.2">
      <c r="A10672" s="1" t="s">
        <v>608</v>
      </c>
      <c r="B10672" s="1" t="s">
        <v>644</v>
      </c>
      <c r="C10672" s="1" t="str">
        <f>"66298805723326"</f>
        <v>66298805723326</v>
      </c>
      <c r="D10672" s="1" t="str">
        <f>"BC005-A"</f>
        <v>BC005-A</v>
      </c>
      <c r="E10672" s="1" t="s">
        <v>4579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</row>
    <row r="10673" spans="1:11" x14ac:dyDescent="0.2">
      <c r="A10673" s="1" t="s">
        <v>608</v>
      </c>
      <c r="B10673" s="1" t="s">
        <v>645</v>
      </c>
      <c r="C10673" s="1" t="str">
        <f>"66298805792568"</f>
        <v>66298805792568</v>
      </c>
      <c r="D10673" s="1" t="str">
        <f>"58300-30H00JP"</f>
        <v>58300-30H00JP</v>
      </c>
      <c r="E10673" s="1" t="s">
        <v>4579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</row>
    <row r="10674" spans="1:11" x14ac:dyDescent="0.2">
      <c r="A10674" s="1" t="s">
        <v>608</v>
      </c>
      <c r="B10674" s="1" t="s">
        <v>646</v>
      </c>
      <c r="C10674" s="1" t="str">
        <f>"66298805784225"</f>
        <v>66298805784225</v>
      </c>
      <c r="D10674" s="1" t="str">
        <f>"58300-30H10JP"</f>
        <v>58300-30H10JP</v>
      </c>
      <c r="E10674" s="1" t="s">
        <v>4579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</row>
    <row r="10675" spans="1:11" x14ac:dyDescent="0.2">
      <c r="A10675" s="1" t="s">
        <v>608</v>
      </c>
      <c r="B10675" s="1" t="s">
        <v>647</v>
      </c>
      <c r="C10675" s="1" t="str">
        <f>"66298805846115"</f>
        <v>66298805846115</v>
      </c>
      <c r="D10675" s="1" t="str">
        <f>"1852"</f>
        <v>1852</v>
      </c>
      <c r="E10675" s="1" t="s">
        <v>4579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</row>
    <row r="10676" spans="1:11" x14ac:dyDescent="0.2">
      <c r="A10676" s="1" t="s">
        <v>608</v>
      </c>
      <c r="B10676" s="1" t="s">
        <v>648</v>
      </c>
      <c r="C10676" s="1" t="str">
        <f>"BC004"</f>
        <v>BC004</v>
      </c>
      <c r="D10676" s="1" t="str">
        <f>"BC004"</f>
        <v>BC004</v>
      </c>
      <c r="E10676" s="1" t="s">
        <v>4579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</row>
    <row r="10677" spans="1:11" x14ac:dyDescent="0.2">
      <c r="A10677" s="1" t="s">
        <v>608</v>
      </c>
      <c r="B10677" s="1" t="s">
        <v>649</v>
      </c>
      <c r="C10677" s="1" t="str">
        <f>"66298805885591"</f>
        <v>66298805885591</v>
      </c>
      <c r="D10677" s="1" t="str">
        <f>"BC011"</f>
        <v>BC011</v>
      </c>
      <c r="E10677" s="1" t="s">
        <v>4579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</row>
    <row r="10678" spans="1:11" x14ac:dyDescent="0.2">
      <c r="A10678" s="1" t="s">
        <v>608</v>
      </c>
      <c r="B10678" s="1" t="s">
        <v>650</v>
      </c>
      <c r="C10678" s="1" t="str">
        <f>"66298805925196"</f>
        <v>66298805925196</v>
      </c>
      <c r="D10678" s="1" t="str">
        <f>"58300-25H11-000H"</f>
        <v>58300-25H11-000H</v>
      </c>
      <c r="E10678" s="1" t="s">
        <v>4579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</row>
    <row r="10679" spans="1:11" x14ac:dyDescent="0.2">
      <c r="A10679" s="1" t="s">
        <v>608</v>
      </c>
      <c r="B10679" s="1" t="s">
        <v>651</v>
      </c>
      <c r="C10679" s="1" t="str">
        <f>"66298805969539"</f>
        <v>66298805969539</v>
      </c>
      <c r="D10679" s="1" t="str">
        <f>"58300-25H21-000H"</f>
        <v>58300-25H21-000H</v>
      </c>
      <c r="E10679" s="1" t="s">
        <v>4579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</row>
    <row r="10680" spans="1:11" x14ac:dyDescent="0.2">
      <c r="A10680" s="1" t="s">
        <v>608</v>
      </c>
      <c r="B10680" s="1" t="s">
        <v>652</v>
      </c>
      <c r="C10680" s="1" t="str">
        <f>"58300H2C000H000"</f>
        <v>58300H2C000H000</v>
      </c>
      <c r="D10680" s="1" t="str">
        <f>"58300H2C000H000"</f>
        <v>58300H2C000H000</v>
      </c>
      <c r="E10680" s="1" t="s">
        <v>4579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</row>
    <row r="10681" spans="1:11" x14ac:dyDescent="0.2">
      <c r="A10681" s="1" t="s">
        <v>608</v>
      </c>
      <c r="B10681" s="1" t="s">
        <v>653</v>
      </c>
      <c r="C10681" s="1" t="str">
        <f>"66298806014110"</f>
        <v>66298806014110</v>
      </c>
      <c r="D10681" s="1" t="str">
        <f>"54012-0266HB"</f>
        <v>54012-0266HB</v>
      </c>
      <c r="E10681" s="1" t="s">
        <v>4579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</row>
    <row r="10682" spans="1:11" x14ac:dyDescent="0.2">
      <c r="A10682" s="1" t="s">
        <v>608</v>
      </c>
      <c r="B10682" s="1" t="s">
        <v>654</v>
      </c>
      <c r="C10682" s="1" t="str">
        <f>"66298806051589"</f>
        <v>66298806051589</v>
      </c>
      <c r="D10682" s="1" t="str">
        <f>"400247"</f>
        <v>400247</v>
      </c>
      <c r="E10682" s="1" t="s">
        <v>4579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</row>
    <row r="10683" spans="1:11" x14ac:dyDescent="0.2">
      <c r="A10683" s="1" t="s">
        <v>608</v>
      </c>
      <c r="B10683" s="1" t="s">
        <v>655</v>
      </c>
      <c r="C10683" s="1" t="str">
        <f>"66298806093927"</f>
        <v>66298806093927</v>
      </c>
      <c r="D10683" s="1" t="str">
        <f>"B04-F6301-00HB"</f>
        <v>B04-F6301-00HB</v>
      </c>
      <c r="E10683" s="1" t="s">
        <v>4579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</row>
    <row r="10684" spans="1:11" x14ac:dyDescent="0.2">
      <c r="A10684" s="1" t="s">
        <v>608</v>
      </c>
      <c r="B10684" s="1" t="s">
        <v>656</v>
      </c>
      <c r="C10684" s="1" t="str">
        <f>"66298806132676"</f>
        <v>66298806132676</v>
      </c>
      <c r="D10684" s="1" t="str">
        <f>"54012-0577HB"</f>
        <v>54012-0577HB</v>
      </c>
      <c r="E10684" s="1" t="s">
        <v>4579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</row>
    <row r="10685" spans="1:11" x14ac:dyDescent="0.2">
      <c r="A10685" s="1" t="s">
        <v>608</v>
      </c>
      <c r="B10685" s="1" t="s">
        <v>657</v>
      </c>
      <c r="C10685" s="1" t="str">
        <f>"66298806169986"</f>
        <v>66298806169986</v>
      </c>
      <c r="D10685" s="1" t="str">
        <f>"17920-MCG-000BR"</f>
        <v>17920-MCG-000BR</v>
      </c>
      <c r="E10685" s="1" t="s">
        <v>4579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</row>
    <row r="10686" spans="1:11" x14ac:dyDescent="0.2">
      <c r="A10686" s="1" t="s">
        <v>608</v>
      </c>
      <c r="B10686" s="1" t="s">
        <v>658</v>
      </c>
      <c r="C10686" s="1" t="str">
        <f>"66298806212650"</f>
        <v>66298806212650</v>
      </c>
      <c r="D10686" s="1" t="str">
        <f>"17910-KSM-900HB"</f>
        <v>17910-KSM-900HB</v>
      </c>
      <c r="E10686" s="1" t="s">
        <v>4579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</row>
    <row r="10687" spans="1:11" x14ac:dyDescent="0.2">
      <c r="A10687" s="1" t="s">
        <v>608</v>
      </c>
      <c r="B10687" s="1" t="s">
        <v>659</v>
      </c>
      <c r="C10687" s="1" t="str">
        <f>"BC012"</f>
        <v>BC012</v>
      </c>
      <c r="D10687" s="1" t="str">
        <f>"BC012"</f>
        <v>BC012</v>
      </c>
      <c r="E10687" s="1" t="s">
        <v>4579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</row>
    <row r="10688" spans="1:11" x14ac:dyDescent="0.2">
      <c r="A10688" s="1" t="s">
        <v>608</v>
      </c>
      <c r="B10688" s="1" t="s">
        <v>660</v>
      </c>
      <c r="C10688" s="1" t="str">
        <f>"BC022"</f>
        <v>BC022</v>
      </c>
      <c r="D10688" s="1" t="str">
        <f>"BC022"</f>
        <v>BC022</v>
      </c>
      <c r="E10688" s="1" t="s">
        <v>4579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</row>
    <row r="10689" spans="1:11" x14ac:dyDescent="0.2">
      <c r="A10689" s="1" t="s">
        <v>608</v>
      </c>
      <c r="B10689" s="1" t="s">
        <v>661</v>
      </c>
      <c r="C10689" s="1" t="str">
        <f>"66298806258314"</f>
        <v>66298806258314</v>
      </c>
      <c r="D10689" s="1" t="str">
        <f>"JD-1612-00HB"</f>
        <v>JD-1612-00HB</v>
      </c>
      <c r="E10689" s="1" t="s">
        <v>4579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</row>
    <row r="10690" spans="1:11" x14ac:dyDescent="0.2">
      <c r="A10690" s="1" t="s">
        <v>608</v>
      </c>
      <c r="B10690" s="1" t="s">
        <v>662</v>
      </c>
      <c r="C10690" s="1" t="str">
        <f>"BC023"</f>
        <v>BC023</v>
      </c>
      <c r="D10690" s="1" t="str">
        <f>"BC023"</f>
        <v>BC023</v>
      </c>
      <c r="E10690" s="1" t="s">
        <v>4579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</row>
    <row r="10691" spans="1:11" x14ac:dyDescent="0.2">
      <c r="A10691" s="1" t="s">
        <v>608</v>
      </c>
      <c r="B10691" s="1" t="s">
        <v>663</v>
      </c>
      <c r="C10691" s="1" t="str">
        <f>"66298806598148"</f>
        <v>66298806598148</v>
      </c>
      <c r="D10691" s="1" t="str">
        <f>"400637"</f>
        <v>400637</v>
      </c>
      <c r="E10691" s="1" t="s">
        <v>4579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</row>
    <row r="10692" spans="1:11" x14ac:dyDescent="0.2">
      <c r="A10692" s="1" t="s">
        <v>608</v>
      </c>
      <c r="B10692" s="1" t="s">
        <v>664</v>
      </c>
      <c r="C10692" s="1" t="str">
        <f>"66298806300653"</f>
        <v>66298806300653</v>
      </c>
      <c r="D10692" s="1" t="str">
        <f>"JF-1612-02"</f>
        <v>JF-1612-02</v>
      </c>
      <c r="E10692" s="1" t="s">
        <v>4579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</row>
    <row r="10693" spans="1:11" x14ac:dyDescent="0.2">
      <c r="A10693" s="1" t="s">
        <v>608</v>
      </c>
      <c r="B10693" s="1" t="s">
        <v>665</v>
      </c>
      <c r="C10693" s="1" t="str">
        <f>"66298806651594"</f>
        <v>66298806651594</v>
      </c>
      <c r="D10693" s="1" t="str">
        <f>"DJ-1910-14HB"</f>
        <v>DJ-1910-14HB</v>
      </c>
      <c r="E10693" s="1" t="s">
        <v>4579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</row>
    <row r="10694" spans="1:11" x14ac:dyDescent="0.2">
      <c r="A10694" s="1" t="s">
        <v>608</v>
      </c>
      <c r="B10694" s="1" t="s">
        <v>665</v>
      </c>
      <c r="C10694" s="1" t="str">
        <f>"66298806659074"</f>
        <v>66298806659074</v>
      </c>
      <c r="D10694" s="1" t="str">
        <f>"DJ-1910-08HB"</f>
        <v>DJ-1910-08HB</v>
      </c>
      <c r="E10694" s="1" t="s">
        <v>4579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</row>
    <row r="10695" spans="1:11" x14ac:dyDescent="0.2">
      <c r="A10695" s="1" t="s">
        <v>608</v>
      </c>
      <c r="B10695" s="1" t="s">
        <v>666</v>
      </c>
      <c r="C10695" s="1" t="str">
        <f>"66298806750793"</f>
        <v>66298806750793</v>
      </c>
      <c r="D10695" s="1" t="str">
        <f>"400638"</f>
        <v>400638</v>
      </c>
      <c r="E10695" s="1" t="s">
        <v>4579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</row>
    <row r="10696" spans="1:11" ht="30" x14ac:dyDescent="0.2">
      <c r="A10696" s="1" t="s">
        <v>608</v>
      </c>
      <c r="B10696" s="1" t="s">
        <v>667</v>
      </c>
      <c r="C10696" s="1" t="str">
        <f>"12992"</f>
        <v>12992</v>
      </c>
      <c r="D10696" s="1" t="str">
        <f>"12992"</f>
        <v>12992</v>
      </c>
      <c r="E10696" s="1" t="s">
        <v>4579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</row>
    <row r="10697" spans="1:11" x14ac:dyDescent="0.2">
      <c r="A10697" s="1" t="s">
        <v>608</v>
      </c>
      <c r="B10697" s="1" t="s">
        <v>668</v>
      </c>
      <c r="C10697" s="1" t="str">
        <f>"66298806712867"</f>
        <v>66298806712867</v>
      </c>
      <c r="D10697" s="1" t="str">
        <f>"JL-1612-01HB"</f>
        <v>JL-1612-01HB</v>
      </c>
      <c r="E10697" s="1" t="s">
        <v>4579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</row>
    <row r="10698" spans="1:11" x14ac:dyDescent="0.2">
      <c r="A10698" s="1" t="s">
        <v>608</v>
      </c>
      <c r="B10698" s="1" t="s">
        <v>669</v>
      </c>
      <c r="C10698" s="1" t="str">
        <f>"66298806791618"</f>
        <v>66298806791618</v>
      </c>
      <c r="D10698" s="1" t="str">
        <f>"DJ-1910-61"</f>
        <v>DJ-1910-61</v>
      </c>
      <c r="E10698" s="1" t="s">
        <v>4579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</row>
    <row r="10699" spans="1:11" x14ac:dyDescent="0.2">
      <c r="A10699" s="1" t="s">
        <v>608</v>
      </c>
      <c r="B10699" s="1" t="s">
        <v>670</v>
      </c>
      <c r="C10699" s="1" t="str">
        <f>"66298806874168"</f>
        <v>66298806874168</v>
      </c>
      <c r="D10699" s="1" t="str">
        <f>"400245"</f>
        <v>400245</v>
      </c>
      <c r="E10699" s="1" t="s">
        <v>4579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</row>
    <row r="10700" spans="1:11" x14ac:dyDescent="0.2">
      <c r="A10700" s="1" t="s">
        <v>608</v>
      </c>
      <c r="B10700" s="1" t="s">
        <v>671</v>
      </c>
      <c r="C10700" s="1" t="str">
        <f>"66298806836421"</f>
        <v>66298806836421</v>
      </c>
      <c r="D10700" s="1" t="str">
        <f>"BC006"</f>
        <v>BC006</v>
      </c>
      <c r="E10700" s="1" t="s">
        <v>4579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</row>
    <row r="10701" spans="1:11" x14ac:dyDescent="0.2">
      <c r="A10701" s="1" t="s">
        <v>608</v>
      </c>
      <c r="B10701" s="1" t="s">
        <v>672</v>
      </c>
      <c r="C10701" s="1" t="str">
        <f>"66298806912688"</f>
        <v>66298806912688</v>
      </c>
      <c r="D10701" s="1" t="str">
        <f>"80390"</f>
        <v>80390</v>
      </c>
      <c r="E10701" s="1" t="s">
        <v>4579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</row>
    <row r="10702" spans="1:11" x14ac:dyDescent="0.2">
      <c r="A10702" s="1" t="s">
        <v>608</v>
      </c>
      <c r="B10702" s="1" t="s">
        <v>673</v>
      </c>
      <c r="C10702" s="1" t="str">
        <f>"66298806953549"</f>
        <v>66298806953549</v>
      </c>
      <c r="D10702" s="1" t="str">
        <f>"17910-LDF7-EL0HB"</f>
        <v>17910-LDF7-EL0HB</v>
      </c>
      <c r="E10702" s="1" t="s">
        <v>4579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</row>
    <row r="10703" spans="1:11" x14ac:dyDescent="0.2">
      <c r="A10703" s="1" t="s">
        <v>608</v>
      </c>
      <c r="B10703" s="1" t="s">
        <v>673</v>
      </c>
      <c r="C10703" s="1" t="str">
        <f>"BC002"</f>
        <v>BC002</v>
      </c>
      <c r="D10703" s="1" t="str">
        <f>"BC002"</f>
        <v>BC002</v>
      </c>
      <c r="E10703" s="1" t="s">
        <v>4579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</row>
    <row r="10704" spans="1:11" x14ac:dyDescent="0.2">
      <c r="A10704" s="1" t="s">
        <v>608</v>
      </c>
      <c r="B10704" s="1" t="s">
        <v>674</v>
      </c>
      <c r="C10704" s="1" t="str">
        <f>"66298806998428"</f>
        <v>66298806998428</v>
      </c>
      <c r="D10704" s="1" t="str">
        <f>"17910-KVC-900HB"</f>
        <v>17910-KVC-900HB</v>
      </c>
      <c r="E10704" s="1" t="s">
        <v>4579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</row>
    <row r="10705" spans="1:11" x14ac:dyDescent="0.2">
      <c r="A10705" s="1" t="s">
        <v>608</v>
      </c>
      <c r="B10705" s="1" t="s">
        <v>674</v>
      </c>
      <c r="C10705" s="1" t="str">
        <f>"66298807004878"</f>
        <v>66298807004878</v>
      </c>
      <c r="D10705" s="1" t="str">
        <f>"82068"</f>
        <v>82068</v>
      </c>
      <c r="E10705" s="1" t="s">
        <v>4579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</row>
    <row r="10706" spans="1:11" x14ac:dyDescent="0.2">
      <c r="A10706" s="1" t="s">
        <v>608</v>
      </c>
      <c r="B10706" s="1" t="s">
        <v>675</v>
      </c>
      <c r="C10706" s="1" t="str">
        <f>"66298807059383"</f>
        <v>66298807059383</v>
      </c>
      <c r="D10706" s="1" t="str">
        <f>"BC017"</f>
        <v>BC017</v>
      </c>
      <c r="E10706" s="1" t="s">
        <v>4579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</row>
    <row r="10707" spans="1:11" x14ac:dyDescent="0.2">
      <c r="A10707" s="1" t="s">
        <v>608</v>
      </c>
      <c r="B10707" s="1" t="s">
        <v>676</v>
      </c>
      <c r="C10707" s="1" t="str">
        <f>"66298807098845"</f>
        <v>66298807098845</v>
      </c>
      <c r="D10707" s="1" t="str">
        <f>"BC013"</f>
        <v>BC013</v>
      </c>
      <c r="E10707" s="1" t="s">
        <v>4579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</row>
    <row r="10708" spans="1:11" x14ac:dyDescent="0.2">
      <c r="A10708" s="1" t="s">
        <v>608</v>
      </c>
      <c r="B10708" s="1" t="s">
        <v>677</v>
      </c>
      <c r="C10708" s="1" t="str">
        <f>"66298807141309"</f>
        <v>66298807141309</v>
      </c>
      <c r="D10708" s="1" t="str">
        <f>"C004-ACE-UNIV"</f>
        <v>C004-ACE-UNIV</v>
      </c>
      <c r="E10708" s="1" t="s">
        <v>4579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</row>
    <row r="10709" spans="1:11" x14ac:dyDescent="0.2">
      <c r="A10709" s="1" t="s">
        <v>608</v>
      </c>
      <c r="B10709" s="1" t="s">
        <v>678</v>
      </c>
      <c r="C10709" s="1" t="str">
        <f>"66298807180718"</f>
        <v>66298807180718</v>
      </c>
      <c r="D10709" s="1" t="str">
        <f>"58300-33GH1-000"</f>
        <v>58300-33GH1-000</v>
      </c>
      <c r="E10709" s="1" t="s">
        <v>4579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</row>
    <row r="10710" spans="1:11" ht="30" x14ac:dyDescent="0.2">
      <c r="A10710" s="1" t="s">
        <v>608</v>
      </c>
      <c r="B10710" s="1" t="s">
        <v>679</v>
      </c>
      <c r="C10710" s="1" t="str">
        <f>"17910-K43-901HB"</f>
        <v>17910-K43-901HB</v>
      </c>
      <c r="D10710" s="1" t="str">
        <f>"17910-K43-901HB"</f>
        <v>17910-K43-901HB</v>
      </c>
      <c r="E10710" s="1" t="s">
        <v>4579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</row>
    <row r="10711" spans="1:11" x14ac:dyDescent="0.2">
      <c r="A10711" s="1" t="s">
        <v>608</v>
      </c>
      <c r="B10711" s="1" t="s">
        <v>680</v>
      </c>
      <c r="C10711" s="1" t="str">
        <f>"66298807225504"</f>
        <v>66298807225504</v>
      </c>
      <c r="D10711" s="1" t="str">
        <f>"400640"</f>
        <v>400640</v>
      </c>
      <c r="E10711" s="1" t="s">
        <v>4579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</row>
    <row r="10712" spans="1:11" x14ac:dyDescent="0.2">
      <c r="A10712" s="1" t="s">
        <v>608</v>
      </c>
      <c r="B10712" s="1" t="s">
        <v>681</v>
      </c>
      <c r="C10712" s="1" t="str">
        <f>"66298807310700"</f>
        <v>66298807310700</v>
      </c>
      <c r="D10712" s="1" t="str">
        <f>"400641"</f>
        <v>400641</v>
      </c>
      <c r="E10712" s="1" t="s">
        <v>4579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</row>
    <row r="10713" spans="1:11" x14ac:dyDescent="0.2">
      <c r="A10713" s="1" t="s">
        <v>608</v>
      </c>
      <c r="B10713" s="1" t="s">
        <v>682</v>
      </c>
      <c r="C10713" s="1" t="str">
        <f>"66298807267611"</f>
        <v>66298807267611</v>
      </c>
      <c r="D10713" s="1" t="str">
        <f>"17910-KRH-A00HB"</f>
        <v>17910-KRH-A00HB</v>
      </c>
      <c r="E10713" s="1" t="s">
        <v>4579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</row>
    <row r="10714" spans="1:11" x14ac:dyDescent="0.2">
      <c r="A10714" s="1" t="s">
        <v>608</v>
      </c>
      <c r="B10714" s="1" t="s">
        <v>682</v>
      </c>
      <c r="C10714" s="1" t="str">
        <f>"BC026"</f>
        <v>BC026</v>
      </c>
      <c r="D10714" s="1" t="str">
        <f>"BC026"</f>
        <v>BC026</v>
      </c>
      <c r="E10714" s="1" t="s">
        <v>4579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</row>
    <row r="10715" spans="1:11" x14ac:dyDescent="0.2">
      <c r="A10715" s="1" t="s">
        <v>608</v>
      </c>
      <c r="B10715" s="1" t="s">
        <v>683</v>
      </c>
      <c r="C10715" s="1" t="str">
        <f>"66298807352477"</f>
        <v>66298807352477</v>
      </c>
      <c r="D10715" s="1" t="str">
        <f>"400644"</f>
        <v>400644</v>
      </c>
      <c r="E10715" s="1" t="s">
        <v>4579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</row>
    <row r="10716" spans="1:11" x14ac:dyDescent="0.2">
      <c r="A10716" s="1" t="s">
        <v>608</v>
      </c>
      <c r="B10716" s="1" t="s">
        <v>684</v>
      </c>
      <c r="C10716" s="1" t="str">
        <f>"66298807435652"</f>
        <v>66298807435652</v>
      </c>
      <c r="D10716" s="1" t="str">
        <f>"400642"</f>
        <v>400642</v>
      </c>
      <c r="E10716" s="1" t="s">
        <v>4579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</row>
    <row r="10717" spans="1:11" x14ac:dyDescent="0.2">
      <c r="A10717" s="1" t="s">
        <v>608</v>
      </c>
      <c r="B10717" s="1" t="s">
        <v>685</v>
      </c>
      <c r="C10717" s="1" t="str">
        <f>"66298807393953"</f>
        <v>66298807393953</v>
      </c>
      <c r="D10717" s="1" t="str">
        <f>"17910-KPE-900HB"</f>
        <v>17910-KPE-900HB</v>
      </c>
      <c r="E10717" s="1" t="s">
        <v>4579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</row>
    <row r="10718" spans="1:11" x14ac:dyDescent="0.2">
      <c r="A10718" s="1" t="s">
        <v>608</v>
      </c>
      <c r="B10718" s="1" t="s">
        <v>686</v>
      </c>
      <c r="C10718" s="1" t="str">
        <f>"66298807553427"</f>
        <v>66298807553427</v>
      </c>
      <c r="D10718" s="1" t="str">
        <f>"400643"</f>
        <v>400643</v>
      </c>
      <c r="E10718" s="1" t="s">
        <v>4579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</row>
    <row r="10719" spans="1:11" x14ac:dyDescent="0.2">
      <c r="A10719" s="1" t="s">
        <v>608</v>
      </c>
      <c r="B10719" s="1" t="s">
        <v>687</v>
      </c>
      <c r="C10719" s="1" t="str">
        <f>"66298807473034"</f>
        <v>66298807473034</v>
      </c>
      <c r="D10719" s="1" t="str">
        <f>"000153"</f>
        <v>000153</v>
      </c>
      <c r="E10719" s="1" t="s">
        <v>4579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</row>
    <row r="10720" spans="1:11" x14ac:dyDescent="0.2">
      <c r="A10720" s="1" t="s">
        <v>608</v>
      </c>
      <c r="B10720" s="1" t="s">
        <v>687</v>
      </c>
      <c r="C10720" s="1" t="str">
        <f>"66298807514345"</f>
        <v>66298807514345</v>
      </c>
      <c r="D10720" s="1" t="str">
        <f>"17920-KPE-900HB"</f>
        <v>17920-KPE-900HB</v>
      </c>
      <c r="E10720" s="1" t="s">
        <v>4579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</row>
    <row r="10721" spans="1:11" x14ac:dyDescent="0.2">
      <c r="A10721" s="1" t="s">
        <v>608</v>
      </c>
      <c r="B10721" s="1" t="s">
        <v>688</v>
      </c>
      <c r="C10721" s="1" t="str">
        <f>"66298807590262"</f>
        <v>66298807590262</v>
      </c>
      <c r="D10721" s="1" t="str">
        <f>"8958-A"</f>
        <v>8958-A</v>
      </c>
      <c r="E10721" s="1" t="s">
        <v>4579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</row>
    <row r="10722" spans="1:11" x14ac:dyDescent="0.2">
      <c r="A10722" s="1" t="s">
        <v>608</v>
      </c>
      <c r="B10722" s="1" t="s">
        <v>689</v>
      </c>
      <c r="C10722" s="1" t="str">
        <f>"66298807627062"</f>
        <v>66298807627062</v>
      </c>
      <c r="D10722" s="1" t="str">
        <f>"8958-B"</f>
        <v>8958-B</v>
      </c>
      <c r="E10722" s="1" t="s">
        <v>4579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</row>
    <row r="10723" spans="1:11" x14ac:dyDescent="0.2">
      <c r="A10723" s="1" t="s">
        <v>608</v>
      </c>
      <c r="B10723" s="1" t="s">
        <v>690</v>
      </c>
      <c r="C10723" s="1" t="str">
        <f>"17910-KWT-700HB"</f>
        <v>17910-KWT-700HB</v>
      </c>
      <c r="D10723" s="1" t="str">
        <f>"17910-KWT-700HB"</f>
        <v>17910-KWT-700HB</v>
      </c>
      <c r="E10723" s="1" t="s">
        <v>4579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</row>
    <row r="10724" spans="1:11" x14ac:dyDescent="0.2">
      <c r="A10724" s="1" t="s">
        <v>608</v>
      </c>
      <c r="B10724" s="1" t="s">
        <v>691</v>
      </c>
      <c r="C10724" s="1" t="str">
        <f>"66298807670572"</f>
        <v>66298807670572</v>
      </c>
      <c r="D10724" s="1" t="str">
        <f>"80342"</f>
        <v>80342</v>
      </c>
      <c r="E10724" s="1" t="s">
        <v>4579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</row>
    <row r="10725" spans="1:11" x14ac:dyDescent="0.2">
      <c r="A10725" s="1" t="s">
        <v>608</v>
      </c>
      <c r="B10725" s="1" t="s">
        <v>692</v>
      </c>
      <c r="C10725" s="1" t="str">
        <f>"66298807717522"</f>
        <v>66298807717522</v>
      </c>
      <c r="D10725" s="1" t="str">
        <f>"80343"</f>
        <v>80343</v>
      </c>
      <c r="E10725" s="1" t="s">
        <v>4579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</row>
    <row r="10726" spans="1:11" x14ac:dyDescent="0.2">
      <c r="A10726" s="1" t="s">
        <v>608</v>
      </c>
      <c r="B10726" s="1" t="s">
        <v>692</v>
      </c>
      <c r="C10726" s="1" t="str">
        <f>"66298807723005"</f>
        <v>66298807723005</v>
      </c>
      <c r="D10726" s="1" t="str">
        <f>"5HH-F6311-01HB"</f>
        <v>5HH-F6311-01HB</v>
      </c>
      <c r="E10726" s="1" t="s">
        <v>4579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</row>
    <row r="10727" spans="1:11" x14ac:dyDescent="0.2">
      <c r="A10727" s="1" t="s">
        <v>608</v>
      </c>
      <c r="B10727" s="1" t="s">
        <v>692</v>
      </c>
      <c r="C10727" s="1" t="str">
        <f>"66298807728745"</f>
        <v>66298807728745</v>
      </c>
      <c r="D10727" s="1" t="str">
        <f>"4P2-F6311-01HB"</f>
        <v>4P2-F6311-01HB</v>
      </c>
      <c r="E10727" s="1" t="s">
        <v>4579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</row>
    <row r="10728" spans="1:11" x14ac:dyDescent="0.2">
      <c r="A10728" s="1" t="s">
        <v>608</v>
      </c>
      <c r="B10728" s="1" t="s">
        <v>693</v>
      </c>
      <c r="C10728" s="1" t="str">
        <f>"BC009"</f>
        <v>BC009</v>
      </c>
      <c r="D10728" s="1" t="str">
        <f>"BC009"</f>
        <v>BC009</v>
      </c>
      <c r="E10728" s="1" t="s">
        <v>4579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</row>
    <row r="10729" spans="1:11" x14ac:dyDescent="0.2">
      <c r="A10729" s="1" t="s">
        <v>608</v>
      </c>
      <c r="B10729" s="1" t="s">
        <v>694</v>
      </c>
      <c r="C10729" s="1" t="str">
        <f>"66298807796275"</f>
        <v>66298807796275</v>
      </c>
      <c r="D10729" s="1" t="str">
        <f>"5KA-F6311-00"</f>
        <v>5KA-F6311-00</v>
      </c>
      <c r="E10729" s="1" t="s">
        <v>4579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</row>
    <row r="10730" spans="1:11" x14ac:dyDescent="0.2">
      <c r="A10730" s="1" t="s">
        <v>608</v>
      </c>
      <c r="B10730" s="1" t="s">
        <v>695</v>
      </c>
      <c r="C10730" s="1" t="str">
        <f>"66298807838780"</f>
        <v>66298807838780</v>
      </c>
      <c r="D10730" s="1" t="str">
        <f>"24P-F6311-00HB"</f>
        <v>24P-F6311-00HB</v>
      </c>
      <c r="E10730" s="1" t="s">
        <v>4579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</row>
    <row r="10731" spans="1:11" x14ac:dyDescent="0.2">
      <c r="A10731" s="1" t="s">
        <v>608</v>
      </c>
      <c r="B10731" s="1" t="s">
        <v>696</v>
      </c>
      <c r="C10731" s="1" t="str">
        <f>"66298807881362"</f>
        <v>66298807881362</v>
      </c>
      <c r="D10731" s="1" t="str">
        <f>"24P-F6312-01HB"</f>
        <v>24P-F6312-01HB</v>
      </c>
      <c r="E10731" s="1" t="s">
        <v>4579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</row>
    <row r="10732" spans="1:11" x14ac:dyDescent="0.2">
      <c r="A10732" s="1" t="s">
        <v>608</v>
      </c>
      <c r="B10732" s="1" t="s">
        <v>697</v>
      </c>
      <c r="C10732" s="1" t="str">
        <f>"66298807922692"</f>
        <v>66298807922692</v>
      </c>
      <c r="D10732" s="1" t="str">
        <f>"1CK-F6311-00"</f>
        <v>1CK-F6311-00</v>
      </c>
      <c r="E10732" s="1" t="s">
        <v>4579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</row>
    <row r="10733" spans="1:11" x14ac:dyDescent="0.2">
      <c r="A10733" s="1" t="s">
        <v>608</v>
      </c>
      <c r="B10733" s="1" t="s">
        <v>698</v>
      </c>
      <c r="C10733" s="1" t="str">
        <f>"66298807960846"</f>
        <v>66298807960846</v>
      </c>
      <c r="D10733" s="1" t="str">
        <f>"1CK-F6312-00"</f>
        <v>1CK-F6312-00</v>
      </c>
      <c r="E10733" s="1" t="s">
        <v>4579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</row>
    <row r="10734" spans="1:11" x14ac:dyDescent="0.2">
      <c r="A10734" s="1" t="s">
        <v>608</v>
      </c>
      <c r="B10734" s="1" t="s">
        <v>699</v>
      </c>
      <c r="C10734" s="1" t="str">
        <f>"66298808005641"</f>
        <v>66298808005641</v>
      </c>
      <c r="D10734" s="1" t="str">
        <f>"17950-KSP-900HB"</f>
        <v>17950-KSP-900HB</v>
      </c>
      <c r="E10734" s="1" t="s">
        <v>4579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</row>
    <row r="10735" spans="1:11" x14ac:dyDescent="0.2">
      <c r="A10735" s="1" t="s">
        <v>608</v>
      </c>
      <c r="B10735" s="1" t="s">
        <v>700</v>
      </c>
      <c r="C10735" s="1" t="str">
        <f>"58410-45F00"</f>
        <v>58410-45F00</v>
      </c>
      <c r="D10735" s="1" t="str">
        <f>"58410-45F00"</f>
        <v>58410-45F00</v>
      </c>
      <c r="E10735" s="1" t="s">
        <v>4579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</row>
    <row r="10736" spans="1:11" x14ac:dyDescent="0.2">
      <c r="A10736" s="1" t="s">
        <v>608</v>
      </c>
      <c r="B10736" s="1" t="s">
        <v>701</v>
      </c>
      <c r="C10736" s="1" t="str">
        <f>"21C-F6331-01HB"</f>
        <v>21C-F6331-01HB</v>
      </c>
      <c r="D10736" s="1" t="str">
        <f>"21C-F6331-01HB"</f>
        <v>21C-F6331-01HB</v>
      </c>
      <c r="E10736" s="1" t="s">
        <v>4579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</row>
    <row r="10737" spans="1:11" x14ac:dyDescent="0.2">
      <c r="A10737" s="1" t="s">
        <v>608</v>
      </c>
      <c r="B10737" s="1" t="s">
        <v>702</v>
      </c>
      <c r="C10737" s="1" t="str">
        <f>"66298808091843"</f>
        <v>66298808091843</v>
      </c>
      <c r="D10737" s="1" t="str">
        <f>"400590"</f>
        <v>400590</v>
      </c>
      <c r="E10737" s="1" t="s">
        <v>4579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</row>
    <row r="10738" spans="1:11" x14ac:dyDescent="0.2">
      <c r="A10738" s="1" t="s">
        <v>608</v>
      </c>
      <c r="B10738" s="1" t="s">
        <v>703</v>
      </c>
      <c r="C10738" s="1" t="str">
        <f>"66298808134864"</f>
        <v>66298808134864</v>
      </c>
      <c r="D10738" s="1" t="str">
        <f>"B10030103"</f>
        <v>B10030103</v>
      </c>
      <c r="E10738" s="1" t="s">
        <v>4579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0</v>
      </c>
    </row>
    <row r="10739" spans="1:11" x14ac:dyDescent="0.2">
      <c r="A10739" s="1" t="s">
        <v>608</v>
      </c>
      <c r="B10739" s="1" t="s">
        <v>704</v>
      </c>
      <c r="C10739" s="1" t="str">
        <f>"5YY-F6331-00HB"</f>
        <v>5YY-F6331-00HB</v>
      </c>
      <c r="D10739" s="1" t="str">
        <f>"5YY-F6331-00HB"</f>
        <v>5YY-F6331-00HB</v>
      </c>
      <c r="E10739" s="1" t="s">
        <v>4579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</row>
    <row r="10740" spans="1:11" x14ac:dyDescent="0.2">
      <c r="A10740" s="1" t="s">
        <v>608</v>
      </c>
      <c r="B10740" s="1" t="s">
        <v>705</v>
      </c>
      <c r="C10740" s="1" t="str">
        <f>"49CC19"</f>
        <v>49CC19</v>
      </c>
      <c r="D10740" s="1" t="str">
        <f>"49CC19"</f>
        <v>49CC19</v>
      </c>
      <c r="E10740" s="1" t="s">
        <v>4579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</row>
    <row r="10741" spans="1:11" x14ac:dyDescent="0.2">
      <c r="A10741" s="1" t="s">
        <v>608</v>
      </c>
      <c r="B10741" s="1" t="s">
        <v>706</v>
      </c>
      <c r="C10741" s="1" t="str">
        <f>"BL001"</f>
        <v>BL001</v>
      </c>
      <c r="D10741" s="1" t="str">
        <f>"BL001"</f>
        <v>BL001</v>
      </c>
      <c r="E10741" s="1" t="s">
        <v>4579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</row>
    <row r="10742" spans="1:11" x14ac:dyDescent="0.2">
      <c r="A10742" s="1" t="s">
        <v>608</v>
      </c>
      <c r="B10742" s="1" t="s">
        <v>707</v>
      </c>
      <c r="C10742" s="1" t="str">
        <f>"80994"</f>
        <v>80994</v>
      </c>
      <c r="D10742" s="1" t="str">
        <f>"80994"</f>
        <v>80994</v>
      </c>
      <c r="E10742" s="1" t="s">
        <v>4579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</row>
    <row r="10743" spans="1:11" x14ac:dyDescent="0.2">
      <c r="A10743" s="1" t="s">
        <v>608</v>
      </c>
      <c r="B10743" s="1" t="s">
        <v>708</v>
      </c>
      <c r="C10743" s="1" t="str">
        <f>"136"</f>
        <v>136</v>
      </c>
      <c r="D10743" s="1" t="str">
        <f>"136"</f>
        <v>136</v>
      </c>
      <c r="E10743" s="1" t="s">
        <v>4579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</row>
    <row r="10744" spans="1:11" ht="30" x14ac:dyDescent="0.2">
      <c r="A10744" s="1" t="s">
        <v>608</v>
      </c>
      <c r="B10744" s="1" t="s">
        <v>709</v>
      </c>
      <c r="C10744" s="1" t="str">
        <f>"BD008"</f>
        <v>BD008</v>
      </c>
      <c r="D10744" s="1" t="str">
        <f>"BD008"</f>
        <v>BD008</v>
      </c>
      <c r="E10744" s="1" t="s">
        <v>4579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</row>
    <row r="10745" spans="1:11" x14ac:dyDescent="0.2">
      <c r="A10745" s="1" t="s">
        <v>608</v>
      </c>
      <c r="B10745" s="1" t="s">
        <v>710</v>
      </c>
      <c r="C10745" s="1" t="str">
        <f>"44830-KSP-900HB"</f>
        <v>44830-KSP-900HB</v>
      </c>
      <c r="D10745" s="1" t="str">
        <f>"44830-KSP-900HB"</f>
        <v>44830-KSP-900HB</v>
      </c>
      <c r="E10745" s="1" t="s">
        <v>4579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</row>
    <row r="10746" spans="1:11" x14ac:dyDescent="0.2">
      <c r="A10746" s="1" t="s">
        <v>608</v>
      </c>
      <c r="B10746" s="1" t="s">
        <v>711</v>
      </c>
      <c r="C10746" s="1" t="str">
        <f>"66298808279880"</f>
        <v>66298808279880</v>
      </c>
      <c r="D10746" s="1" t="str">
        <f>"000157"</f>
        <v>000157</v>
      </c>
      <c r="E10746" s="1" t="s">
        <v>4579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</row>
    <row r="10747" spans="1:11" x14ac:dyDescent="0.2">
      <c r="A10747" s="1" t="s">
        <v>608</v>
      </c>
      <c r="B10747" s="1" t="s">
        <v>712</v>
      </c>
      <c r="C10747" s="1" t="str">
        <f>"66298808324135"</f>
        <v>66298808324135</v>
      </c>
      <c r="D10747" s="1" t="str">
        <f>"80354"</f>
        <v>80354</v>
      </c>
      <c r="E10747" s="1" t="s">
        <v>4579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</row>
    <row r="10748" spans="1:11" x14ac:dyDescent="0.2">
      <c r="A10748" s="1" t="s">
        <v>608</v>
      </c>
      <c r="B10748" s="1" t="s">
        <v>713</v>
      </c>
      <c r="C10748" s="1" t="str">
        <f>"BD006"</f>
        <v>BD006</v>
      </c>
      <c r="D10748" s="1" t="str">
        <f>"BD006"</f>
        <v>BD006</v>
      </c>
      <c r="E10748" s="1" t="s">
        <v>4579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</row>
    <row r="10749" spans="1:11" x14ac:dyDescent="0.2">
      <c r="A10749" s="1" t="s">
        <v>608</v>
      </c>
      <c r="B10749" s="1" t="s">
        <v>714</v>
      </c>
      <c r="C10749" s="1" t="str">
        <f>"BD003"</f>
        <v>BD003</v>
      </c>
      <c r="D10749" s="1" t="str">
        <f>"BD003"</f>
        <v>BD003</v>
      </c>
      <c r="E10749" s="1" t="s">
        <v>4579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</row>
    <row r="10750" spans="1:11" x14ac:dyDescent="0.2">
      <c r="A10750" s="1" t="s">
        <v>608</v>
      </c>
      <c r="B10750" s="1" t="s">
        <v>715</v>
      </c>
      <c r="C10750" s="1" t="str">
        <f>"66298808412254"</f>
        <v>66298808412254</v>
      </c>
      <c r="D10750" s="1" t="str">
        <f>"000159"</f>
        <v>000159</v>
      </c>
      <c r="E10750" s="1" t="s">
        <v>4579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</row>
    <row r="10751" spans="1:11" x14ac:dyDescent="0.2">
      <c r="A10751" s="1" t="s">
        <v>608</v>
      </c>
      <c r="B10751" s="1" t="s">
        <v>716</v>
      </c>
      <c r="C10751" s="1" t="str">
        <f>"66298808454307"</f>
        <v>66298808454307</v>
      </c>
      <c r="D10751" s="1" t="str">
        <f>"82077"</f>
        <v>82077</v>
      </c>
      <c r="E10751" s="1" t="s">
        <v>4579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</row>
    <row r="10752" spans="1:11" x14ac:dyDescent="0.2">
      <c r="A10752" s="1" t="s">
        <v>608</v>
      </c>
      <c r="B10752" s="1" t="s">
        <v>717</v>
      </c>
      <c r="C10752" s="1" t="str">
        <f>"66298808495160"</f>
        <v>66298808495160</v>
      </c>
      <c r="D10752" s="1" t="str">
        <f>"44830-KRF-B40HB"</f>
        <v>44830-KRF-B40HB</v>
      </c>
      <c r="E10752" s="1" t="s">
        <v>4579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</row>
    <row r="10753" spans="1:11" x14ac:dyDescent="0.2">
      <c r="A10753" s="1" t="s">
        <v>608</v>
      </c>
      <c r="B10753" s="1" t="s">
        <v>718</v>
      </c>
      <c r="C10753" s="1" t="str">
        <f>"66298808538798"</f>
        <v>66298808538798</v>
      </c>
      <c r="D10753" s="1" t="str">
        <f>"82075"</f>
        <v>82075</v>
      </c>
      <c r="E10753" s="1" t="s">
        <v>4579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</row>
    <row r="10754" spans="1:11" x14ac:dyDescent="0.2">
      <c r="A10754" s="1" t="s">
        <v>608</v>
      </c>
      <c r="B10754" s="1" t="s">
        <v>719</v>
      </c>
      <c r="C10754" s="1" t="str">
        <f>"66298808580288"</f>
        <v>66298808580288</v>
      </c>
      <c r="D10754" s="1" t="str">
        <f>"34910-44A20HB"</f>
        <v>34910-44A20HB</v>
      </c>
      <c r="E10754" s="1" t="s">
        <v>4579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</row>
    <row r="10755" spans="1:11" x14ac:dyDescent="0.2">
      <c r="A10755" s="1" t="s">
        <v>608</v>
      </c>
      <c r="B10755" s="1" t="s">
        <v>720</v>
      </c>
      <c r="C10755" s="1" t="str">
        <f>"BD009"</f>
        <v>BD009</v>
      </c>
      <c r="D10755" s="1" t="str">
        <f>"BD009"</f>
        <v>BD009</v>
      </c>
      <c r="E10755" s="1" t="s">
        <v>4579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</row>
    <row r="10756" spans="1:11" x14ac:dyDescent="0.2">
      <c r="A10756" s="1" t="s">
        <v>608</v>
      </c>
      <c r="B10756" s="1" t="s">
        <v>721</v>
      </c>
      <c r="C10756" s="1" t="str">
        <f>"66298808620968"</f>
        <v>66298808620968</v>
      </c>
      <c r="D10756" s="1" t="str">
        <f>"82081"</f>
        <v>82081</v>
      </c>
      <c r="E10756" s="1" t="s">
        <v>4579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</row>
    <row r="10757" spans="1:11" x14ac:dyDescent="0.2">
      <c r="A10757" s="1" t="s">
        <v>608</v>
      </c>
      <c r="B10757" s="1" t="s">
        <v>722</v>
      </c>
      <c r="C10757" s="1" t="str">
        <f>"66298808665086"</f>
        <v>66298808665086</v>
      </c>
      <c r="D10757" s="1" t="str">
        <f>"400623"</f>
        <v>400623</v>
      </c>
      <c r="E10757" s="1" t="s">
        <v>4579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</row>
    <row r="10758" spans="1:11" ht="30" x14ac:dyDescent="0.2">
      <c r="A10758" s="1" t="s">
        <v>608</v>
      </c>
      <c r="B10758" s="1" t="s">
        <v>723</v>
      </c>
      <c r="C10758" s="1" t="str">
        <f>"BD001"</f>
        <v>BD001</v>
      </c>
      <c r="D10758" s="1" t="str">
        <f>"BD001"</f>
        <v>BD001</v>
      </c>
      <c r="E10758" s="1" t="s">
        <v>4579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</row>
    <row r="10759" spans="1:11" x14ac:dyDescent="0.2">
      <c r="A10759" s="1" t="s">
        <v>608</v>
      </c>
      <c r="B10759" s="1" t="s">
        <v>724</v>
      </c>
      <c r="C10759" s="1" t="str">
        <f>"66298808752727"</f>
        <v>66298808752727</v>
      </c>
      <c r="D10759" s="1" t="str">
        <f>"54001-1118"</f>
        <v>54001-1118</v>
      </c>
      <c r="E10759" s="1" t="s">
        <v>4579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</row>
    <row r="10760" spans="1:11" x14ac:dyDescent="0.2">
      <c r="A10760" s="1" t="s">
        <v>608</v>
      </c>
      <c r="B10760" s="1" t="s">
        <v>725</v>
      </c>
      <c r="C10760" s="1" t="str">
        <f>"66298808793545"</f>
        <v>66298808793545</v>
      </c>
      <c r="D10760" s="1" t="str">
        <f>"34910-45F01"</f>
        <v>34910-45F01</v>
      </c>
      <c r="E10760" s="1" t="s">
        <v>4579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</row>
    <row r="10761" spans="1:11" x14ac:dyDescent="0.2">
      <c r="A10761" s="1" t="s">
        <v>608</v>
      </c>
      <c r="B10761" s="1" t="s">
        <v>726</v>
      </c>
      <c r="C10761" s="1" t="str">
        <f>"34910-C26441W-00"</f>
        <v>34910-C26441W-00</v>
      </c>
      <c r="D10761" s="1" t="str">
        <f>"34910-C26441W-00"</f>
        <v>34910-C26441W-00</v>
      </c>
      <c r="E10761" s="1" t="s">
        <v>4579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</row>
    <row r="10762" spans="1:11" x14ac:dyDescent="0.2">
      <c r="A10762" s="1" t="s">
        <v>608</v>
      </c>
      <c r="B10762" s="1" t="s">
        <v>727</v>
      </c>
      <c r="C10762" s="1" t="str">
        <f>"BD004"</f>
        <v>BD004</v>
      </c>
      <c r="D10762" s="1" t="str">
        <f>"BD004"</f>
        <v>BD004</v>
      </c>
      <c r="E10762" s="1" t="s">
        <v>4579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</row>
    <row r="10763" spans="1:11" x14ac:dyDescent="0.2">
      <c r="A10763" s="1" t="s">
        <v>608</v>
      </c>
      <c r="B10763" s="1" t="s">
        <v>728</v>
      </c>
      <c r="C10763" s="1" t="str">
        <f>"34910-25H00-000H"</f>
        <v>34910-25H00-000H</v>
      </c>
      <c r="D10763" s="1" t="str">
        <f>"34910-25H00-000H"</f>
        <v>34910-25H00-000H</v>
      </c>
      <c r="E10763" s="1" t="s">
        <v>4579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</row>
    <row r="10764" spans="1:11" x14ac:dyDescent="0.2">
      <c r="A10764" s="1" t="s">
        <v>608</v>
      </c>
      <c r="B10764" s="1" t="s">
        <v>729</v>
      </c>
      <c r="C10764" s="1" t="str">
        <f>"66298808842711"</f>
        <v>66298808842711</v>
      </c>
      <c r="D10764" s="1" t="str">
        <f>"7701023704090"</f>
        <v>7701023704090</v>
      </c>
      <c r="E10764" s="1" t="s">
        <v>4579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</row>
    <row r="10765" spans="1:11" x14ac:dyDescent="0.2">
      <c r="A10765" s="1" t="s">
        <v>608</v>
      </c>
      <c r="B10765" s="1" t="s">
        <v>730</v>
      </c>
      <c r="C10765" s="1" t="str">
        <f>"66298808888295"</f>
        <v>66298808888295</v>
      </c>
      <c r="D10765" s="1" t="str">
        <f>"400624"</f>
        <v>400624</v>
      </c>
      <c r="E10765" s="1" t="s">
        <v>4579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</row>
    <row r="10766" spans="1:11" x14ac:dyDescent="0.2">
      <c r="A10766" s="1" t="s">
        <v>608</v>
      </c>
      <c r="B10766" s="1" t="s">
        <v>731</v>
      </c>
      <c r="C10766" s="1" t="str">
        <f>"66298808926394"</f>
        <v>66298808926394</v>
      </c>
      <c r="D10766" s="1" t="str">
        <f>"80350"</f>
        <v>80350</v>
      </c>
      <c r="E10766" s="1" t="s">
        <v>4579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</row>
    <row r="10767" spans="1:11" x14ac:dyDescent="0.2">
      <c r="A10767" s="1" t="s">
        <v>608</v>
      </c>
      <c r="B10767" s="1" t="s">
        <v>732</v>
      </c>
      <c r="C10767" s="1" t="str">
        <f>"44830-KSM-900HB"</f>
        <v>44830-KSM-900HB</v>
      </c>
      <c r="D10767" s="1" t="str">
        <f>"44830-KSM-900HB"</f>
        <v>44830-KSM-900HB</v>
      </c>
      <c r="E10767" s="1" t="s">
        <v>4579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</row>
    <row r="10768" spans="1:11" ht="30" x14ac:dyDescent="0.2">
      <c r="A10768" s="1" t="s">
        <v>608</v>
      </c>
      <c r="B10768" s="1" t="s">
        <v>733</v>
      </c>
      <c r="C10768" s="1" t="str">
        <f>"66298809007972"</f>
        <v>66298809007972</v>
      </c>
      <c r="D10768" s="1" t="str">
        <f>"82317"</f>
        <v>82317</v>
      </c>
      <c r="E10768" s="1" t="s">
        <v>4579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</row>
    <row r="10769" spans="1:11" x14ac:dyDescent="0.2">
      <c r="A10769" s="1" t="s">
        <v>608</v>
      </c>
      <c r="B10769" s="1" t="s">
        <v>734</v>
      </c>
      <c r="C10769" s="1" t="str">
        <f>"66298809051411"</f>
        <v>66298809051411</v>
      </c>
      <c r="D10769" s="1" t="str">
        <f>"44830-KVC-900HB"</f>
        <v>44830-KVC-900HB</v>
      </c>
      <c r="E10769" s="1" t="s">
        <v>4579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</row>
    <row r="10770" spans="1:11" x14ac:dyDescent="0.2">
      <c r="A10770" s="1" t="s">
        <v>608</v>
      </c>
      <c r="B10770" s="1" t="s">
        <v>735</v>
      </c>
      <c r="C10770" s="1" t="str">
        <f>"2273"</f>
        <v>2273</v>
      </c>
      <c r="D10770" s="1" t="str">
        <f>"2273"</f>
        <v>2273</v>
      </c>
      <c r="E10770" s="1" t="s">
        <v>4579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</row>
    <row r="10771" spans="1:11" x14ac:dyDescent="0.2">
      <c r="A10771" s="1" t="s">
        <v>608</v>
      </c>
      <c r="B10771" s="1" t="s">
        <v>736</v>
      </c>
      <c r="C10771" s="1" t="str">
        <f>"66298809094816"</f>
        <v>66298809094816</v>
      </c>
      <c r="D10771" s="1" t="str">
        <f>"400625"</f>
        <v>400625</v>
      </c>
      <c r="E10771" s="1" t="s">
        <v>4579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</row>
    <row r="10772" spans="1:11" x14ac:dyDescent="0.2">
      <c r="A10772" s="1" t="s">
        <v>608</v>
      </c>
      <c r="B10772" s="1" t="s">
        <v>737</v>
      </c>
      <c r="C10772" s="1" t="str">
        <f>"66298809132255"</f>
        <v>66298809132255</v>
      </c>
      <c r="D10772" s="1" t="str">
        <f>"5RM-H3550-00HB"</f>
        <v>5RM-H3550-00HB</v>
      </c>
      <c r="E10772" s="1" t="s">
        <v>4579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</row>
    <row r="10773" spans="1:11" x14ac:dyDescent="0.2">
      <c r="A10773" s="1" t="s">
        <v>608</v>
      </c>
      <c r="B10773" s="1" t="s">
        <v>737</v>
      </c>
      <c r="C10773" s="1" t="str">
        <f>"5RM-M3550-00HB"</f>
        <v>5RM-M3550-00HB</v>
      </c>
      <c r="D10773" s="1" t="str">
        <f>"5RM-M3550-00HB"</f>
        <v>5RM-M3550-00HB</v>
      </c>
      <c r="E10773" s="1" t="s">
        <v>4579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</row>
    <row r="10774" spans="1:11" x14ac:dyDescent="0.2">
      <c r="A10774" s="1" t="s">
        <v>608</v>
      </c>
      <c r="B10774" s="1" t="s">
        <v>737</v>
      </c>
      <c r="C10774" s="1" t="str">
        <f>"BD010"</f>
        <v>BD010</v>
      </c>
      <c r="D10774" s="1" t="str">
        <f>"BD010"</f>
        <v>BD010</v>
      </c>
      <c r="E10774" s="1" t="s">
        <v>4579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</row>
    <row r="10775" spans="1:11" x14ac:dyDescent="0.2">
      <c r="A10775" s="1" t="s">
        <v>608</v>
      </c>
      <c r="B10775" s="1" t="s">
        <v>738</v>
      </c>
      <c r="C10775" s="1" t="str">
        <f>"66298809213045"</f>
        <v>66298809213045</v>
      </c>
      <c r="D10775" s="1" t="str">
        <f>"5YY-H3550-00HB"</f>
        <v>5YY-H3550-00HB</v>
      </c>
      <c r="E10775" s="1" t="s">
        <v>4579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</row>
    <row r="10776" spans="1:11" x14ac:dyDescent="0.2">
      <c r="A10776" s="1" t="s">
        <v>608</v>
      </c>
      <c r="B10776" s="1" t="s">
        <v>738</v>
      </c>
      <c r="C10776" s="1" t="str">
        <f>"66298809219510"</f>
        <v>66298809219510</v>
      </c>
      <c r="D10776" s="1" t="str">
        <f>"5VL-H3550-12HB"</f>
        <v>5VL-H3550-12HB</v>
      </c>
      <c r="E10776" s="1" t="s">
        <v>4579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</row>
    <row r="10777" spans="1:11" x14ac:dyDescent="0.2">
      <c r="A10777" s="1" t="s">
        <v>608</v>
      </c>
      <c r="B10777" s="1" t="s">
        <v>739</v>
      </c>
      <c r="C10777" s="1" t="str">
        <f>"66298809171408"</f>
        <v>66298809171408</v>
      </c>
      <c r="D10777" s="1" t="str">
        <f>"80355"</f>
        <v>80355</v>
      </c>
      <c r="E10777" s="1" t="s">
        <v>4579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</row>
    <row r="10778" spans="1:11" x14ac:dyDescent="0.2">
      <c r="A10778" s="1" t="s">
        <v>608</v>
      </c>
      <c r="B10778" s="1" t="s">
        <v>740</v>
      </c>
      <c r="C10778" s="1" t="str">
        <f>"66298809280711"</f>
        <v>66298809280711</v>
      </c>
      <c r="D10778" s="1" t="str">
        <f>"400626"</f>
        <v>400626</v>
      </c>
      <c r="E10778" s="1" t="s">
        <v>4579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</row>
    <row r="10779" spans="1:11" x14ac:dyDescent="0.2">
      <c r="A10779" s="1" t="s">
        <v>608</v>
      </c>
      <c r="B10779" s="1" t="s">
        <v>741</v>
      </c>
      <c r="C10779" s="1" t="str">
        <f>"66298809327437"</f>
        <v>66298809327437</v>
      </c>
      <c r="D10779" s="1" t="str">
        <f>"28291-KR6-000JP"</f>
        <v>28291-KR6-000JP</v>
      </c>
      <c r="E10779" s="1" t="s">
        <v>4579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</row>
    <row r="10780" spans="1:11" x14ac:dyDescent="0.2">
      <c r="A10780" s="1" t="s">
        <v>608</v>
      </c>
      <c r="B10780" s="1" t="s">
        <v>742</v>
      </c>
      <c r="C10780" s="1" t="str">
        <f>"EMB-UNIV"</f>
        <v>EMB-UNIV</v>
      </c>
      <c r="D10780" s="1" t="str">
        <f>"EMB-UNIV"</f>
        <v>EMB-UNIV</v>
      </c>
      <c r="E10780" s="1" t="s">
        <v>4579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</row>
    <row r="10781" spans="1:11" x14ac:dyDescent="0.2">
      <c r="A10781" s="1" t="s">
        <v>608</v>
      </c>
      <c r="B10781" s="1" t="s">
        <v>743</v>
      </c>
      <c r="C10781" s="1" t="str">
        <f>"66298809372747"</f>
        <v>66298809372747</v>
      </c>
      <c r="D10781" s="1" t="str">
        <f>"400595"</f>
        <v>400595</v>
      </c>
      <c r="E10781" s="1" t="s">
        <v>4579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</row>
    <row r="10782" spans="1:11" x14ac:dyDescent="0.2">
      <c r="A10782" s="1" t="s">
        <v>608</v>
      </c>
      <c r="B10782" s="1" t="s">
        <v>744</v>
      </c>
      <c r="C10782" s="1" t="str">
        <f>"66298809416233"</f>
        <v>66298809416233</v>
      </c>
      <c r="D10782" s="1" t="str">
        <f>"400596"</f>
        <v>400596</v>
      </c>
      <c r="E10782" s="1" t="s">
        <v>4579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</row>
    <row r="10783" spans="1:11" x14ac:dyDescent="0.2">
      <c r="A10783" s="1" t="s">
        <v>608</v>
      </c>
      <c r="B10783" s="1" t="s">
        <v>745</v>
      </c>
      <c r="C10783" s="1" t="str">
        <f>"66298809457079"</f>
        <v>66298809457079</v>
      </c>
      <c r="D10783" s="1" t="str">
        <f>"400597"</f>
        <v>400597</v>
      </c>
      <c r="E10783" s="1" t="s">
        <v>4579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</row>
    <row r="10784" spans="1:11" x14ac:dyDescent="0.2">
      <c r="A10784" s="1" t="s">
        <v>608</v>
      </c>
      <c r="B10784" s="1" t="s">
        <v>746</v>
      </c>
      <c r="C10784" s="1" t="str">
        <f>"3081"</f>
        <v>3081</v>
      </c>
      <c r="D10784" s="1" t="str">
        <f>"3081"</f>
        <v>3081</v>
      </c>
      <c r="E10784" s="1" t="s">
        <v>4579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</row>
    <row r="10785" spans="1:11" x14ac:dyDescent="0.2">
      <c r="A10785" s="1" t="s">
        <v>608</v>
      </c>
      <c r="B10785" s="1" t="s">
        <v>746</v>
      </c>
      <c r="C10785" s="1" t="str">
        <f>"BB009"</f>
        <v>BB009</v>
      </c>
      <c r="D10785" s="1" t="str">
        <f>"BB009"</f>
        <v>BB009</v>
      </c>
      <c r="E10785" s="1" t="s">
        <v>4579</v>
      </c>
      <c r="F10785" s="1">
        <v>1</v>
      </c>
      <c r="G10785" s="1">
        <v>1908</v>
      </c>
      <c r="H10785" s="1">
        <v>1908</v>
      </c>
      <c r="I10785" s="1">
        <v>0</v>
      </c>
      <c r="J10785" s="1">
        <v>1</v>
      </c>
      <c r="K10785" s="1">
        <v>0</v>
      </c>
    </row>
    <row r="10786" spans="1:11" x14ac:dyDescent="0.2">
      <c r="A10786" s="1" t="s">
        <v>608</v>
      </c>
      <c r="B10786" s="1" t="s">
        <v>747</v>
      </c>
      <c r="C10786" s="1" t="str">
        <f>"22870-KSP-B00HB"</f>
        <v>22870-KSP-B00HB</v>
      </c>
      <c r="D10786" s="1" t="str">
        <f>"22870-KSP-B00HB"</f>
        <v>22870-KSP-B00HB</v>
      </c>
      <c r="E10786" s="1" t="s">
        <v>4579</v>
      </c>
      <c r="F10786" s="1">
        <v>1</v>
      </c>
      <c r="G10786" s="1">
        <v>978</v>
      </c>
      <c r="H10786" s="1">
        <v>978</v>
      </c>
      <c r="I10786" s="1">
        <v>0</v>
      </c>
      <c r="J10786" s="1">
        <v>1</v>
      </c>
      <c r="K10786" s="1">
        <v>0</v>
      </c>
    </row>
    <row r="10787" spans="1:11" x14ac:dyDescent="0.2">
      <c r="A10787" s="1" t="s">
        <v>608</v>
      </c>
      <c r="B10787" s="1" t="s">
        <v>747</v>
      </c>
      <c r="C10787" s="1" t="str">
        <f>"22870-KSP-900HB"</f>
        <v>22870-KSP-900HB</v>
      </c>
      <c r="D10787" s="1" t="str">
        <f>"22870-KSP-900HB"</f>
        <v>22870-KSP-900HB</v>
      </c>
      <c r="E10787" s="1" t="s">
        <v>4579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</row>
    <row r="10788" spans="1:11" ht="30" x14ac:dyDescent="0.2">
      <c r="A10788" s="1" t="s">
        <v>608</v>
      </c>
      <c r="B10788" s="1" t="s">
        <v>748</v>
      </c>
      <c r="C10788" s="1" t="str">
        <f>"66298809507929"</f>
        <v>66298809507929</v>
      </c>
      <c r="D10788" s="1" t="str">
        <f>"400235"</f>
        <v>400235</v>
      </c>
      <c r="E10788" s="1" t="s">
        <v>4579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</row>
    <row r="10789" spans="1:11" x14ac:dyDescent="0.2">
      <c r="A10789" s="1" t="s">
        <v>608</v>
      </c>
      <c r="B10789" s="1" t="s">
        <v>749</v>
      </c>
      <c r="C10789" s="1" t="str">
        <f>"66298809547686"</f>
        <v>66298809547686</v>
      </c>
      <c r="D10789" s="1" t="str">
        <f>"22870-KVE-900HB"</f>
        <v>22870-KVE-900HB</v>
      </c>
      <c r="E10789" s="1" t="s">
        <v>4579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</row>
    <row r="10790" spans="1:11" x14ac:dyDescent="0.2">
      <c r="A10790" s="1" t="s">
        <v>608</v>
      </c>
      <c r="B10790" s="1" t="s">
        <v>750</v>
      </c>
      <c r="C10790" s="1" t="str">
        <f>"66298809587110"</f>
        <v>66298809587110</v>
      </c>
      <c r="D10790" s="1" t="str">
        <f>"80345"</f>
        <v>80345</v>
      </c>
      <c r="E10790" s="1" t="s">
        <v>4579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</row>
    <row r="10791" spans="1:11" x14ac:dyDescent="0.2">
      <c r="A10791" s="1" t="s">
        <v>751</v>
      </c>
      <c r="B10791" s="1" t="s">
        <v>752</v>
      </c>
      <c r="C10791" s="1" t="str">
        <f>"58200H2J060H000"</f>
        <v>58200H2J060H000</v>
      </c>
      <c r="D10791" s="1" t="str">
        <f>"58200H2J060H000"</f>
        <v>58200H2J060H000</v>
      </c>
      <c r="E10791" s="1" t="s">
        <v>4579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</row>
    <row r="10792" spans="1:11" x14ac:dyDescent="0.2">
      <c r="A10792" s="1" t="s">
        <v>608</v>
      </c>
      <c r="B10792" s="1" t="s">
        <v>753</v>
      </c>
      <c r="C10792" s="1" t="str">
        <f>"BB012"</f>
        <v>BB012</v>
      </c>
      <c r="D10792" s="1" t="str">
        <f>"BB012"</f>
        <v>BB012</v>
      </c>
      <c r="E10792" s="1" t="s">
        <v>4579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</row>
    <row r="10793" spans="1:11" x14ac:dyDescent="0.2">
      <c r="A10793" s="1" t="s">
        <v>608</v>
      </c>
      <c r="B10793" s="1" t="s">
        <v>754</v>
      </c>
      <c r="C10793" s="1" t="str">
        <f>"66298809627798"</f>
        <v>66298809627798</v>
      </c>
      <c r="D10793" s="1" t="str">
        <f>"400600"</f>
        <v>400600</v>
      </c>
      <c r="E10793" s="1" t="s">
        <v>4579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</row>
    <row r="10794" spans="1:11" x14ac:dyDescent="0.2">
      <c r="A10794" s="1" t="s">
        <v>608</v>
      </c>
      <c r="B10794" s="1" t="s">
        <v>755</v>
      </c>
      <c r="C10794" s="1" t="str">
        <f>"66298809734447"</f>
        <v>66298809734447</v>
      </c>
      <c r="D10794" s="1" t="str">
        <f>"400594"</f>
        <v>400594</v>
      </c>
      <c r="E10794" s="1" t="s">
        <v>4579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</row>
    <row r="10795" spans="1:11" x14ac:dyDescent="0.2">
      <c r="A10795" s="1" t="s">
        <v>608</v>
      </c>
      <c r="B10795" s="1" t="s">
        <v>756</v>
      </c>
      <c r="C10795" s="1" t="str">
        <f>"66298809675367"</f>
        <v>66298809675367</v>
      </c>
      <c r="D10795" s="1" t="str">
        <f>"21C-F6335-00HB"</f>
        <v>21C-F6335-00HB</v>
      </c>
      <c r="E10795" s="1" t="s">
        <v>4579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</row>
    <row r="10796" spans="1:11" x14ac:dyDescent="0.2">
      <c r="A10796" s="1" t="s">
        <v>608</v>
      </c>
      <c r="B10796" s="1" t="s">
        <v>756</v>
      </c>
      <c r="C10796" s="1" t="str">
        <f>"66298809680747"</f>
        <v>66298809680747</v>
      </c>
      <c r="D10796" s="1" t="str">
        <f>"82344"</f>
        <v>82344</v>
      </c>
      <c r="E10796" s="1" t="s">
        <v>4579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</row>
    <row r="10797" spans="1:11" x14ac:dyDescent="0.2">
      <c r="A10797" s="1" t="s">
        <v>608</v>
      </c>
      <c r="B10797" s="1" t="s">
        <v>756</v>
      </c>
      <c r="C10797" s="1" t="str">
        <f>"BB002"</f>
        <v>BB002</v>
      </c>
      <c r="D10797" s="1" t="str">
        <f>"BB002"</f>
        <v>BB002</v>
      </c>
      <c r="E10797" s="1" t="s">
        <v>4579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</row>
    <row r="10798" spans="1:11" x14ac:dyDescent="0.2">
      <c r="A10798" s="1" t="s">
        <v>608</v>
      </c>
      <c r="B10798" s="1" t="s">
        <v>757</v>
      </c>
      <c r="C10798" s="1" t="str">
        <f>"66298809777736"</f>
        <v>66298809777736</v>
      </c>
      <c r="D10798" s="1" t="str">
        <f>"400602"</f>
        <v>400602</v>
      </c>
      <c r="E10798" s="1" t="s">
        <v>4579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</row>
    <row r="10799" spans="1:11" x14ac:dyDescent="0.2">
      <c r="A10799" s="1" t="s">
        <v>608</v>
      </c>
      <c r="B10799" s="1" t="s">
        <v>758</v>
      </c>
      <c r="C10799" s="1" t="str">
        <f>"BB013"</f>
        <v>BB013</v>
      </c>
      <c r="D10799" s="1" t="str">
        <f>"BB013"</f>
        <v>BB013</v>
      </c>
      <c r="E10799" s="1" t="s">
        <v>4579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</row>
    <row r="10800" spans="1:11" x14ac:dyDescent="0.2">
      <c r="A10800" s="1" t="s">
        <v>608</v>
      </c>
      <c r="B10800" s="1" t="s">
        <v>759</v>
      </c>
      <c r="C10800" s="1" t="str">
        <f>"66298809884183"</f>
        <v>66298809884183</v>
      </c>
      <c r="D10800" s="1" t="str">
        <f>"400603"</f>
        <v>400603</v>
      </c>
      <c r="E10800" s="1" t="s">
        <v>4579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</row>
    <row r="10801" spans="1:11" x14ac:dyDescent="0.2">
      <c r="A10801" s="1" t="s">
        <v>608</v>
      </c>
      <c r="B10801" s="1" t="s">
        <v>760</v>
      </c>
      <c r="C10801" s="1" t="str">
        <f>"82069"</f>
        <v>82069</v>
      </c>
      <c r="D10801" s="1" t="str">
        <f>"82069"</f>
        <v>82069</v>
      </c>
      <c r="E10801" s="1" t="s">
        <v>4579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</row>
    <row r="10802" spans="1:11" x14ac:dyDescent="0.2">
      <c r="A10802" s="1" t="s">
        <v>608</v>
      </c>
      <c r="B10802" s="1" t="s">
        <v>760</v>
      </c>
      <c r="C10802" s="1" t="str">
        <f>"BB004"</f>
        <v>BB004</v>
      </c>
      <c r="D10802" s="1" t="str">
        <f>"BB004"</f>
        <v>BB004</v>
      </c>
      <c r="E10802" s="1" t="s">
        <v>4579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</row>
    <row r="10803" spans="1:11" x14ac:dyDescent="0.2">
      <c r="A10803" s="1" t="s">
        <v>608</v>
      </c>
      <c r="B10803" s="1" t="s">
        <v>761</v>
      </c>
      <c r="C10803" s="1" t="str">
        <f>"58200-05392"</f>
        <v>58200-05392</v>
      </c>
      <c r="D10803" s="1" t="str">
        <f>"58200-05392"</f>
        <v>58200-05392</v>
      </c>
      <c r="E10803" s="1" t="s">
        <v>4579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</row>
    <row r="10804" spans="1:11" x14ac:dyDescent="0.2">
      <c r="A10804" s="1" t="s">
        <v>608</v>
      </c>
      <c r="B10804" s="1" t="s">
        <v>762</v>
      </c>
      <c r="C10804" s="1" t="str">
        <f>"66298809968674"</f>
        <v>66298809968674</v>
      </c>
      <c r="D10804" s="1" t="str">
        <f>"58200-45F40"</f>
        <v>58200-45F40</v>
      </c>
      <c r="E10804" s="1" t="s">
        <v>4579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</row>
    <row r="10805" spans="1:11" x14ac:dyDescent="0.2">
      <c r="A10805" s="1" t="s">
        <v>608</v>
      </c>
      <c r="B10805" s="1" t="s">
        <v>762</v>
      </c>
      <c r="C10805" s="1" t="str">
        <f>"66298809974690"</f>
        <v>66298809974690</v>
      </c>
      <c r="D10805" s="1" t="str">
        <f>"BC005"</f>
        <v>BC005</v>
      </c>
      <c r="E10805" s="1" t="s">
        <v>4579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</row>
    <row r="10806" spans="1:11" x14ac:dyDescent="0.2">
      <c r="A10806" s="1" t="s">
        <v>608</v>
      </c>
      <c r="B10806" s="1" t="s">
        <v>763</v>
      </c>
      <c r="C10806" s="1" t="str">
        <f>"58200-30H10-000HB"</f>
        <v>58200-30H10-000HB</v>
      </c>
      <c r="D10806" s="1" t="str">
        <f>"58200-30H10-000HB"</f>
        <v>58200-30H10-000HB</v>
      </c>
      <c r="E10806" s="1" t="s">
        <v>4579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</row>
    <row r="10807" spans="1:11" x14ac:dyDescent="0.2">
      <c r="A10807" s="1" t="s">
        <v>608</v>
      </c>
      <c r="B10807" s="1" t="s">
        <v>764</v>
      </c>
      <c r="C10807" s="1" t="str">
        <f>"66298810031353"</f>
        <v>66298810031353</v>
      </c>
      <c r="D10807" s="1" t="str">
        <f>"58200-30H10JP"</f>
        <v>58200-30H10JP</v>
      </c>
      <c r="E10807" s="1" t="s">
        <v>4579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</row>
    <row r="10808" spans="1:11" x14ac:dyDescent="0.2">
      <c r="A10808" s="1" t="s">
        <v>608</v>
      </c>
      <c r="B10808" s="1" t="s">
        <v>765</v>
      </c>
      <c r="C10808" s="1" t="str">
        <f>"BB003"</f>
        <v>BB003</v>
      </c>
      <c r="D10808" s="1" t="str">
        <f>"BB003"</f>
        <v>BB003</v>
      </c>
      <c r="E10808" s="1" t="s">
        <v>4579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</row>
    <row r="10809" spans="1:11" x14ac:dyDescent="0.2">
      <c r="A10809" s="1" t="s">
        <v>608</v>
      </c>
      <c r="B10809" s="1" t="s">
        <v>766</v>
      </c>
      <c r="C10809" s="1" t="str">
        <f>"66298810070750"</f>
        <v>66298810070750</v>
      </c>
      <c r="D10809" s="1" t="str">
        <f>"C089"</f>
        <v>C089</v>
      </c>
      <c r="E10809" s="1" t="s">
        <v>4579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</row>
    <row r="10810" spans="1:11" x14ac:dyDescent="0.2">
      <c r="A10810" s="1" t="s">
        <v>608</v>
      </c>
      <c r="B10810" s="1" t="s">
        <v>767</v>
      </c>
      <c r="C10810" s="1" t="str">
        <f>"66298810113633"</f>
        <v>66298810113633</v>
      </c>
      <c r="D10810" s="1" t="str">
        <f>"400606"</f>
        <v>400606</v>
      </c>
      <c r="E10810" s="1" t="s">
        <v>4579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</row>
    <row r="10811" spans="1:11" x14ac:dyDescent="0.2">
      <c r="A10811" s="1" t="s">
        <v>608</v>
      </c>
      <c r="B10811" s="1" t="s">
        <v>768</v>
      </c>
      <c r="C10811" s="1" t="str">
        <f>"66298810152167"</f>
        <v>66298810152167</v>
      </c>
      <c r="D10811" s="1" t="str">
        <f>"320240397-0001JP"</f>
        <v>320240397-0001JP</v>
      </c>
      <c r="E10811" s="1" t="s">
        <v>4579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</row>
    <row r="10812" spans="1:11" x14ac:dyDescent="0.2">
      <c r="A10812" s="1" t="s">
        <v>608</v>
      </c>
      <c r="B10812" s="1" t="s">
        <v>769</v>
      </c>
      <c r="C10812" s="1" t="str">
        <f>"66298810191196"</f>
        <v>66298810191196</v>
      </c>
      <c r="D10812" s="1" t="str">
        <f>"7701023704571"</f>
        <v>7701023704571</v>
      </c>
      <c r="E10812" s="1" t="s">
        <v>4579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</row>
    <row r="10813" spans="1:11" x14ac:dyDescent="0.2">
      <c r="A10813" s="1" t="s">
        <v>608</v>
      </c>
      <c r="B10813" s="1" t="s">
        <v>770</v>
      </c>
      <c r="C10813" s="1" t="str">
        <f>"58200H2C000H000"</f>
        <v>58200H2C000H000</v>
      </c>
      <c r="D10813" s="1" t="str">
        <f>"58200H2C000H000"</f>
        <v>58200H2C000H000</v>
      </c>
      <c r="E10813" s="1" t="s">
        <v>4579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</row>
    <row r="10814" spans="1:11" x14ac:dyDescent="0.2">
      <c r="A10814" s="1" t="s">
        <v>608</v>
      </c>
      <c r="B10814" s="1" t="s">
        <v>771</v>
      </c>
      <c r="C10814" s="1" t="str">
        <f>"EMHJ52259"</f>
        <v>EMHJ52259</v>
      </c>
      <c r="D10814" s="1" t="str">
        <f>"EMHJ52259"</f>
        <v>EMHJ52259</v>
      </c>
      <c r="E10814" s="1" t="s">
        <v>4579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</row>
    <row r="10815" spans="1:11" x14ac:dyDescent="0.2">
      <c r="A10815" s="1" t="s">
        <v>608</v>
      </c>
      <c r="B10815" s="1" t="s">
        <v>772</v>
      </c>
      <c r="C10815" s="1" t="str">
        <f>"66298810231939"</f>
        <v>66298810231939</v>
      </c>
      <c r="D10815" s="1" t="str">
        <f>"B04-F6335-00HB"</f>
        <v>B04-F6335-00HB</v>
      </c>
      <c r="E10815" s="1" t="s">
        <v>4579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</row>
    <row r="10816" spans="1:11" x14ac:dyDescent="0.2">
      <c r="A10816" s="1" t="s">
        <v>608</v>
      </c>
      <c r="B10816" s="1" t="s">
        <v>773</v>
      </c>
      <c r="C10816" s="1" t="str">
        <f>"66298810270640"</f>
        <v>66298810270640</v>
      </c>
      <c r="D10816" s="1" t="str">
        <f>"58200H40101H000"</f>
        <v>58200H40101H000</v>
      </c>
      <c r="E10816" s="1" t="s">
        <v>4579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</row>
    <row r="10817" spans="1:11" x14ac:dyDescent="0.2">
      <c r="A10817" s="1" t="s">
        <v>608</v>
      </c>
      <c r="B10817" s="1" t="s">
        <v>774</v>
      </c>
      <c r="C10817" s="1" t="str">
        <f>"22870-KSM-900HB"</f>
        <v>22870-KSM-900HB</v>
      </c>
      <c r="D10817" s="1" t="str">
        <f>"22870-KSM-900HB"</f>
        <v>22870-KSM-900HB</v>
      </c>
      <c r="E10817" s="1" t="s">
        <v>4579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</row>
    <row r="10818" spans="1:11" x14ac:dyDescent="0.2">
      <c r="A10818" s="1" t="s">
        <v>608</v>
      </c>
      <c r="B10818" s="1" t="s">
        <v>775</v>
      </c>
      <c r="C10818" s="1" t="str">
        <f>"66298810352451"</f>
        <v>66298810352451</v>
      </c>
      <c r="D10818" s="1" t="str">
        <f>"DJ-1910-01HB"</f>
        <v>DJ-1910-01HB</v>
      </c>
      <c r="E10818" s="1" t="s">
        <v>4579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</row>
    <row r="10819" spans="1:11" x14ac:dyDescent="0.2">
      <c r="A10819" s="1" t="s">
        <v>608</v>
      </c>
      <c r="B10819" s="1" t="s">
        <v>776</v>
      </c>
      <c r="C10819" s="1" t="str">
        <f>"66298810393230"</f>
        <v>66298810393230</v>
      </c>
      <c r="D10819" s="1" t="str">
        <f>"JF-1612-01HB"</f>
        <v>JF-1612-01HB</v>
      </c>
      <c r="E10819" s="1" t="s">
        <v>4579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</row>
    <row r="10820" spans="1:11" x14ac:dyDescent="0.2">
      <c r="A10820" s="1" t="s">
        <v>608</v>
      </c>
      <c r="B10820" s="1" t="s">
        <v>777</v>
      </c>
      <c r="C10820" s="1" t="str">
        <f>"66298810435386"</f>
        <v>66298810435386</v>
      </c>
      <c r="D10820" s="1" t="str">
        <f>"400608"</f>
        <v>400608</v>
      </c>
      <c r="E10820" s="1" t="s">
        <v>4579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</row>
    <row r="10821" spans="1:11" x14ac:dyDescent="0.2">
      <c r="A10821" s="1" t="s">
        <v>608</v>
      </c>
      <c r="B10821" s="1" t="s">
        <v>778</v>
      </c>
      <c r="C10821" s="1" t="str">
        <f>"66298810533838"</f>
        <v>66298810533838</v>
      </c>
      <c r="D10821" s="1" t="str">
        <f>"400610"</f>
        <v>400610</v>
      </c>
      <c r="E10821" s="1" t="s">
        <v>4579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</row>
    <row r="10822" spans="1:11" x14ac:dyDescent="0.2">
      <c r="A10822" s="1" t="s">
        <v>608</v>
      </c>
      <c r="B10822" s="1" t="s">
        <v>779</v>
      </c>
      <c r="C10822" s="1" t="str">
        <f>"66298810477288"</f>
        <v>66298810477288</v>
      </c>
      <c r="D10822" s="1" t="str">
        <f>"83172"</f>
        <v>83172</v>
      </c>
      <c r="E10822" s="1" t="s">
        <v>4579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</row>
    <row r="10823" spans="1:11" x14ac:dyDescent="0.2">
      <c r="A10823" s="1" t="s">
        <v>608</v>
      </c>
      <c r="B10823" s="1" t="s">
        <v>779</v>
      </c>
      <c r="C10823" s="1" t="str">
        <f>"66298810484427"</f>
        <v>66298810484427</v>
      </c>
      <c r="D10823" s="1" t="str">
        <f>"JL-1612-00HB"</f>
        <v>JL-1612-00HB</v>
      </c>
      <c r="E10823" s="1" t="s">
        <v>4579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</row>
    <row r="10824" spans="1:11" x14ac:dyDescent="0.2">
      <c r="A10824" s="1" t="s">
        <v>608</v>
      </c>
      <c r="B10824" s="1" t="s">
        <v>780</v>
      </c>
      <c r="C10824" s="1" t="str">
        <f>"66298810576552"</f>
        <v>66298810576552</v>
      </c>
      <c r="D10824" s="1" t="str">
        <f>"DK-1910-11HB"</f>
        <v>DK-1910-11HB</v>
      </c>
      <c r="E10824" s="1" t="s">
        <v>4579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</row>
    <row r="10825" spans="1:11" x14ac:dyDescent="0.2">
      <c r="A10825" s="1" t="s">
        <v>608</v>
      </c>
      <c r="B10825" s="1" t="s">
        <v>781</v>
      </c>
      <c r="C10825" s="1" t="str">
        <f>"66298810615598"</f>
        <v>66298810615598</v>
      </c>
      <c r="D10825" s="1" t="str">
        <f>"400611"</f>
        <v>400611</v>
      </c>
      <c r="E10825" s="1" t="s">
        <v>4579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</row>
    <row r="10826" spans="1:11" x14ac:dyDescent="0.2">
      <c r="A10826" s="1" t="s">
        <v>751</v>
      </c>
      <c r="B10826" s="1" t="s">
        <v>782</v>
      </c>
      <c r="C10826" s="1" t="str">
        <f>"EMKD00227"</f>
        <v>EMKD00227</v>
      </c>
      <c r="D10826" s="1" t="str">
        <f>"EMKD00227"</f>
        <v>EMKD00227</v>
      </c>
      <c r="E10826" s="1" t="s">
        <v>4579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</row>
    <row r="10827" spans="1:11" x14ac:dyDescent="0.2">
      <c r="A10827" s="1" t="s">
        <v>608</v>
      </c>
      <c r="B10827" s="1" t="s">
        <v>783</v>
      </c>
      <c r="C10827" s="1" t="str">
        <f>"66298810655662"</f>
        <v>66298810655662</v>
      </c>
      <c r="D10827" s="1" t="str">
        <f>"400239"</f>
        <v>400239</v>
      </c>
      <c r="E10827" s="1" t="s">
        <v>4579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</row>
    <row r="10828" spans="1:11" x14ac:dyDescent="0.2">
      <c r="A10828" s="1" t="s">
        <v>608</v>
      </c>
      <c r="B10828" s="1" t="s">
        <v>784</v>
      </c>
      <c r="C10828" s="1" t="str">
        <f>"66298810697656"</f>
        <v>66298810697656</v>
      </c>
      <c r="D10828" s="1" t="str">
        <f>"400615"</f>
        <v>400615</v>
      </c>
      <c r="E10828" s="1" t="s">
        <v>4579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</row>
    <row r="10829" spans="1:11" x14ac:dyDescent="0.2">
      <c r="A10829" s="1" t="s">
        <v>608</v>
      </c>
      <c r="B10829" s="1" t="s">
        <v>785</v>
      </c>
      <c r="C10829" s="1" t="str">
        <f>"66298810754998"</f>
        <v>66298810754998</v>
      </c>
      <c r="D10829" s="1" t="str">
        <f>"58200H37210H000"</f>
        <v>58200H37210H000</v>
      </c>
      <c r="E10829" s="1" t="s">
        <v>4579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</row>
    <row r="10830" spans="1:11" x14ac:dyDescent="0.2">
      <c r="A10830" s="1" t="s">
        <v>608</v>
      </c>
      <c r="B10830" s="1" t="s">
        <v>786</v>
      </c>
      <c r="C10830" s="1" t="str">
        <f>"BB007"</f>
        <v>BB007</v>
      </c>
      <c r="D10830" s="1" t="str">
        <f>"BB007"</f>
        <v>BB007</v>
      </c>
      <c r="E10830" s="1" t="s">
        <v>4579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</row>
    <row r="10831" spans="1:11" x14ac:dyDescent="0.2">
      <c r="A10831" s="1" t="s">
        <v>608</v>
      </c>
      <c r="B10831" s="1" t="s">
        <v>787</v>
      </c>
      <c r="C10831" s="1" t="str">
        <f>"66298810802359"</f>
        <v>66298810802359</v>
      </c>
      <c r="D10831" s="1" t="str">
        <f>"400617"</f>
        <v>400617</v>
      </c>
      <c r="E10831" s="1" t="s">
        <v>4579</v>
      </c>
      <c r="F10831" s="1">
        <v>1</v>
      </c>
      <c r="G10831" s="1">
        <v>516</v>
      </c>
      <c r="H10831" s="1">
        <v>516</v>
      </c>
      <c r="I10831" s="1">
        <v>0</v>
      </c>
      <c r="J10831" s="1">
        <v>1</v>
      </c>
      <c r="K10831" s="1">
        <v>0</v>
      </c>
    </row>
    <row r="10832" spans="1:11" x14ac:dyDescent="0.2">
      <c r="A10832" s="1" t="s">
        <v>608</v>
      </c>
      <c r="B10832" s="1" t="s">
        <v>788</v>
      </c>
      <c r="C10832" s="1" t="str">
        <f>"66298810894726"</f>
        <v>66298810894726</v>
      </c>
      <c r="D10832" s="1" t="str">
        <f>"400618"</f>
        <v>400618</v>
      </c>
      <c r="E10832" s="1" t="s">
        <v>4579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</row>
    <row r="10833" spans="1:11" x14ac:dyDescent="0.2">
      <c r="A10833" s="1" t="s">
        <v>608</v>
      </c>
      <c r="B10833" s="1" t="s">
        <v>789</v>
      </c>
      <c r="C10833" s="1" t="str">
        <f>"66298810844920"</f>
        <v>66298810844920</v>
      </c>
      <c r="D10833" s="1" t="str">
        <f>"22870-KRH-780"</f>
        <v>22870-KRH-780</v>
      </c>
      <c r="E10833" s="1" t="s">
        <v>4579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</row>
    <row r="10834" spans="1:11" x14ac:dyDescent="0.2">
      <c r="A10834" s="1" t="s">
        <v>608</v>
      </c>
      <c r="B10834" s="1" t="s">
        <v>789</v>
      </c>
      <c r="C10834" s="1" t="str">
        <f>"BB017"</f>
        <v>BB017</v>
      </c>
      <c r="D10834" s="1" t="str">
        <f>"BB017"</f>
        <v>BB017</v>
      </c>
      <c r="E10834" s="1" t="s">
        <v>4579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</row>
    <row r="10835" spans="1:11" x14ac:dyDescent="0.2">
      <c r="A10835" s="1" t="s">
        <v>608</v>
      </c>
      <c r="B10835" s="1" t="s">
        <v>790</v>
      </c>
      <c r="C10835" s="1" t="str">
        <f>"66298810933620"</f>
        <v>66298810933620</v>
      </c>
      <c r="D10835" s="1" t="str">
        <f>"400619"</f>
        <v>400619</v>
      </c>
      <c r="E10835" s="1" t="s">
        <v>4579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</row>
    <row r="10836" spans="1:11" x14ac:dyDescent="0.2">
      <c r="A10836" s="1" t="s">
        <v>608</v>
      </c>
      <c r="B10836" s="1" t="s">
        <v>791</v>
      </c>
      <c r="C10836" s="1" t="str">
        <f>"BB018"</f>
        <v>BB018</v>
      </c>
      <c r="D10836" s="1" t="str">
        <f>"BB018"</f>
        <v>BB018</v>
      </c>
      <c r="E10836" s="1" t="s">
        <v>4579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</row>
    <row r="10837" spans="1:11" x14ac:dyDescent="0.2">
      <c r="A10837" s="1" t="s">
        <v>608</v>
      </c>
      <c r="B10837" s="1" t="s">
        <v>792</v>
      </c>
      <c r="C10837" s="1" t="str">
        <f>"66298810972151"</f>
        <v>66298810972151</v>
      </c>
      <c r="D10837" s="1" t="str">
        <f>"22870-KBB-900BR"</f>
        <v>22870-KBB-900BR</v>
      </c>
      <c r="E10837" s="1" t="s">
        <v>4579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</row>
    <row r="10838" spans="1:11" x14ac:dyDescent="0.2">
      <c r="A10838" s="1" t="s">
        <v>608</v>
      </c>
      <c r="B10838" s="1" t="s">
        <v>793</v>
      </c>
      <c r="C10838" s="1" t="str">
        <f>"66298811059491"</f>
        <v>66298811059491</v>
      </c>
      <c r="D10838" s="1" t="str">
        <f>"400620"</f>
        <v>400620</v>
      </c>
      <c r="E10838" s="1" t="s">
        <v>4579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</row>
    <row r="10839" spans="1:11" x14ac:dyDescent="0.2">
      <c r="A10839" s="1" t="s">
        <v>608</v>
      </c>
      <c r="B10839" s="1" t="s">
        <v>794</v>
      </c>
      <c r="C10839" s="1" t="str">
        <f>"66298811015606"</f>
        <v>66298811015606</v>
      </c>
      <c r="D10839" s="1" t="str">
        <f>"22870-KPF-900BR"</f>
        <v>22870-KPF-900BR</v>
      </c>
      <c r="E10839" s="1" t="s">
        <v>4579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</row>
    <row r="10840" spans="1:11" x14ac:dyDescent="0.2">
      <c r="A10840" s="1" t="s">
        <v>608</v>
      </c>
      <c r="B10840" s="1" t="s">
        <v>795</v>
      </c>
      <c r="C10840" s="1" t="str">
        <f>"66298811104425"</f>
        <v>66298811104425</v>
      </c>
      <c r="D10840" s="1" t="str">
        <f>"22870-KPE-870JP"</f>
        <v>22870-KPE-870JP</v>
      </c>
      <c r="E10840" s="1" t="s">
        <v>4579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</row>
    <row r="10841" spans="1:11" x14ac:dyDescent="0.2">
      <c r="A10841" s="1" t="s">
        <v>608</v>
      </c>
      <c r="B10841" s="1" t="s">
        <v>796</v>
      </c>
      <c r="C10841" s="1" t="str">
        <f>"66298811147623"</f>
        <v>66298811147623</v>
      </c>
      <c r="D10841" s="1" t="str">
        <f>"22870-KWT-700HB"</f>
        <v>22870-KWT-700HB</v>
      </c>
      <c r="E10841" s="1" t="s">
        <v>4579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</row>
    <row r="10842" spans="1:11" x14ac:dyDescent="0.2">
      <c r="A10842" s="1" t="s">
        <v>608</v>
      </c>
      <c r="B10842" s="1" t="s">
        <v>796</v>
      </c>
      <c r="C10842" s="1" t="str">
        <f>"66298811186726"</f>
        <v>66298811186726</v>
      </c>
      <c r="D10842" s="1" t="str">
        <f>"22870-KWT-900BR"</f>
        <v>22870-KWT-900BR</v>
      </c>
      <c r="E10842" s="1" t="s">
        <v>4579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</row>
    <row r="10843" spans="1:11" x14ac:dyDescent="0.2">
      <c r="A10843" s="1" t="s">
        <v>608</v>
      </c>
      <c r="B10843" s="1" t="s">
        <v>797</v>
      </c>
      <c r="C10843" s="1" t="str">
        <f>"4B4-26335-00HB"</f>
        <v>4B4-26335-00HB</v>
      </c>
      <c r="D10843" s="1" t="str">
        <f>"4B4-26335-00HB"</f>
        <v>4B4-26335-00HB</v>
      </c>
      <c r="E10843" s="1" t="s">
        <v>4579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</row>
    <row r="10844" spans="1:11" x14ac:dyDescent="0.2">
      <c r="A10844" s="1" t="s">
        <v>608</v>
      </c>
      <c r="B10844" s="1" t="s">
        <v>798</v>
      </c>
      <c r="C10844" s="1" t="str">
        <f>"BB006"</f>
        <v>BB006</v>
      </c>
      <c r="D10844" s="1" t="str">
        <f>"BB006"</f>
        <v>BB006</v>
      </c>
      <c r="E10844" s="1" t="s">
        <v>4579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</row>
    <row r="10845" spans="1:11" x14ac:dyDescent="0.2">
      <c r="A10845" s="1" t="s">
        <v>608</v>
      </c>
      <c r="B10845" s="1" t="s">
        <v>799</v>
      </c>
      <c r="C10845" s="1" t="str">
        <f>"2180"</f>
        <v>2180</v>
      </c>
      <c r="D10845" s="1" t="str">
        <f>"2180"</f>
        <v>2180</v>
      </c>
      <c r="E10845" s="1" t="s">
        <v>4579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</row>
    <row r="10846" spans="1:11" x14ac:dyDescent="0.2">
      <c r="A10846" s="1" t="s">
        <v>608</v>
      </c>
      <c r="B10846" s="1" t="s">
        <v>800</v>
      </c>
      <c r="C10846" s="1" t="str">
        <f>"251"</f>
        <v>251</v>
      </c>
      <c r="D10846" s="1" t="str">
        <f>"251"</f>
        <v>251</v>
      </c>
      <c r="E10846" s="1" t="s">
        <v>4579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</row>
    <row r="10847" spans="1:11" x14ac:dyDescent="0.2">
      <c r="A10847" s="1" t="s">
        <v>608</v>
      </c>
      <c r="B10847" s="1" t="s">
        <v>801</v>
      </c>
      <c r="C10847" s="1" t="str">
        <f>"9638"</f>
        <v>9638</v>
      </c>
      <c r="D10847" s="1" t="str">
        <f>"9638"</f>
        <v>9638</v>
      </c>
      <c r="E10847" s="1" t="s">
        <v>4579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</row>
    <row r="10848" spans="1:11" x14ac:dyDescent="0.2">
      <c r="A10848" s="1" t="s">
        <v>608</v>
      </c>
      <c r="B10848" s="1" t="s">
        <v>802</v>
      </c>
      <c r="C10848" s="1" t="str">
        <f>"66298811266467"</f>
        <v>66298811266467</v>
      </c>
      <c r="D10848" s="1" t="str">
        <f>"82071"</f>
        <v>82071</v>
      </c>
      <c r="E10848" s="1" t="s">
        <v>4579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</row>
    <row r="10849" spans="1:11" x14ac:dyDescent="0.2">
      <c r="A10849" s="1" t="s">
        <v>608</v>
      </c>
      <c r="B10849" s="1" t="s">
        <v>803</v>
      </c>
      <c r="C10849" s="1" t="str">
        <f>"66298811306083"</f>
        <v>66298811306083</v>
      </c>
      <c r="D10849" s="1" t="str">
        <f>"82074"</f>
        <v>82074</v>
      </c>
      <c r="E10849" s="1" t="s">
        <v>4579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</row>
    <row r="10850" spans="1:11" x14ac:dyDescent="0.2">
      <c r="A10850" s="1" t="s">
        <v>608</v>
      </c>
      <c r="B10850" s="1" t="s">
        <v>804</v>
      </c>
      <c r="C10850" s="1" t="str">
        <f>"BE004"</f>
        <v>BE004</v>
      </c>
      <c r="D10850" s="1" t="str">
        <f>"BE004"</f>
        <v>BE004</v>
      </c>
      <c r="E10850" s="1" t="s">
        <v>4579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</row>
    <row r="10851" spans="1:11" x14ac:dyDescent="0.2">
      <c r="A10851" s="1" t="s">
        <v>608</v>
      </c>
      <c r="B10851" s="1" t="s">
        <v>805</v>
      </c>
      <c r="C10851" s="1" t="str">
        <f>"BE002"</f>
        <v>BE002</v>
      </c>
      <c r="D10851" s="1" t="str">
        <f>"BE002"</f>
        <v>BE002</v>
      </c>
      <c r="E10851" s="1" t="s">
        <v>4579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</row>
    <row r="10852" spans="1:11" x14ac:dyDescent="0.2">
      <c r="A10852" s="1" t="s">
        <v>608</v>
      </c>
      <c r="B10852" s="1" t="s">
        <v>806</v>
      </c>
      <c r="C10852" s="1" t="str">
        <f>"66298811349272"</f>
        <v>66298811349272</v>
      </c>
      <c r="D10852" s="1" t="str">
        <f>"400592"</f>
        <v>400592</v>
      </c>
      <c r="E10852" s="1" t="s">
        <v>4579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</row>
    <row r="10853" spans="1:11" x14ac:dyDescent="0.2">
      <c r="A10853" s="1" t="s">
        <v>608</v>
      </c>
      <c r="B10853" s="1" t="s">
        <v>807</v>
      </c>
      <c r="C10853" s="1" t="str">
        <f>"66298811388842"</f>
        <v>66298811388842</v>
      </c>
      <c r="D10853" s="1" t="str">
        <f>"58510-33GE1-000"</f>
        <v>58510-33GE1-000</v>
      </c>
      <c r="E10853" s="1" t="s">
        <v>4579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</row>
    <row r="10854" spans="1:11" x14ac:dyDescent="0.2">
      <c r="A10854" s="1" t="s">
        <v>18</v>
      </c>
      <c r="B10854" s="1" t="s">
        <v>808</v>
      </c>
      <c r="C10854" s="1" t="str">
        <f>"LX1254-CASW"</f>
        <v>LX1254-CASW</v>
      </c>
      <c r="D10854" s="1" t="str">
        <f>"LX1254-CASW"</f>
        <v>LX1254-CASW</v>
      </c>
      <c r="E10854" s="1" t="s">
        <v>4579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</row>
    <row r="10855" spans="1:11" x14ac:dyDescent="0.2">
      <c r="A10855" s="1" t="s">
        <v>608</v>
      </c>
      <c r="B10855" s="1" t="s">
        <v>809</v>
      </c>
      <c r="C10855" s="1" t="str">
        <f>"BD005"</f>
        <v>BD005</v>
      </c>
      <c r="D10855" s="1" t="str">
        <f>"BD005"</f>
        <v>BD005</v>
      </c>
      <c r="E10855" s="1" t="s">
        <v>4579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</row>
    <row r="10856" spans="1:11" x14ac:dyDescent="0.2">
      <c r="A10856" s="1" t="s">
        <v>608</v>
      </c>
      <c r="B10856" s="1" t="s">
        <v>810</v>
      </c>
      <c r="C10856" s="1" t="str">
        <f>"66298811469496"</f>
        <v>66298811469496</v>
      </c>
      <c r="D10856" s="1" t="str">
        <f>"400647"</f>
        <v>400647</v>
      </c>
      <c r="E10856" s="1" t="s">
        <v>4579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</row>
    <row r="10857" spans="1:11" x14ac:dyDescent="0.2">
      <c r="A10857" s="1" t="s">
        <v>608</v>
      </c>
      <c r="B10857" s="1" t="s">
        <v>811</v>
      </c>
      <c r="C10857" s="1" t="str">
        <f>"34940-05380"</f>
        <v>34940-05380</v>
      </c>
      <c r="D10857" s="1" t="str">
        <f>"34940-05380"</f>
        <v>34940-05380</v>
      </c>
      <c r="E10857" s="1" t="s">
        <v>4579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</row>
    <row r="10858" spans="1:11" x14ac:dyDescent="0.2">
      <c r="A10858" s="1" t="s">
        <v>608</v>
      </c>
      <c r="B10858" s="1" t="s">
        <v>812</v>
      </c>
      <c r="C10858" s="1" t="str">
        <f>"1175"</f>
        <v>1175</v>
      </c>
      <c r="D10858" s="1" t="str">
        <f>"1175"</f>
        <v>1175</v>
      </c>
      <c r="E10858" s="1" t="s">
        <v>4579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</row>
    <row r="10859" spans="1:11" x14ac:dyDescent="0.2">
      <c r="A10859" s="1" t="s">
        <v>608</v>
      </c>
      <c r="B10859" s="1" t="s">
        <v>813</v>
      </c>
      <c r="C10859" s="1" t="str">
        <f>"1052"</f>
        <v>1052</v>
      </c>
      <c r="D10859" s="1" t="str">
        <f>"1052"</f>
        <v>1052</v>
      </c>
      <c r="E10859" s="1" t="s">
        <v>4579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</row>
    <row r="10860" spans="1:11" x14ac:dyDescent="0.2">
      <c r="A10860" s="1" t="s">
        <v>608</v>
      </c>
      <c r="B10860" s="1" t="s">
        <v>814</v>
      </c>
      <c r="C10860" s="1" t="str">
        <f>"66298811554150"</f>
        <v>66298811554150</v>
      </c>
      <c r="D10860" s="1" t="str">
        <f>"84904"</f>
        <v>84904</v>
      </c>
      <c r="E10860" s="1" t="s">
        <v>4579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</row>
    <row r="10861" spans="1:11" x14ac:dyDescent="0.2">
      <c r="A10861" s="1" t="s">
        <v>608</v>
      </c>
      <c r="B10861" s="1" t="s">
        <v>815</v>
      </c>
      <c r="C10861" s="1" t="str">
        <f>"66298811592029"</f>
        <v>66298811592029</v>
      </c>
      <c r="D10861" s="1" t="str">
        <f>"82838"</f>
        <v>82838</v>
      </c>
      <c r="E10861" s="1" t="s">
        <v>4579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</row>
    <row r="10862" spans="1:11" x14ac:dyDescent="0.2">
      <c r="A10862" s="1" t="s">
        <v>816</v>
      </c>
      <c r="B10862" s="1" t="s">
        <v>817</v>
      </c>
      <c r="C10862" s="1" t="str">
        <f>"66298811632096"</f>
        <v>66298811632096</v>
      </c>
      <c r="D10862" s="1" t="str">
        <f>"VD05FP"</f>
        <v>VD05FP</v>
      </c>
      <c r="E10862" s="1" t="s">
        <v>4579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</row>
    <row r="10863" spans="1:11" x14ac:dyDescent="0.2">
      <c r="A10863" s="1" t="s">
        <v>816</v>
      </c>
      <c r="B10863" s="1" t="s">
        <v>818</v>
      </c>
      <c r="C10863" s="1" t="str">
        <f>"66298811674841"</f>
        <v>66298811674841</v>
      </c>
      <c r="D10863" s="1" t="str">
        <f>"49CC11"</f>
        <v>49CC11</v>
      </c>
      <c r="E10863" s="1" t="s">
        <v>4579</v>
      </c>
      <c r="F10863" s="1">
        <v>1</v>
      </c>
      <c r="G10863" s="1">
        <v>432</v>
      </c>
      <c r="H10863" s="1">
        <v>432</v>
      </c>
      <c r="I10863" s="1">
        <v>0</v>
      </c>
      <c r="J10863" s="1">
        <v>1</v>
      </c>
      <c r="K10863" s="1">
        <v>0</v>
      </c>
    </row>
    <row r="10864" spans="1:11" x14ac:dyDescent="0.2">
      <c r="A10864" s="1" t="s">
        <v>816</v>
      </c>
      <c r="B10864" s="1" t="s">
        <v>819</v>
      </c>
      <c r="C10864" s="1" t="str">
        <f>"80990"</f>
        <v>80990</v>
      </c>
      <c r="D10864" s="1" t="str">
        <f>"80990"</f>
        <v>80990</v>
      </c>
      <c r="E10864" s="1" t="s">
        <v>4579</v>
      </c>
      <c r="F10864" s="1">
        <v>1</v>
      </c>
      <c r="G10864" s="1">
        <v>480</v>
      </c>
      <c r="H10864" s="1">
        <v>480</v>
      </c>
      <c r="I10864" s="1">
        <v>0</v>
      </c>
      <c r="J10864" s="1">
        <v>1</v>
      </c>
      <c r="K10864" s="1">
        <v>0</v>
      </c>
    </row>
    <row r="10865" spans="1:11" x14ac:dyDescent="0.2">
      <c r="A10865" s="1" t="s">
        <v>816</v>
      </c>
      <c r="B10865" s="1" t="s">
        <v>819</v>
      </c>
      <c r="C10865" s="1" t="str">
        <f>"LA001"</f>
        <v>LA001</v>
      </c>
      <c r="D10865" s="1" t="str">
        <f>"LA001"</f>
        <v>LA001</v>
      </c>
      <c r="E10865" s="1" t="s">
        <v>4579</v>
      </c>
      <c r="F10865" s="1">
        <v>3</v>
      </c>
      <c r="G10865" s="1">
        <v>464</v>
      </c>
      <c r="H10865" s="1">
        <v>1392</v>
      </c>
      <c r="I10865" s="1">
        <v>0</v>
      </c>
      <c r="J10865" s="1">
        <v>3</v>
      </c>
      <c r="K10865" s="1">
        <v>0</v>
      </c>
    </row>
    <row r="10866" spans="1:11" x14ac:dyDescent="0.2">
      <c r="A10866" s="1" t="s">
        <v>816</v>
      </c>
      <c r="B10866" s="1" t="s">
        <v>820</v>
      </c>
      <c r="C10866" s="1" t="str">
        <f>"66298811773631"</f>
        <v>66298811773631</v>
      </c>
      <c r="D10866" s="1" t="str">
        <f>"80991"</f>
        <v>80991</v>
      </c>
      <c r="E10866" s="1" t="s">
        <v>4579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</row>
    <row r="10867" spans="1:11" x14ac:dyDescent="0.2">
      <c r="A10867" s="1" t="s">
        <v>816</v>
      </c>
      <c r="B10867" s="1" t="s">
        <v>821</v>
      </c>
      <c r="C10867" s="1" t="str">
        <f>"JG351201"</f>
        <v>JG351201</v>
      </c>
      <c r="D10867" s="1" t="str">
        <f>"JG351201"</f>
        <v>JG351201</v>
      </c>
      <c r="E10867" s="1" t="s">
        <v>4579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</row>
    <row r="10868" spans="1:11" x14ac:dyDescent="0.2">
      <c r="A10868" s="1" t="s">
        <v>816</v>
      </c>
      <c r="B10868" s="1" t="s">
        <v>822</v>
      </c>
      <c r="C10868" s="1" t="str">
        <f>"66298811814785"</f>
        <v>66298811814785</v>
      </c>
      <c r="D10868" s="1" t="str">
        <f>"LA004"</f>
        <v>LA004</v>
      </c>
      <c r="E10868" s="1" t="s">
        <v>4579</v>
      </c>
      <c r="F10868" s="1">
        <v>1</v>
      </c>
      <c r="G10868" s="1">
        <v>621</v>
      </c>
      <c r="H10868" s="1">
        <v>621</v>
      </c>
      <c r="I10868" s="1">
        <v>0</v>
      </c>
      <c r="J10868" s="1">
        <v>1</v>
      </c>
      <c r="K10868" s="1">
        <v>0</v>
      </c>
    </row>
    <row r="10869" spans="1:11" x14ac:dyDescent="0.2">
      <c r="A10869" s="1" t="s">
        <v>816</v>
      </c>
      <c r="B10869" s="1" t="s">
        <v>823</v>
      </c>
      <c r="C10869" s="1" t="str">
        <f>"LA003"</f>
        <v>LA003</v>
      </c>
      <c r="D10869" s="1" t="str">
        <f>"LA003"</f>
        <v>LA003</v>
      </c>
      <c r="E10869" s="1" t="s">
        <v>4579</v>
      </c>
      <c r="F10869" s="1">
        <v>3</v>
      </c>
      <c r="G10869" s="1">
        <v>620</v>
      </c>
      <c r="H10869" s="1">
        <v>1860</v>
      </c>
      <c r="I10869" s="1">
        <v>0</v>
      </c>
      <c r="J10869" s="1">
        <v>3</v>
      </c>
      <c r="K10869" s="1">
        <v>0</v>
      </c>
    </row>
    <row r="10870" spans="1:11" x14ac:dyDescent="0.2">
      <c r="A10870" s="1" t="s">
        <v>816</v>
      </c>
      <c r="B10870" s="1" t="s">
        <v>824</v>
      </c>
      <c r="C10870" s="1" t="str">
        <f>"66298811894055"</f>
        <v>66298811894055</v>
      </c>
      <c r="D10870" s="1" t="str">
        <f>"80988"</f>
        <v>80988</v>
      </c>
      <c r="E10870" s="1" t="s">
        <v>4579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</row>
    <row r="10871" spans="1:11" x14ac:dyDescent="0.2">
      <c r="A10871" s="1" t="s">
        <v>816</v>
      </c>
      <c r="B10871" s="1" t="s">
        <v>825</v>
      </c>
      <c r="C10871" s="1" t="str">
        <f>"LA005"</f>
        <v>LA005</v>
      </c>
      <c r="D10871" s="1" t="str">
        <f>"LA005"</f>
        <v>LA005</v>
      </c>
      <c r="E10871" s="1" t="s">
        <v>4579</v>
      </c>
      <c r="F10871" s="1">
        <v>3</v>
      </c>
      <c r="G10871" s="1">
        <v>590</v>
      </c>
      <c r="H10871" s="1">
        <v>1770</v>
      </c>
      <c r="I10871" s="1">
        <v>0</v>
      </c>
      <c r="J10871" s="1">
        <v>3</v>
      </c>
      <c r="K10871" s="1">
        <v>0</v>
      </c>
    </row>
    <row r="10872" spans="1:11" x14ac:dyDescent="0.2">
      <c r="A10872" s="1" t="s">
        <v>816</v>
      </c>
      <c r="B10872" s="1" t="s">
        <v>826</v>
      </c>
      <c r="C10872" s="1" t="str">
        <f>"66298811968765"</f>
        <v>66298811968765</v>
      </c>
      <c r="D10872" s="1" t="str">
        <f>"CACHIMBA-NARANJA"</f>
        <v>CACHIMBA-NARANJA</v>
      </c>
      <c r="E10872" s="1" t="s">
        <v>4579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</row>
    <row r="10873" spans="1:11" x14ac:dyDescent="0.2">
      <c r="A10873" s="1" t="s">
        <v>816</v>
      </c>
      <c r="B10873" s="1" t="s">
        <v>826</v>
      </c>
      <c r="C10873" s="1" t="str">
        <f>"66298811974170"</f>
        <v>66298811974170</v>
      </c>
      <c r="D10873" s="1" t="str">
        <f>"CACHIMBA-VERDE"</f>
        <v>CACHIMBA-VERDE</v>
      </c>
      <c r="E10873" s="1" t="s">
        <v>4579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</row>
    <row r="10874" spans="1:11" x14ac:dyDescent="0.2">
      <c r="A10874" s="1" t="s">
        <v>816</v>
      </c>
      <c r="B10874" s="1" t="s">
        <v>826</v>
      </c>
      <c r="C10874" s="1" t="str">
        <f>"66298811981610"</f>
        <v>66298811981610</v>
      </c>
      <c r="D10874" s="1" t="str">
        <f>"CACHIMBA-AZUL"</f>
        <v>CACHIMBA-AZUL</v>
      </c>
      <c r="E10874" s="1" t="s">
        <v>4579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</row>
    <row r="10875" spans="1:11" x14ac:dyDescent="0.2">
      <c r="A10875" s="1" t="s">
        <v>816</v>
      </c>
      <c r="B10875" s="1" t="s">
        <v>827</v>
      </c>
      <c r="C10875" s="1" t="str">
        <f>"66298812047511"</f>
        <v>66298812047511</v>
      </c>
      <c r="D10875" s="1" t="str">
        <f>"80992"</f>
        <v>80992</v>
      </c>
      <c r="E10875" s="1" t="s">
        <v>4579</v>
      </c>
      <c r="F10875" s="1">
        <v>1</v>
      </c>
      <c r="G10875" s="1">
        <v>559</v>
      </c>
      <c r="H10875" s="1">
        <v>559</v>
      </c>
      <c r="I10875" s="1">
        <v>0</v>
      </c>
      <c r="J10875" s="1">
        <v>1</v>
      </c>
      <c r="K10875" s="1">
        <v>0</v>
      </c>
    </row>
    <row r="10876" spans="1:11" x14ac:dyDescent="0.2">
      <c r="A10876" s="1" t="s">
        <v>816</v>
      </c>
      <c r="B10876" s="1" t="s">
        <v>828</v>
      </c>
      <c r="C10876" s="1" t="str">
        <f>"66298812087861"</f>
        <v>66298812087861</v>
      </c>
      <c r="D10876" s="1" t="str">
        <f>"20P-H2370-01"</f>
        <v>20P-H2370-01</v>
      </c>
      <c r="E10876" s="1" t="s">
        <v>4579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</row>
    <row r="10877" spans="1:11" x14ac:dyDescent="0.2">
      <c r="A10877" s="1" t="s">
        <v>816</v>
      </c>
      <c r="B10877" s="1" t="s">
        <v>828</v>
      </c>
      <c r="C10877" s="1" t="str">
        <f>"66298812131413"</f>
        <v>66298812131413</v>
      </c>
      <c r="D10877" s="1" t="str">
        <f>"LA002"</f>
        <v>LA002</v>
      </c>
      <c r="E10877" s="1" t="s">
        <v>4579</v>
      </c>
      <c r="F10877" s="1">
        <v>1</v>
      </c>
      <c r="G10877" s="1">
        <v>522</v>
      </c>
      <c r="H10877" s="1">
        <v>522</v>
      </c>
      <c r="I10877" s="1">
        <v>0</v>
      </c>
      <c r="J10877" s="1">
        <v>1</v>
      </c>
      <c r="K10877" s="1">
        <v>0</v>
      </c>
    </row>
    <row r="10878" spans="1:11" x14ac:dyDescent="0.2">
      <c r="A10878" s="1" t="s">
        <v>829</v>
      </c>
      <c r="B10878" s="1" t="s">
        <v>830</v>
      </c>
      <c r="C10878" s="1" t="str">
        <f>"420-110JPNPC"</f>
        <v>420-110JPNPC</v>
      </c>
      <c r="D10878" s="1" t="str">
        <f>"420-110JPNPC"</f>
        <v>420-110JPNPC</v>
      </c>
      <c r="E10878" s="1" t="s">
        <v>4579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</row>
    <row r="10879" spans="1:11" x14ac:dyDescent="0.2">
      <c r="A10879" s="1" t="s">
        <v>829</v>
      </c>
      <c r="B10879" s="1" t="s">
        <v>831</v>
      </c>
      <c r="C10879" s="1" t="str">
        <f>"66298812174145"</f>
        <v>66298812174145</v>
      </c>
      <c r="D10879" s="1" t="str">
        <f>"420-126CHOHO"</f>
        <v>420-126CHOHO</v>
      </c>
      <c r="E10879" s="1" t="s">
        <v>4579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</row>
    <row r="10880" spans="1:11" x14ac:dyDescent="0.2">
      <c r="A10880" s="1" t="s">
        <v>829</v>
      </c>
      <c r="B10880" s="1" t="s">
        <v>832</v>
      </c>
      <c r="C10880" s="1" t="str">
        <f>"428H-110JPNPC"</f>
        <v>428H-110JPNPC</v>
      </c>
      <c r="D10880" s="1" t="str">
        <f>"428H-110JPNPC"</f>
        <v>428H-110JPNPC</v>
      </c>
      <c r="E10880" s="1" t="s">
        <v>4579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</row>
    <row r="10881" spans="1:11" x14ac:dyDescent="0.2">
      <c r="A10881" s="1" t="s">
        <v>829</v>
      </c>
      <c r="B10881" s="1" t="s">
        <v>833</v>
      </c>
      <c r="C10881" s="1" t="str">
        <f>"428H-120JPNPC"</f>
        <v>428H-120JPNPC</v>
      </c>
      <c r="D10881" s="1" t="str">
        <f>"428H-120JPNPC"</f>
        <v>428H-120JPNPC</v>
      </c>
      <c r="E10881" s="1" t="s">
        <v>4579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</row>
    <row r="10882" spans="1:11" x14ac:dyDescent="0.2">
      <c r="A10882" s="1" t="s">
        <v>829</v>
      </c>
      <c r="B10882" s="1" t="s">
        <v>834</v>
      </c>
      <c r="C10882" s="1" t="str">
        <f>"428H-124JPNPC"</f>
        <v>428H-124JPNPC</v>
      </c>
      <c r="D10882" s="1" t="str">
        <f>"428H-124JPNPC"</f>
        <v>428H-124JPNPC</v>
      </c>
      <c r="E10882" s="1" t="s">
        <v>4579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</row>
    <row r="10883" spans="1:11" x14ac:dyDescent="0.2">
      <c r="A10883" s="1" t="s">
        <v>829</v>
      </c>
      <c r="B10883" s="1" t="s">
        <v>835</v>
      </c>
      <c r="C10883" s="1" t="str">
        <f>"428H-132JPNPC"</f>
        <v>428H-132JPNPC</v>
      </c>
      <c r="D10883" s="1" t="str">
        <f>"428H-132JPNPC"</f>
        <v>428H-132JPNPC</v>
      </c>
      <c r="E10883" s="1" t="s">
        <v>4579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</row>
    <row r="10884" spans="1:11" x14ac:dyDescent="0.2">
      <c r="A10884" s="1" t="s">
        <v>829</v>
      </c>
      <c r="B10884" s="1" t="s">
        <v>836</v>
      </c>
      <c r="C10884" s="1" t="str">
        <f>"428H-134JP-DID"</f>
        <v>428H-134JP-DID</v>
      </c>
      <c r="D10884" s="1" t="str">
        <f>"428H-134JP-DID"</f>
        <v>428H-134JP-DID</v>
      </c>
      <c r="E10884" s="1" t="s">
        <v>4579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</row>
    <row r="10885" spans="1:11" x14ac:dyDescent="0.2">
      <c r="A10885" s="1" t="s">
        <v>829</v>
      </c>
      <c r="B10885" s="1" t="s">
        <v>837</v>
      </c>
      <c r="C10885" s="1" t="str">
        <f>"428H-140L-RF-DR"</f>
        <v>428H-140L-RF-DR</v>
      </c>
      <c r="D10885" s="1" t="str">
        <f>"428H-140L-RF-DR"</f>
        <v>428H-140L-RF-DR</v>
      </c>
      <c r="E10885" s="1" t="s">
        <v>4579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</row>
    <row r="10886" spans="1:11" x14ac:dyDescent="0.2">
      <c r="A10886" s="1" t="s">
        <v>829</v>
      </c>
      <c r="B10886" s="1" t="s">
        <v>838</v>
      </c>
      <c r="C10886" s="1" t="str">
        <f>"428H-140L-RF"</f>
        <v>428H-140L-RF</v>
      </c>
      <c r="D10886" s="1" t="str">
        <f>"428H-140L-RF"</f>
        <v>428H-140L-RF</v>
      </c>
      <c r="E10886" s="1" t="s">
        <v>4579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</row>
    <row r="10887" spans="1:11" x14ac:dyDescent="0.2">
      <c r="A10887" s="1" t="s">
        <v>829</v>
      </c>
      <c r="B10887" s="1" t="s">
        <v>839</v>
      </c>
      <c r="C10887" s="1" t="str">
        <f>"428H-140L-TAYA"</f>
        <v>428H-140L-TAYA</v>
      </c>
      <c r="D10887" s="1" t="str">
        <f>"428H-140L-TAYA"</f>
        <v>428H-140L-TAYA</v>
      </c>
      <c r="E10887" s="1" t="s">
        <v>4579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</row>
    <row r="10888" spans="1:11" x14ac:dyDescent="0.2">
      <c r="A10888" s="1" t="s">
        <v>829</v>
      </c>
      <c r="B10888" s="1" t="s">
        <v>840</v>
      </c>
      <c r="C10888" s="1" t="str">
        <f>"66298812213927"</f>
        <v>66298812213927</v>
      </c>
      <c r="D10888" s="1" t="str">
        <f>"428H-140VN"</f>
        <v>428H-140VN</v>
      </c>
      <c r="E10888" s="1" t="s">
        <v>4579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</row>
    <row r="10889" spans="1:11" x14ac:dyDescent="0.2">
      <c r="A10889" s="1" t="s">
        <v>829</v>
      </c>
      <c r="B10889" s="1" t="s">
        <v>841</v>
      </c>
      <c r="C10889" s="1" t="str">
        <f>"428H-142L-RF"</f>
        <v>428H-142L-RF</v>
      </c>
      <c r="D10889" s="1" t="str">
        <f>"428H-142L-RF"</f>
        <v>428H-142L-RF</v>
      </c>
      <c r="E10889" s="1" t="s">
        <v>4579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</row>
    <row r="10890" spans="1:11" x14ac:dyDescent="0.2">
      <c r="A10890" s="1" t="s">
        <v>829</v>
      </c>
      <c r="B10890" s="1" t="s">
        <v>842</v>
      </c>
      <c r="C10890" s="1" t="str">
        <f>"428H-150JPNPC"</f>
        <v>428H-150JPNPC</v>
      </c>
      <c r="D10890" s="1" t="str">
        <f>"428H-150JPNPC"</f>
        <v>428H-150JPNPC</v>
      </c>
      <c r="E10890" s="1" t="s">
        <v>4579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</row>
    <row r="10891" spans="1:11" x14ac:dyDescent="0.2">
      <c r="A10891" s="1" t="s">
        <v>829</v>
      </c>
      <c r="B10891" s="1" t="s">
        <v>843</v>
      </c>
      <c r="C10891" s="1" t="str">
        <f>"428OH-140RIFFEL"</f>
        <v>428OH-140RIFFEL</v>
      </c>
      <c r="D10891" s="1" t="str">
        <f>"428OH-140RIFFEL"</f>
        <v>428OH-140RIFFEL</v>
      </c>
      <c r="E10891" s="1" t="s">
        <v>4579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</row>
    <row r="10892" spans="1:11" x14ac:dyDescent="0.2">
      <c r="A10892" s="1" t="s">
        <v>829</v>
      </c>
      <c r="B10892" s="1" t="s">
        <v>844</v>
      </c>
      <c r="C10892" s="1" t="str">
        <f>"428VX124JP"</f>
        <v>428VX124JP</v>
      </c>
      <c r="D10892" s="1" t="str">
        <f>"428VX124JP"</f>
        <v>428VX124JP</v>
      </c>
      <c r="E10892" s="1" t="s">
        <v>4579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</row>
    <row r="10893" spans="1:11" x14ac:dyDescent="0.2">
      <c r="A10893" s="1" t="s">
        <v>829</v>
      </c>
      <c r="B10893" s="1" t="s">
        <v>845</v>
      </c>
      <c r="C10893" s="1" t="str">
        <f>"66298812254734"</f>
        <v>66298812254734</v>
      </c>
      <c r="D10893" s="1" t="str">
        <f>"428VX132JP"</f>
        <v>428VX132JP</v>
      </c>
      <c r="E10893" s="1" t="s">
        <v>4579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</row>
    <row r="10894" spans="1:11" x14ac:dyDescent="0.2">
      <c r="A10894" s="1" t="s">
        <v>829</v>
      </c>
      <c r="B10894" s="1" t="s">
        <v>846</v>
      </c>
      <c r="C10894" s="1" t="str">
        <f>"520-104JPNPC"</f>
        <v>520-104JPNPC</v>
      </c>
      <c r="D10894" s="1" t="str">
        <f>"520-104JPNPC"</f>
        <v>520-104JPNPC</v>
      </c>
      <c r="E10894" s="1" t="s">
        <v>4579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</row>
    <row r="10895" spans="1:11" x14ac:dyDescent="0.2">
      <c r="A10895" s="1" t="s">
        <v>829</v>
      </c>
      <c r="B10895" s="1" t="s">
        <v>847</v>
      </c>
      <c r="C10895" s="1" t="str">
        <f>"66298812294677"</f>
        <v>66298812294677</v>
      </c>
      <c r="D10895" s="1" t="str">
        <f>"520H-110JPNPC"</f>
        <v>520H-110JPNPC</v>
      </c>
      <c r="E10895" s="1" t="s">
        <v>4579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</row>
    <row r="10896" spans="1:11" x14ac:dyDescent="0.2">
      <c r="A10896" s="1" t="s">
        <v>829</v>
      </c>
      <c r="B10896" s="1" t="s">
        <v>848</v>
      </c>
      <c r="C10896" s="1" t="str">
        <f>"520H-120JPNPC"</f>
        <v>520H-120JPNPC</v>
      </c>
      <c r="D10896" s="1" t="str">
        <f>"520H-120JPNPC"</f>
        <v>520H-120JPNPC</v>
      </c>
      <c r="E10896" s="1" t="s">
        <v>4579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</row>
    <row r="10897" spans="1:11" x14ac:dyDescent="0.2">
      <c r="A10897" s="1" t="s">
        <v>829</v>
      </c>
      <c r="B10897" s="1" t="s">
        <v>849</v>
      </c>
      <c r="C10897" s="1" t="str">
        <f>"520OH-120RF"</f>
        <v>520OH-120RF</v>
      </c>
      <c r="D10897" s="1" t="str">
        <f>"520OH-120RF"</f>
        <v>520OH-120RF</v>
      </c>
      <c r="E10897" s="1" t="s">
        <v>4579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</row>
    <row r="10898" spans="1:11" x14ac:dyDescent="0.2">
      <c r="A10898" s="1" t="s">
        <v>829</v>
      </c>
      <c r="B10898" s="1" t="s">
        <v>850</v>
      </c>
      <c r="C10898" s="1" t="str">
        <f>"520H-120RF"</f>
        <v>520H-120RF</v>
      </c>
      <c r="D10898" s="1" t="str">
        <f>"520H-120RF"</f>
        <v>520H-120RF</v>
      </c>
      <c r="E10898" s="1" t="s">
        <v>4579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</row>
    <row r="10899" spans="1:11" x14ac:dyDescent="0.2">
      <c r="A10899" s="1" t="s">
        <v>829</v>
      </c>
      <c r="B10899" s="1" t="s">
        <v>851</v>
      </c>
      <c r="C10899" s="1" t="str">
        <f>"520H-120RIFFEL"</f>
        <v>520H-120RIFFEL</v>
      </c>
      <c r="D10899" s="1" t="str">
        <f>"520H-120RIFFEL"</f>
        <v>520H-120RIFFEL</v>
      </c>
      <c r="E10899" s="1" t="s">
        <v>4579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</row>
    <row r="10900" spans="1:11" x14ac:dyDescent="0.2">
      <c r="A10900" s="1" t="s">
        <v>829</v>
      </c>
      <c r="B10900" s="1" t="s">
        <v>852</v>
      </c>
      <c r="C10900" s="1" t="str">
        <f>"66298812333331"</f>
        <v>66298812333331</v>
      </c>
      <c r="D10900" s="1" t="str">
        <f>"520H-120VN"</f>
        <v>520H-120VN</v>
      </c>
      <c r="E10900" s="1" t="s">
        <v>4579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</row>
    <row r="10901" spans="1:11" x14ac:dyDescent="0.2">
      <c r="A10901" s="1" t="s">
        <v>829</v>
      </c>
      <c r="B10901" s="1" t="s">
        <v>853</v>
      </c>
      <c r="C10901" s="1" t="str">
        <f>"66298812373574"</f>
        <v>66298812373574</v>
      </c>
      <c r="D10901" s="1" t="str">
        <f>"520V-120JPNPC"</f>
        <v>520V-120JPNPC</v>
      </c>
      <c r="E10901" s="1" t="s">
        <v>4579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</row>
    <row r="10902" spans="1:11" x14ac:dyDescent="0.2">
      <c r="A10902" s="1" t="s">
        <v>829</v>
      </c>
      <c r="B10902" s="1" t="s">
        <v>854</v>
      </c>
      <c r="C10902" s="1" t="str">
        <f>"66298812411287"</f>
        <v>66298812411287</v>
      </c>
      <c r="D10902" s="1" t="str">
        <f>"520V-124CN"</f>
        <v>520V-124CN</v>
      </c>
      <c r="E10902" s="1" t="s">
        <v>4579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</row>
    <row r="10903" spans="1:11" x14ac:dyDescent="0.2">
      <c r="A10903" s="1" t="s">
        <v>829</v>
      </c>
      <c r="B10903" s="1" t="s">
        <v>855</v>
      </c>
      <c r="C10903" s="1" t="str">
        <f>"525V-120JPNPC"</f>
        <v>525V-120JPNPC</v>
      </c>
      <c r="D10903" s="1" t="str">
        <f>"525V-120JPNPC"</f>
        <v>525V-120JPNPC</v>
      </c>
      <c r="E10903" s="1" t="s">
        <v>4579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</row>
    <row r="10904" spans="1:11" x14ac:dyDescent="0.2">
      <c r="A10904" s="1" t="s">
        <v>829</v>
      </c>
      <c r="B10904" s="1" t="s">
        <v>856</v>
      </c>
      <c r="C10904" s="1" t="str">
        <f>"66298812450321"</f>
        <v>66298812450321</v>
      </c>
      <c r="D10904" s="1" t="str">
        <f>"525H-124CHOHO"</f>
        <v>525H-124CHOHO</v>
      </c>
      <c r="E10904" s="1" t="s">
        <v>4579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</row>
    <row r="10905" spans="1:11" x14ac:dyDescent="0.2">
      <c r="A10905" s="1" t="s">
        <v>829</v>
      </c>
      <c r="B10905" s="1" t="s">
        <v>857</v>
      </c>
      <c r="C10905" s="1" t="str">
        <f>"525VX3-120JP"</f>
        <v>525VX3-120JP</v>
      </c>
      <c r="D10905" s="1" t="str">
        <f>"525VX3-120JP"</f>
        <v>525VX3-120JP</v>
      </c>
      <c r="E10905" s="1" t="s">
        <v>4579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</row>
    <row r="10906" spans="1:11" x14ac:dyDescent="0.2">
      <c r="A10906" s="1" t="s">
        <v>829</v>
      </c>
      <c r="B10906" s="1" t="s">
        <v>858</v>
      </c>
      <c r="C10906" s="1" t="str">
        <f>"525VX3-124JP"</f>
        <v>525VX3-124JP</v>
      </c>
      <c r="D10906" s="1" t="str">
        <f>"525VX3-124JP"</f>
        <v>525VX3-124JP</v>
      </c>
      <c r="E10906" s="1" t="s">
        <v>4579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</row>
    <row r="10907" spans="1:11" x14ac:dyDescent="0.2">
      <c r="A10907" s="1" t="s">
        <v>829</v>
      </c>
      <c r="B10907" s="1" t="s">
        <v>859</v>
      </c>
      <c r="C10907" s="1" t="str">
        <f>"525VX3-130JP"</f>
        <v>525VX3-130JP</v>
      </c>
      <c r="D10907" s="1" t="str">
        <f>"525VX3-130JP"</f>
        <v>525VX3-130JP</v>
      </c>
      <c r="E10907" s="1" t="s">
        <v>4579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</row>
    <row r="10908" spans="1:11" x14ac:dyDescent="0.2">
      <c r="A10908" s="1" t="s">
        <v>829</v>
      </c>
      <c r="B10908" s="1" t="s">
        <v>860</v>
      </c>
      <c r="C10908" s="1" t="str">
        <f>"530-120JP"</f>
        <v>530-120JP</v>
      </c>
      <c r="D10908" s="1" t="str">
        <f>"530-120JP"</f>
        <v>530-120JP</v>
      </c>
      <c r="E10908" s="1" t="s">
        <v>4579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</row>
    <row r="10909" spans="1:11" x14ac:dyDescent="0.2">
      <c r="A10909" s="1" t="s">
        <v>829</v>
      </c>
      <c r="B10909" s="1" t="s">
        <v>861</v>
      </c>
      <c r="C10909" s="1" t="str">
        <f>"66298812529172"</f>
        <v>66298812529172</v>
      </c>
      <c r="D10909" s="1" t="str">
        <f>"404-DHA-098JP"</f>
        <v>404-DHA-098JP</v>
      </c>
      <c r="E10909" s="1" t="s">
        <v>4579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</row>
    <row r="10910" spans="1:11" x14ac:dyDescent="0.2">
      <c r="A10910" s="1" t="s">
        <v>829</v>
      </c>
      <c r="B10910" s="1" t="s">
        <v>862</v>
      </c>
      <c r="C10910" s="1" t="str">
        <f>"66298812488935"</f>
        <v>66298812488935</v>
      </c>
      <c r="D10910" s="1" t="str">
        <f>"14401-K43-901JP"</f>
        <v>14401-K43-901JP</v>
      </c>
      <c r="E10910" s="1" t="s">
        <v>4579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</row>
    <row r="10911" spans="1:11" ht="30" x14ac:dyDescent="0.2">
      <c r="A10911" s="1" t="s">
        <v>829</v>
      </c>
      <c r="B10911" s="1" t="s">
        <v>863</v>
      </c>
      <c r="C10911" s="1" t="str">
        <f>"66298812568999"</f>
        <v>66298812568999</v>
      </c>
      <c r="D10911" s="1" t="str">
        <f>"14401-KTE-910JP"</f>
        <v>14401-KTE-910JP</v>
      </c>
      <c r="E10911" s="1" t="s">
        <v>4579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</row>
    <row r="10912" spans="1:11" x14ac:dyDescent="0.2">
      <c r="A10912" s="1" t="s">
        <v>829</v>
      </c>
      <c r="B10912" s="1" t="s">
        <v>864</v>
      </c>
      <c r="C10912" s="1" t="str">
        <f>"66298812608643"</f>
        <v>66298812608643</v>
      </c>
      <c r="D10912" s="1" t="str">
        <f>"14401-KSP-860JP"</f>
        <v>14401-KSP-860JP</v>
      </c>
      <c r="E10912" s="1" t="s">
        <v>4579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</row>
    <row r="10913" spans="1:11" ht="30" x14ac:dyDescent="0.2">
      <c r="A10913" s="1" t="s">
        <v>829</v>
      </c>
      <c r="B10913" s="1" t="s">
        <v>865</v>
      </c>
      <c r="C10913" s="1" t="str">
        <f>"66298812685767"</f>
        <v>66298812685767</v>
      </c>
      <c r="D10913" s="1" t="str">
        <f>"14401-KPF-903JP"</f>
        <v>14401-KPF-903JP</v>
      </c>
      <c r="E10913" s="1" t="s">
        <v>4579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</row>
    <row r="10914" spans="1:11" ht="30" x14ac:dyDescent="0.2">
      <c r="A10914" s="1" t="s">
        <v>829</v>
      </c>
      <c r="B10914" s="1" t="s">
        <v>866</v>
      </c>
      <c r="C10914" s="1" t="str">
        <f>"66298812647872"</f>
        <v>66298812647872</v>
      </c>
      <c r="D10914" s="1" t="str">
        <f>"400130"</f>
        <v>400130</v>
      </c>
      <c r="E10914" s="1" t="s">
        <v>4579</v>
      </c>
      <c r="F10914" s="1">
        <v>2</v>
      </c>
      <c r="G10914" s="1">
        <v>2243</v>
      </c>
      <c r="H10914" s="1">
        <v>4486</v>
      </c>
      <c r="I10914" s="1">
        <v>0</v>
      </c>
      <c r="J10914" s="1">
        <v>2</v>
      </c>
      <c r="K10914" s="1">
        <v>0</v>
      </c>
    </row>
    <row r="10915" spans="1:11" x14ac:dyDescent="0.2">
      <c r="A10915" s="1" t="s">
        <v>829</v>
      </c>
      <c r="B10915" s="1" t="s">
        <v>867</v>
      </c>
      <c r="C10915" s="1" t="str">
        <f>"66298812728237"</f>
        <v>66298812728237</v>
      </c>
      <c r="D10915" s="1" t="str">
        <f>"409H-100JPNPC"</f>
        <v>409H-100JPNPC</v>
      </c>
      <c r="E10915" s="1" t="s">
        <v>4579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</row>
    <row r="10916" spans="1:11" x14ac:dyDescent="0.2">
      <c r="A10916" s="1" t="s">
        <v>829</v>
      </c>
      <c r="B10916" s="1" t="s">
        <v>868</v>
      </c>
      <c r="C10916" s="1" t="str">
        <f>"66298812767664"</f>
        <v>66298812767664</v>
      </c>
      <c r="D10916" s="1" t="str">
        <f>"400125"</f>
        <v>400125</v>
      </c>
      <c r="E10916" s="1" t="s">
        <v>4579</v>
      </c>
      <c r="F10916" s="1">
        <v>1</v>
      </c>
      <c r="G10916" s="1">
        <v>807</v>
      </c>
      <c r="H10916" s="1">
        <v>807</v>
      </c>
      <c r="I10916" s="1">
        <v>0</v>
      </c>
      <c r="J10916" s="1">
        <v>1</v>
      </c>
      <c r="K10916" s="1">
        <v>0</v>
      </c>
    </row>
    <row r="10917" spans="1:11" x14ac:dyDescent="0.2">
      <c r="A10917" s="1" t="s">
        <v>829</v>
      </c>
      <c r="B10917" s="1" t="s">
        <v>869</v>
      </c>
      <c r="C10917" s="1" t="str">
        <f>"66298812811577"</f>
        <v>66298812811577</v>
      </c>
      <c r="D10917" s="1" t="str">
        <f>"409H-136JPNPC"</f>
        <v>409H-136JPNPC</v>
      </c>
      <c r="E10917" s="1" t="s">
        <v>4579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</row>
    <row r="10918" spans="1:11" x14ac:dyDescent="0.2">
      <c r="A10918" s="1" t="s">
        <v>829</v>
      </c>
      <c r="B10918" s="1" t="s">
        <v>870</v>
      </c>
      <c r="C10918" s="1" t="str">
        <f>"66298812855795"</f>
        <v>66298812855795</v>
      </c>
      <c r="D10918" s="1" t="str">
        <f>"409H-158JPNPC"</f>
        <v>409H-158JPNPC</v>
      </c>
      <c r="E10918" s="1" t="s">
        <v>4579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</row>
    <row r="10919" spans="1:11" x14ac:dyDescent="0.2">
      <c r="A10919" s="1" t="s">
        <v>829</v>
      </c>
      <c r="B10919" s="1" t="s">
        <v>871</v>
      </c>
      <c r="C10919" s="1" t="str">
        <f>"66298812898624"</f>
        <v>66298812898624</v>
      </c>
      <c r="D10919" s="1" t="str">
        <f>"409-DHA-100JP"</f>
        <v>409-DHA-100JP</v>
      </c>
      <c r="E10919" s="1" t="s">
        <v>4579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</row>
    <row r="10920" spans="1:11" x14ac:dyDescent="0.2">
      <c r="A10920" s="1" t="s">
        <v>829</v>
      </c>
      <c r="B10920" s="1" t="s">
        <v>872</v>
      </c>
      <c r="C10920" s="1" t="str">
        <f>"66298812939684"</f>
        <v>66298812939684</v>
      </c>
      <c r="D10920" s="1" t="str">
        <f>"H1068"</f>
        <v>H1068</v>
      </c>
      <c r="E10920" s="1" t="s">
        <v>4579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</row>
    <row r="10921" spans="1:11" ht="30" x14ac:dyDescent="0.2">
      <c r="A10921" s="1" t="s">
        <v>829</v>
      </c>
      <c r="B10921" s="1" t="s">
        <v>873</v>
      </c>
      <c r="C10921" s="1" t="str">
        <f>"66298812981705"</f>
        <v>66298812981705</v>
      </c>
      <c r="D10921" s="1" t="str">
        <f>"13028-27G00JP"</f>
        <v>13028-27G00JP</v>
      </c>
      <c r="E10921" s="1" t="s">
        <v>4579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</row>
    <row r="10922" spans="1:11" ht="30" x14ac:dyDescent="0.2">
      <c r="A10922" s="1" t="s">
        <v>829</v>
      </c>
      <c r="B10922" s="1" t="s">
        <v>874</v>
      </c>
      <c r="C10922" s="1" t="str">
        <f>"66298813029303"</f>
        <v>66298813029303</v>
      </c>
      <c r="D10922" s="1" t="str">
        <f>"12760-32E00JP"</f>
        <v>12760-32E00JP</v>
      </c>
      <c r="E10922" s="1" t="s">
        <v>4579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</row>
    <row r="10923" spans="1:11" x14ac:dyDescent="0.2">
      <c r="A10923" s="1" t="s">
        <v>829</v>
      </c>
      <c r="B10923" s="1" t="s">
        <v>875</v>
      </c>
      <c r="C10923" s="1" t="str">
        <f>"66298813072152"</f>
        <v>66298813072152</v>
      </c>
      <c r="D10923" s="1" t="str">
        <f>"14401-KBB-901JP"</f>
        <v>14401-KBB-901JP</v>
      </c>
      <c r="E10923" s="1" t="s">
        <v>4579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</row>
    <row r="10924" spans="1:11" x14ac:dyDescent="0.2">
      <c r="A10924" s="1" t="s">
        <v>829</v>
      </c>
      <c r="B10924" s="1" t="s">
        <v>876</v>
      </c>
      <c r="C10924" s="1" t="str">
        <f>"66298813113726"</f>
        <v>66298813113726</v>
      </c>
      <c r="D10924" s="1" t="str">
        <f>"400128"</f>
        <v>400128</v>
      </c>
      <c r="E10924" s="1" t="s">
        <v>4579</v>
      </c>
      <c r="F10924" s="1">
        <v>2</v>
      </c>
      <c r="G10924" s="1">
        <v>1378</v>
      </c>
      <c r="H10924" s="1">
        <v>2756</v>
      </c>
      <c r="I10924" s="1">
        <v>0</v>
      </c>
      <c r="J10924" s="1">
        <v>2</v>
      </c>
      <c r="K10924" s="1">
        <v>0</v>
      </c>
    </row>
    <row r="10925" spans="1:11" x14ac:dyDescent="0.2">
      <c r="A10925" s="1" t="s">
        <v>829</v>
      </c>
      <c r="B10925" s="1" t="s">
        <v>877</v>
      </c>
      <c r="C10925" s="1" t="str">
        <f>"66298813156141"</f>
        <v>66298813156141</v>
      </c>
      <c r="D10925" s="1" t="str">
        <f>"409H-102JPNPC"</f>
        <v>409H-102JPNPC</v>
      </c>
      <c r="E10925" s="1" t="s">
        <v>4579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</row>
    <row r="10926" spans="1:11" x14ac:dyDescent="0.2">
      <c r="A10926" s="1" t="s">
        <v>829</v>
      </c>
      <c r="B10926" s="1" t="s">
        <v>878</v>
      </c>
      <c r="C10926" s="1" t="str">
        <f>"66298813202100"</f>
        <v>66298813202100</v>
      </c>
      <c r="D10926" s="1" t="str">
        <f>"409H-118JPNPC"</f>
        <v>409H-118JPNPC</v>
      </c>
      <c r="E10926" s="1" t="s">
        <v>4579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</row>
    <row r="10927" spans="1:11" x14ac:dyDescent="0.2">
      <c r="A10927" s="1" t="s">
        <v>829</v>
      </c>
      <c r="B10927" s="1" t="s">
        <v>879</v>
      </c>
      <c r="C10927" s="1" t="str">
        <f>"66298813247841"</f>
        <v>66298813247841</v>
      </c>
      <c r="D10927" s="1" t="str">
        <f>"25H-104JP"</f>
        <v>25H-104JP</v>
      </c>
      <c r="E10927" s="1" t="s">
        <v>4579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</row>
    <row r="10928" spans="1:11" x14ac:dyDescent="0.2">
      <c r="A10928" s="1" t="s">
        <v>829</v>
      </c>
      <c r="B10928" s="1" t="s">
        <v>880</v>
      </c>
      <c r="C10928" s="1" t="str">
        <f>"66298813286360"</f>
        <v>66298813286360</v>
      </c>
      <c r="D10928" s="1" t="str">
        <f>"94582-19104JP"</f>
        <v>94582-19104JP</v>
      </c>
      <c r="E10928" s="1" t="s">
        <v>4579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</row>
    <row r="10929" spans="1:11" x14ac:dyDescent="0.2">
      <c r="A10929" s="1" t="s">
        <v>829</v>
      </c>
      <c r="B10929" s="1" t="s">
        <v>881</v>
      </c>
      <c r="C10929" s="1" t="str">
        <f>"66298813331456"</f>
        <v>66298813331456</v>
      </c>
      <c r="D10929" s="1" t="str">
        <f>"412H-DHA-118JP"</f>
        <v>412H-DHA-118JP</v>
      </c>
      <c r="E10929" s="1" t="s">
        <v>4579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</row>
    <row r="10930" spans="1:11" x14ac:dyDescent="0.2">
      <c r="A10930" s="1" t="s">
        <v>829</v>
      </c>
      <c r="B10930" s="1" t="s">
        <v>882</v>
      </c>
      <c r="C10930" s="1" t="str">
        <f>"66298813372415"</f>
        <v>66298813372415</v>
      </c>
      <c r="D10930" s="1" t="str">
        <f>"94568-A6090NPC"</f>
        <v>94568-A6090NPC</v>
      </c>
      <c r="E10930" s="1" t="s">
        <v>4579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</row>
    <row r="10931" spans="1:11" x14ac:dyDescent="0.2">
      <c r="A10931" s="1" t="s">
        <v>18</v>
      </c>
      <c r="B10931" s="1" t="s">
        <v>883</v>
      </c>
      <c r="C10931" s="1" t="str">
        <f>"66298813411663"</f>
        <v>66298813411663</v>
      </c>
      <c r="D10931" s="1" t="str">
        <f>"AD009"</f>
        <v>AD009</v>
      </c>
      <c r="E10931" s="1" t="s">
        <v>4579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</row>
    <row r="10932" spans="1:11" x14ac:dyDescent="0.2">
      <c r="A10932" s="1" t="s">
        <v>18</v>
      </c>
      <c r="B10932" s="1" t="s">
        <v>884</v>
      </c>
      <c r="C10932" s="1" t="str">
        <f>"66298813448560"</f>
        <v>66298813448560</v>
      </c>
      <c r="D10932" s="1" t="str">
        <f>"AD009-A"</f>
        <v>AD009-A</v>
      </c>
      <c r="E10932" s="1" t="s">
        <v>4579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</row>
    <row r="10933" spans="1:11" x14ac:dyDescent="0.2">
      <c r="A10933" s="1" t="s">
        <v>18</v>
      </c>
      <c r="B10933" s="1" t="s">
        <v>885</v>
      </c>
      <c r="C10933" s="1" t="str">
        <f>"66298813489457"</f>
        <v>66298813489457</v>
      </c>
      <c r="D10933" s="1" t="str">
        <f>"18302"</f>
        <v>18302</v>
      </c>
      <c r="E10933" s="1" t="s">
        <v>4579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</row>
    <row r="10934" spans="1:11" x14ac:dyDescent="0.2">
      <c r="A10934" s="1" t="s">
        <v>18</v>
      </c>
      <c r="B10934" s="1" t="s">
        <v>886</v>
      </c>
      <c r="C10934" s="1" t="str">
        <f>"66298813529904"</f>
        <v>66298813529904</v>
      </c>
      <c r="D10934" s="1" t="str">
        <f>"18293"</f>
        <v>18293</v>
      </c>
      <c r="E10934" s="1" t="s">
        <v>4579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</row>
    <row r="10935" spans="1:11" x14ac:dyDescent="0.2">
      <c r="A10935" s="1" t="s">
        <v>18</v>
      </c>
      <c r="B10935" s="1" t="s">
        <v>887</v>
      </c>
      <c r="C10935" s="1" t="str">
        <f>"66298813574357"</f>
        <v>66298813574357</v>
      </c>
      <c r="D10935" s="1" t="str">
        <f>"HK-4602"</f>
        <v>HK-4602</v>
      </c>
      <c r="E10935" s="1" t="s">
        <v>4579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</row>
    <row r="10936" spans="1:11" x14ac:dyDescent="0.2">
      <c r="A10936" s="1" t="s">
        <v>18</v>
      </c>
      <c r="B10936" s="1" t="s">
        <v>888</v>
      </c>
      <c r="C10936" s="1" t="str">
        <f>"66298813613657"</f>
        <v>66298813613657</v>
      </c>
      <c r="D10936" s="1" t="str">
        <f>"799"</f>
        <v>799</v>
      </c>
      <c r="E10936" s="1" t="s">
        <v>4579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</row>
    <row r="10937" spans="1:11" x14ac:dyDescent="0.2">
      <c r="A10937" s="1" t="s">
        <v>18</v>
      </c>
      <c r="B10937" s="1" t="s">
        <v>889</v>
      </c>
      <c r="C10937" s="1" t="str">
        <f>"66298813653994"</f>
        <v>66298813653994</v>
      </c>
      <c r="D10937" s="1" t="str">
        <f>"18308"</f>
        <v>18308</v>
      </c>
      <c r="E10937" s="1" t="s">
        <v>4579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</row>
    <row r="10938" spans="1:11" x14ac:dyDescent="0.2">
      <c r="A10938" s="1" t="s">
        <v>18</v>
      </c>
      <c r="B10938" s="1" t="s">
        <v>890</v>
      </c>
      <c r="C10938" s="1" t="str">
        <f>"66298813760715"</f>
        <v>66298813760715</v>
      </c>
      <c r="D10938" s="1" t="str">
        <f>"3723"</f>
        <v>3723</v>
      </c>
      <c r="E10938" s="1" t="s">
        <v>4579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</row>
    <row r="10939" spans="1:11" x14ac:dyDescent="0.2">
      <c r="A10939" s="1" t="s">
        <v>18</v>
      </c>
      <c r="B10939" s="1" t="s">
        <v>891</v>
      </c>
      <c r="C10939" s="1" t="str">
        <f>"66298813802345"</f>
        <v>66298813802345</v>
      </c>
      <c r="D10939" s="1" t="str">
        <f>"4009"</f>
        <v>4009</v>
      </c>
      <c r="E10939" s="1" t="s">
        <v>4579</v>
      </c>
      <c r="F10939" s="1">
        <v>2</v>
      </c>
      <c r="G10939" s="1">
        <v>4580</v>
      </c>
      <c r="H10939" s="1">
        <v>9160</v>
      </c>
      <c r="I10939" s="1">
        <v>0</v>
      </c>
      <c r="J10939" s="1">
        <v>2</v>
      </c>
      <c r="K10939" s="1">
        <v>0</v>
      </c>
    </row>
    <row r="10940" spans="1:11" x14ac:dyDescent="0.2">
      <c r="A10940" s="1" t="s">
        <v>18</v>
      </c>
      <c r="B10940" s="1" t="s">
        <v>892</v>
      </c>
      <c r="C10940" s="1" t="str">
        <f>"66298813844726"</f>
        <v>66298813844726</v>
      </c>
      <c r="D10940" s="1" t="str">
        <f>"1057"</f>
        <v>1057</v>
      </c>
      <c r="E10940" s="1" t="s">
        <v>4579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</row>
    <row r="10941" spans="1:11" x14ac:dyDescent="0.2">
      <c r="A10941" s="1" t="s">
        <v>18</v>
      </c>
      <c r="B10941" s="1" t="s">
        <v>893</v>
      </c>
      <c r="C10941" s="1" t="str">
        <f>"66298813699217"</f>
        <v>66298813699217</v>
      </c>
      <c r="D10941" s="1" t="str">
        <f>"800-ROJO"</f>
        <v>800-ROJO</v>
      </c>
      <c r="E10941" s="1" t="s">
        <v>4579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</row>
    <row r="10942" spans="1:11" x14ac:dyDescent="0.2">
      <c r="A10942" s="1" t="s">
        <v>18</v>
      </c>
      <c r="B10942" s="1" t="s">
        <v>893</v>
      </c>
      <c r="C10942" s="1" t="str">
        <f>"66298813708609"</f>
        <v>66298813708609</v>
      </c>
      <c r="D10942" s="1" t="str">
        <f>"AD005"</f>
        <v>AD005</v>
      </c>
      <c r="E10942" s="1" t="s">
        <v>4579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</row>
    <row r="10943" spans="1:11" x14ac:dyDescent="0.2">
      <c r="A10943" s="1" t="s">
        <v>18</v>
      </c>
      <c r="B10943" s="1" t="s">
        <v>893</v>
      </c>
      <c r="C10943" s="1" t="str">
        <f>"BIC255"</f>
        <v>BIC255</v>
      </c>
      <c r="D10943" s="1" t="str">
        <f>"BIC255"</f>
        <v>BIC255</v>
      </c>
      <c r="E10943" s="1" t="s">
        <v>4579</v>
      </c>
      <c r="F10943" s="1">
        <v>3</v>
      </c>
      <c r="G10943" s="1">
        <v>1390</v>
      </c>
      <c r="H10943" s="1">
        <v>4170</v>
      </c>
      <c r="I10943" s="1">
        <v>0</v>
      </c>
      <c r="J10943" s="1">
        <v>3</v>
      </c>
      <c r="K10943" s="1">
        <v>0</v>
      </c>
    </row>
    <row r="10944" spans="1:11" x14ac:dyDescent="0.2">
      <c r="A10944" s="1" t="s">
        <v>18</v>
      </c>
      <c r="B10944" s="1" t="s">
        <v>893</v>
      </c>
      <c r="C10944" s="1" t="str">
        <f>"BIC257"</f>
        <v>BIC257</v>
      </c>
      <c r="D10944" s="1" t="str">
        <f>"BIC257"</f>
        <v>BIC257</v>
      </c>
      <c r="E10944" s="1" t="s">
        <v>4579</v>
      </c>
      <c r="F10944" s="1">
        <v>2</v>
      </c>
      <c r="G10944" s="1">
        <v>1895</v>
      </c>
      <c r="H10944" s="1">
        <v>3790</v>
      </c>
      <c r="I10944" s="1">
        <v>0</v>
      </c>
      <c r="J10944" s="1">
        <v>2</v>
      </c>
      <c r="K10944" s="1">
        <v>0</v>
      </c>
    </row>
    <row r="10945" spans="1:11" x14ac:dyDescent="0.2">
      <c r="A10945" s="1" t="s">
        <v>18</v>
      </c>
      <c r="B10945" s="1" t="s">
        <v>893</v>
      </c>
      <c r="C10945" s="1" t="str">
        <f>"BIC258"</f>
        <v>BIC258</v>
      </c>
      <c r="D10945" s="1" t="str">
        <f>"BIC258"</f>
        <v>BIC258</v>
      </c>
      <c r="E10945" s="1" t="s">
        <v>4579</v>
      </c>
      <c r="F10945" s="1">
        <v>2</v>
      </c>
      <c r="G10945" s="1">
        <v>3360</v>
      </c>
      <c r="H10945" s="1">
        <v>6720</v>
      </c>
      <c r="I10945" s="1">
        <v>0</v>
      </c>
      <c r="J10945" s="1">
        <v>2</v>
      </c>
      <c r="K10945" s="1">
        <v>0</v>
      </c>
    </row>
    <row r="10946" spans="1:11" x14ac:dyDescent="0.2">
      <c r="A10946" s="1" t="s">
        <v>18</v>
      </c>
      <c r="B10946" s="1" t="s">
        <v>893</v>
      </c>
      <c r="C10946" s="1" t="str">
        <f>"BIC261"</f>
        <v>BIC261</v>
      </c>
      <c r="D10946" s="1" t="str">
        <f>"BIC261"</f>
        <v>BIC261</v>
      </c>
      <c r="E10946" s="1" t="s">
        <v>4579</v>
      </c>
      <c r="F10946" s="1">
        <v>1</v>
      </c>
      <c r="G10946" s="1">
        <v>2090</v>
      </c>
      <c r="H10946" s="1">
        <v>2090</v>
      </c>
      <c r="I10946" s="1">
        <v>0</v>
      </c>
      <c r="J10946" s="1">
        <v>1</v>
      </c>
      <c r="K10946" s="1">
        <v>0</v>
      </c>
    </row>
    <row r="10947" spans="1:11" x14ac:dyDescent="0.2">
      <c r="A10947" s="1" t="s">
        <v>18</v>
      </c>
      <c r="B10947" s="1" t="s">
        <v>893</v>
      </c>
      <c r="C10947" s="1" t="str">
        <f>"BIC265"</f>
        <v>BIC265</v>
      </c>
      <c r="D10947" s="1" t="str">
        <f>"BIC265"</f>
        <v>BIC265</v>
      </c>
      <c r="E10947" s="1" t="s">
        <v>4579</v>
      </c>
      <c r="F10947" s="1">
        <v>2</v>
      </c>
      <c r="G10947" s="1">
        <v>2520</v>
      </c>
      <c r="H10947" s="1">
        <v>5040</v>
      </c>
      <c r="I10947" s="1">
        <v>0</v>
      </c>
      <c r="J10947" s="1">
        <v>2</v>
      </c>
      <c r="K10947" s="1">
        <v>0</v>
      </c>
    </row>
    <row r="10948" spans="1:11" x14ac:dyDescent="0.2">
      <c r="A10948" s="1" t="s">
        <v>98</v>
      </c>
      <c r="B10948" s="1" t="s">
        <v>894</v>
      </c>
      <c r="C10948" s="1" t="str">
        <f>"66298813887793"</f>
        <v>66298813887793</v>
      </c>
      <c r="D10948" s="1" t="str">
        <f>"HH010"</f>
        <v>HH010</v>
      </c>
      <c r="E10948" s="1" t="s">
        <v>4579</v>
      </c>
      <c r="F10948" s="1">
        <v>2</v>
      </c>
      <c r="G10948" s="1">
        <v>3078</v>
      </c>
      <c r="H10948" s="1">
        <v>6156</v>
      </c>
      <c r="I10948" s="1">
        <v>0</v>
      </c>
      <c r="J10948" s="1">
        <v>2</v>
      </c>
      <c r="K10948" s="1">
        <v>0</v>
      </c>
    </row>
    <row r="10949" spans="1:11" x14ac:dyDescent="0.2">
      <c r="A10949" s="1" t="s">
        <v>98</v>
      </c>
      <c r="B10949" s="1" t="s">
        <v>894</v>
      </c>
      <c r="C10949" s="1" t="str">
        <f>"66298813893978"</f>
        <v>66298813893978</v>
      </c>
      <c r="D10949" s="1" t="str">
        <f>"HH012"</f>
        <v>HH012</v>
      </c>
      <c r="E10949" s="1" t="s">
        <v>4579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</row>
    <row r="10950" spans="1:11" x14ac:dyDescent="0.2">
      <c r="A10950" s="1" t="s">
        <v>895</v>
      </c>
      <c r="B10950" s="1" t="s">
        <v>896</v>
      </c>
      <c r="C10950" s="1" t="str">
        <f>"66298813953599"</f>
        <v>66298813953599</v>
      </c>
      <c r="D10950" s="1" t="str">
        <f>"CAJA-CAM-CB190"</f>
        <v>CAJA-CAM-CB190</v>
      </c>
      <c r="E10950" s="1" t="s">
        <v>4579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</row>
    <row r="10951" spans="1:11" x14ac:dyDescent="0.2">
      <c r="A10951" s="1" t="s">
        <v>895</v>
      </c>
      <c r="B10951" s="1" t="s">
        <v>897</v>
      </c>
      <c r="C10951" s="1" t="str">
        <f>"66298813993902"</f>
        <v>66298813993902</v>
      </c>
      <c r="D10951" s="1" t="str">
        <f>"CK006-A"</f>
        <v>CK006-A</v>
      </c>
      <c r="E10951" s="1" t="s">
        <v>4579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</row>
    <row r="10952" spans="1:11" x14ac:dyDescent="0.2">
      <c r="A10952" s="1" t="s">
        <v>895</v>
      </c>
      <c r="B10952" s="1" t="s">
        <v>897</v>
      </c>
      <c r="C10952" s="1" t="str">
        <f>"66298814039001"</f>
        <v>66298814039001</v>
      </c>
      <c r="D10952" s="1" t="str">
        <f>"CK006"</f>
        <v>CK006</v>
      </c>
      <c r="E10952" s="1" t="s">
        <v>4579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</row>
    <row r="10953" spans="1:11" x14ac:dyDescent="0.2">
      <c r="A10953" s="1" t="s">
        <v>895</v>
      </c>
      <c r="B10953" s="1" t="s">
        <v>898</v>
      </c>
      <c r="C10953" s="1" t="str">
        <f>"66298814121473"</f>
        <v>66298814121473</v>
      </c>
      <c r="D10953" s="1" t="str">
        <f>"CK002"</f>
        <v>CK002</v>
      </c>
      <c r="E10953" s="1" t="s">
        <v>4579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</row>
    <row r="10954" spans="1:11" x14ac:dyDescent="0.2">
      <c r="A10954" s="1" t="s">
        <v>895</v>
      </c>
      <c r="B10954" s="1" t="s">
        <v>899</v>
      </c>
      <c r="C10954" s="1" t="str">
        <f>"66298814078865"</f>
        <v>66298814078865</v>
      </c>
      <c r="D10954" s="1" t="str">
        <f>"400990"</f>
        <v>400990</v>
      </c>
      <c r="E10954" s="1" t="s">
        <v>4579</v>
      </c>
      <c r="F10954" s="1">
        <v>1</v>
      </c>
      <c r="G10954" s="1">
        <v>18013</v>
      </c>
      <c r="H10954" s="1">
        <v>18013</v>
      </c>
      <c r="I10954" s="1">
        <v>0</v>
      </c>
      <c r="J10954" s="1">
        <v>1</v>
      </c>
      <c r="K10954" s="1">
        <v>0</v>
      </c>
    </row>
    <row r="10955" spans="1:11" x14ac:dyDescent="0.2">
      <c r="A10955" s="1" t="s">
        <v>895</v>
      </c>
      <c r="B10955" s="1" t="s">
        <v>900</v>
      </c>
      <c r="C10955" s="1" t="str">
        <f>"66298814169494"</f>
        <v>66298814169494</v>
      </c>
      <c r="D10955" s="1" t="str">
        <f>"CK003"</f>
        <v>CK003</v>
      </c>
      <c r="E10955" s="1" t="s">
        <v>4579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</row>
    <row r="10956" spans="1:11" x14ac:dyDescent="0.2">
      <c r="A10956" s="1" t="s">
        <v>895</v>
      </c>
      <c r="B10956" s="1" t="s">
        <v>901</v>
      </c>
      <c r="C10956" s="1" t="str">
        <f>"66298814229312"</f>
        <v>66298814229312</v>
      </c>
      <c r="D10956" s="1" t="str">
        <f>"CK013"</f>
        <v>CK013</v>
      </c>
      <c r="E10956" s="1" t="s">
        <v>4579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</row>
    <row r="10957" spans="1:11" x14ac:dyDescent="0.2">
      <c r="A10957" s="1" t="s">
        <v>895</v>
      </c>
      <c r="B10957" s="1" t="s">
        <v>902</v>
      </c>
      <c r="C10957" s="1" t="str">
        <f>"66298814272016"</f>
        <v>66298814272016</v>
      </c>
      <c r="D10957" s="1" t="str">
        <f>"CK009"</f>
        <v>CK009</v>
      </c>
      <c r="E10957" s="1" t="s">
        <v>4579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</row>
    <row r="10958" spans="1:11" x14ac:dyDescent="0.2">
      <c r="A10958" s="1" t="s">
        <v>895</v>
      </c>
      <c r="B10958" s="1" t="s">
        <v>903</v>
      </c>
      <c r="C10958" s="1" t="str">
        <f>"66298814335001"</f>
        <v>66298814335001</v>
      </c>
      <c r="D10958" s="1" t="str">
        <f>"CK005"</f>
        <v>CK005</v>
      </c>
      <c r="E10958" s="1" t="s">
        <v>4579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</row>
    <row r="10959" spans="1:11" x14ac:dyDescent="0.2">
      <c r="A10959" s="1" t="s">
        <v>895</v>
      </c>
      <c r="B10959" s="1" t="s">
        <v>904</v>
      </c>
      <c r="C10959" s="1" t="str">
        <f>"66298814376491"</f>
        <v>66298814376491</v>
      </c>
      <c r="D10959" s="1" t="str">
        <f>"400994"</f>
        <v>400994</v>
      </c>
      <c r="E10959" s="1" t="s">
        <v>4579</v>
      </c>
      <c r="F10959" s="1">
        <v>1</v>
      </c>
      <c r="G10959" s="1">
        <v>16158</v>
      </c>
      <c r="H10959" s="1">
        <v>16158</v>
      </c>
      <c r="I10959" s="1">
        <v>0</v>
      </c>
      <c r="J10959" s="1">
        <v>1</v>
      </c>
      <c r="K10959" s="1">
        <v>0</v>
      </c>
    </row>
    <row r="10960" spans="1:11" x14ac:dyDescent="0.2">
      <c r="A10960" s="1" t="s">
        <v>895</v>
      </c>
      <c r="B10960" s="1" t="s">
        <v>905</v>
      </c>
      <c r="C10960" s="1" t="str">
        <f>"66298814423624"</f>
        <v>66298814423624</v>
      </c>
      <c r="D10960" s="1" t="str">
        <f>"I66"</f>
        <v>I66</v>
      </c>
      <c r="E10960" s="1" t="s">
        <v>4579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</row>
    <row r="10961" spans="1:11" x14ac:dyDescent="0.2">
      <c r="A10961" s="1" t="s">
        <v>895</v>
      </c>
      <c r="B10961" s="1" t="s">
        <v>906</v>
      </c>
      <c r="C10961" s="1" t="str">
        <f>"66298814467777"</f>
        <v>66298814467777</v>
      </c>
      <c r="D10961" s="1" t="str">
        <f>"CK011"</f>
        <v>CK011</v>
      </c>
      <c r="E10961" s="1" t="s">
        <v>4579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</row>
    <row r="10962" spans="1:11" x14ac:dyDescent="0.2">
      <c r="A10962" s="1" t="s">
        <v>895</v>
      </c>
      <c r="B10962" s="1" t="s">
        <v>907</v>
      </c>
      <c r="C10962" s="1" t="str">
        <f>"66298814509512"</f>
        <v>66298814509512</v>
      </c>
      <c r="D10962" s="1" t="str">
        <f>"CK010"</f>
        <v>CK010</v>
      </c>
      <c r="E10962" s="1" t="s">
        <v>4579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</row>
    <row r="10963" spans="1:11" x14ac:dyDescent="0.2">
      <c r="A10963" s="1" t="s">
        <v>895</v>
      </c>
      <c r="B10963" s="1" t="s">
        <v>908</v>
      </c>
      <c r="C10963" s="1" t="str">
        <f>"66298814549887"</f>
        <v>66298814549887</v>
      </c>
      <c r="D10963" s="1" t="str">
        <f>"CK015"</f>
        <v>CK015</v>
      </c>
      <c r="E10963" s="1" t="s">
        <v>4579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</row>
    <row r="10964" spans="1:11" x14ac:dyDescent="0.2">
      <c r="A10964" s="1" t="s">
        <v>895</v>
      </c>
      <c r="B10964" s="1" t="s">
        <v>909</v>
      </c>
      <c r="C10964" s="1" t="str">
        <f>"66298814586490"</f>
        <v>66298814586490</v>
      </c>
      <c r="D10964" s="1" t="str">
        <f>"400991"</f>
        <v>400991</v>
      </c>
      <c r="E10964" s="1" t="s">
        <v>4579</v>
      </c>
      <c r="F10964" s="1">
        <v>1</v>
      </c>
      <c r="G10964" s="1">
        <v>16498</v>
      </c>
      <c r="H10964" s="1">
        <v>16498</v>
      </c>
      <c r="I10964" s="1">
        <v>0</v>
      </c>
      <c r="J10964" s="1">
        <v>1</v>
      </c>
      <c r="K10964" s="1">
        <v>0</v>
      </c>
    </row>
    <row r="10965" spans="1:11" x14ac:dyDescent="0.2">
      <c r="A10965" s="1" t="s">
        <v>98</v>
      </c>
      <c r="B10965" s="1" t="s">
        <v>910</v>
      </c>
      <c r="C10965" s="1" t="str">
        <f>"66298814625337"</f>
        <v>66298814625337</v>
      </c>
      <c r="D10965" s="1" t="str">
        <f>"HH009"</f>
        <v>HH009</v>
      </c>
      <c r="E10965" s="1" t="s">
        <v>4579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</row>
    <row r="10966" spans="1:11" x14ac:dyDescent="0.2">
      <c r="A10966" s="1" t="s">
        <v>98</v>
      </c>
      <c r="B10966" s="1" t="s">
        <v>911</v>
      </c>
      <c r="C10966" s="1" t="str">
        <f>"66298814671019"</f>
        <v>66298814671019</v>
      </c>
      <c r="D10966" s="1" t="str">
        <f>"HH007"</f>
        <v>HH007</v>
      </c>
      <c r="E10966" s="1" t="s">
        <v>4579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</row>
    <row r="10967" spans="1:11" x14ac:dyDescent="0.2">
      <c r="A10967" s="1" t="s">
        <v>98</v>
      </c>
      <c r="B10967" s="1" t="s">
        <v>912</v>
      </c>
      <c r="C10967" s="1" t="str">
        <f>"66298814710170"</f>
        <v>66298814710170</v>
      </c>
      <c r="D10967" s="1" t="str">
        <f>"HH008"</f>
        <v>HH008</v>
      </c>
      <c r="E10967" s="1" t="s">
        <v>4579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</row>
    <row r="10968" spans="1:11" x14ac:dyDescent="0.2">
      <c r="A10968" s="1" t="s">
        <v>98</v>
      </c>
      <c r="B10968" s="1" t="s">
        <v>913</v>
      </c>
      <c r="C10968" s="1" t="str">
        <f>"66298814750823"</f>
        <v>66298814750823</v>
      </c>
      <c r="D10968" s="1" t="str">
        <f>"HH005"</f>
        <v>HH005</v>
      </c>
      <c r="E10968" s="1" t="s">
        <v>4579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</row>
    <row r="10969" spans="1:11" x14ac:dyDescent="0.2">
      <c r="A10969" s="1" t="s">
        <v>98</v>
      </c>
      <c r="B10969" s="1" t="s">
        <v>914</v>
      </c>
      <c r="C10969" s="1" t="str">
        <f>"66298814792895"</f>
        <v>66298814792895</v>
      </c>
      <c r="D10969" s="1" t="str">
        <f>"HH001"</f>
        <v>HH001</v>
      </c>
      <c r="E10969" s="1" t="s">
        <v>4579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</row>
    <row r="10970" spans="1:11" x14ac:dyDescent="0.2">
      <c r="A10970" s="1" t="s">
        <v>98</v>
      </c>
      <c r="B10970" s="1" t="s">
        <v>915</v>
      </c>
      <c r="C10970" s="1" t="str">
        <f>"66298814831492"</f>
        <v>66298814831492</v>
      </c>
      <c r="D10970" s="1" t="str">
        <f>"HH023"</f>
        <v>HH023</v>
      </c>
      <c r="E10970" s="1" t="s">
        <v>4579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</row>
    <row r="10971" spans="1:11" x14ac:dyDescent="0.2">
      <c r="A10971" s="1" t="s">
        <v>98</v>
      </c>
      <c r="B10971" s="1" t="s">
        <v>916</v>
      </c>
      <c r="C10971" s="1" t="str">
        <f>"66298814875819"</f>
        <v>66298814875819</v>
      </c>
      <c r="D10971" s="1" t="str">
        <f>"HH018"</f>
        <v>HH018</v>
      </c>
      <c r="E10971" s="1" t="s">
        <v>4579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</row>
    <row r="10972" spans="1:11" x14ac:dyDescent="0.2">
      <c r="A10972" s="1" t="s">
        <v>98</v>
      </c>
      <c r="B10972" s="1" t="s">
        <v>917</v>
      </c>
      <c r="C10972" s="1" t="str">
        <f>"66298814919967"</f>
        <v>66298814919967</v>
      </c>
      <c r="D10972" s="1" t="str">
        <f>"HH017"</f>
        <v>HH017</v>
      </c>
      <c r="E10972" s="1" t="s">
        <v>4579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</row>
    <row r="10973" spans="1:11" x14ac:dyDescent="0.2">
      <c r="A10973" s="1" t="s">
        <v>98</v>
      </c>
      <c r="B10973" s="1" t="s">
        <v>917</v>
      </c>
      <c r="C10973" s="1" t="str">
        <f>"66298814926495"</f>
        <v>66298814926495</v>
      </c>
      <c r="D10973" s="1" t="str">
        <f>"HH016"</f>
        <v>HH016</v>
      </c>
      <c r="E10973" s="1" t="s">
        <v>4579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</row>
    <row r="10974" spans="1:11" x14ac:dyDescent="0.2">
      <c r="A10974" s="1" t="s">
        <v>98</v>
      </c>
      <c r="B10974" s="1" t="s">
        <v>918</v>
      </c>
      <c r="C10974" s="1" t="str">
        <f>"66298814980013"</f>
        <v>66298814980013</v>
      </c>
      <c r="D10974" s="1" t="str">
        <f>"HH036"</f>
        <v>HH036</v>
      </c>
      <c r="E10974" s="1" t="s">
        <v>4579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</row>
    <row r="10975" spans="1:11" x14ac:dyDescent="0.2">
      <c r="A10975" s="1" t="s">
        <v>98</v>
      </c>
      <c r="B10975" s="1" t="s">
        <v>919</v>
      </c>
      <c r="C10975" s="1" t="str">
        <f>"66298815023618"</f>
        <v>66298815023618</v>
      </c>
      <c r="D10975" s="1" t="str">
        <f>"Z023"</f>
        <v>Z023</v>
      </c>
      <c r="E10975" s="1" t="s">
        <v>4579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</row>
    <row r="10976" spans="1:11" x14ac:dyDescent="0.2">
      <c r="A10976" s="1" t="s">
        <v>920</v>
      </c>
      <c r="B10976" s="1" t="s">
        <v>921</v>
      </c>
      <c r="C10976" s="1" t="str">
        <f>"66298815066582"</f>
        <v>66298815066582</v>
      </c>
      <c r="D10976" s="1" t="str">
        <f>"BA011"</f>
        <v>BA011</v>
      </c>
      <c r="E10976" s="1" t="s">
        <v>4579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</row>
    <row r="10977" spans="1:11" x14ac:dyDescent="0.2">
      <c r="A10977" s="1" t="s">
        <v>920</v>
      </c>
      <c r="B10977" s="1" t="s">
        <v>922</v>
      </c>
      <c r="C10977" s="1" t="str">
        <f>"66298815144659"</f>
        <v>66298815144659</v>
      </c>
      <c r="D10977" s="1" t="str">
        <f>"400568"</f>
        <v>400568</v>
      </c>
      <c r="E10977" s="1" t="s">
        <v>4579</v>
      </c>
      <c r="F10977" s="1">
        <v>1</v>
      </c>
      <c r="G10977" s="1">
        <v>5673</v>
      </c>
      <c r="H10977" s="1">
        <v>5673</v>
      </c>
      <c r="I10977" s="1">
        <v>0</v>
      </c>
      <c r="J10977" s="1">
        <v>1</v>
      </c>
      <c r="K10977" s="1">
        <v>0</v>
      </c>
    </row>
    <row r="10978" spans="1:11" x14ac:dyDescent="0.2">
      <c r="A10978" s="1" t="s">
        <v>920</v>
      </c>
      <c r="B10978" s="1" t="s">
        <v>923</v>
      </c>
      <c r="C10978" s="1" t="str">
        <f>"66298815105393"</f>
        <v>66298815105393</v>
      </c>
      <c r="D10978" s="1" t="str">
        <f>"BA020"</f>
        <v>BA020</v>
      </c>
      <c r="E10978" s="1" t="s">
        <v>4579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</row>
    <row r="10979" spans="1:11" x14ac:dyDescent="0.2">
      <c r="A10979" s="1" t="s">
        <v>920</v>
      </c>
      <c r="B10979" s="1" t="s">
        <v>924</v>
      </c>
      <c r="C10979" s="1" t="str">
        <f>"66298815184819"</f>
        <v>66298815184819</v>
      </c>
      <c r="D10979" s="1" t="str">
        <f>"400569"</f>
        <v>400569</v>
      </c>
      <c r="E10979" s="1" t="s">
        <v>4579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</row>
    <row r="10980" spans="1:11" x14ac:dyDescent="0.2">
      <c r="A10980" s="1" t="s">
        <v>920</v>
      </c>
      <c r="B10980" s="1" t="s">
        <v>925</v>
      </c>
      <c r="C10980" s="1" t="str">
        <f>"66298815225822"</f>
        <v>66298815225822</v>
      </c>
      <c r="D10980" s="1" t="str">
        <f>"QA022"</f>
        <v>QA022</v>
      </c>
      <c r="E10980" s="1" t="s">
        <v>4579</v>
      </c>
      <c r="F10980" s="1">
        <v>1</v>
      </c>
      <c r="G10980" s="1">
        <v>10575</v>
      </c>
      <c r="H10980" s="1">
        <v>10575</v>
      </c>
      <c r="I10980" s="1">
        <v>0</v>
      </c>
      <c r="J10980" s="1">
        <v>1</v>
      </c>
      <c r="K10980" s="1">
        <v>0</v>
      </c>
    </row>
    <row r="10981" spans="1:11" x14ac:dyDescent="0.2">
      <c r="A10981" s="1" t="s">
        <v>920</v>
      </c>
      <c r="B10981" s="1" t="s">
        <v>926</v>
      </c>
      <c r="C10981" s="1" t="str">
        <f>"66298815264017"</f>
        <v>66298815264017</v>
      </c>
      <c r="D10981" s="1" t="str">
        <f>"QA020"</f>
        <v>QA020</v>
      </c>
      <c r="E10981" s="1" t="s">
        <v>4579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</row>
    <row r="10982" spans="1:11" x14ac:dyDescent="0.2">
      <c r="A10982" s="1" t="s">
        <v>920</v>
      </c>
      <c r="B10982" s="1" t="s">
        <v>927</v>
      </c>
      <c r="C10982" s="1" t="str">
        <f>"66298815303768"</f>
        <v>66298815303768</v>
      </c>
      <c r="D10982" s="1" t="str">
        <f>"QA010"</f>
        <v>QA010</v>
      </c>
      <c r="E10982" s="1" t="s">
        <v>4579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</row>
    <row r="10983" spans="1:11" x14ac:dyDescent="0.2">
      <c r="A10983" s="1" t="s">
        <v>920</v>
      </c>
      <c r="B10983" s="1" t="s">
        <v>928</v>
      </c>
      <c r="C10983" s="1" t="str">
        <f>"66298815343939"</f>
        <v>66298815343939</v>
      </c>
      <c r="D10983" s="1" t="str">
        <f>"QA030"</f>
        <v>QA030</v>
      </c>
      <c r="E10983" s="1" t="s">
        <v>4579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</row>
    <row r="10984" spans="1:11" x14ac:dyDescent="0.2">
      <c r="A10984" s="1" t="s">
        <v>920</v>
      </c>
      <c r="B10984" s="1" t="s">
        <v>929</v>
      </c>
      <c r="C10984" s="1" t="str">
        <f>"66298815425893"</f>
        <v>66298815425893</v>
      </c>
      <c r="D10984" s="1" t="str">
        <f>"400567"</f>
        <v>400567</v>
      </c>
      <c r="E10984" s="1" t="s">
        <v>4579</v>
      </c>
      <c r="F10984" s="1">
        <v>1</v>
      </c>
      <c r="G10984" s="1">
        <v>5673</v>
      </c>
      <c r="H10984" s="1">
        <v>5673</v>
      </c>
      <c r="I10984" s="1">
        <v>0</v>
      </c>
      <c r="J10984" s="1">
        <v>1</v>
      </c>
      <c r="K10984" s="1">
        <v>0</v>
      </c>
    </row>
    <row r="10985" spans="1:11" x14ac:dyDescent="0.2">
      <c r="A10985" s="1" t="s">
        <v>920</v>
      </c>
      <c r="B10985" s="1" t="s">
        <v>930</v>
      </c>
      <c r="C10985" s="1" t="str">
        <f>"66298815387881"</f>
        <v>66298815387881</v>
      </c>
      <c r="D10985" s="1" t="str">
        <f>"QA016"</f>
        <v>QA016</v>
      </c>
      <c r="E10985" s="1" t="s">
        <v>4579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</row>
    <row r="10986" spans="1:11" x14ac:dyDescent="0.2">
      <c r="A10986" s="1" t="s">
        <v>931</v>
      </c>
      <c r="B10986" s="1" t="s">
        <v>932</v>
      </c>
      <c r="C10986" s="1" t="str">
        <f>"CA300/350X10SR"</f>
        <v>CA300/350X10SR</v>
      </c>
      <c r="D10986" s="1" t="str">
        <f>"CA300/350X10SR"</f>
        <v>CA300/350X10SR</v>
      </c>
      <c r="E10986" s="1" t="s">
        <v>4579</v>
      </c>
      <c r="F10986" s="1">
        <v>2</v>
      </c>
      <c r="G10986" s="1">
        <v>3588</v>
      </c>
      <c r="H10986" s="1">
        <v>7176</v>
      </c>
      <c r="I10986" s="1">
        <v>0</v>
      </c>
      <c r="J10986" s="1">
        <v>2</v>
      </c>
      <c r="K10986" s="1">
        <v>0</v>
      </c>
    </row>
    <row r="10987" spans="1:11" x14ac:dyDescent="0.2">
      <c r="A10987" s="1" t="s">
        <v>931</v>
      </c>
      <c r="B10987" s="1" t="s">
        <v>933</v>
      </c>
      <c r="C10987" s="1" t="str">
        <f>"CA300X10DURO"</f>
        <v>CA300X10DURO</v>
      </c>
      <c r="D10987" s="1" t="str">
        <f>"CA300X10DURO"</f>
        <v>CA300X10DURO</v>
      </c>
      <c r="E10987" s="1" t="s">
        <v>4579</v>
      </c>
      <c r="F10987" s="1">
        <v>4</v>
      </c>
      <c r="G10987" s="1">
        <v>4060</v>
      </c>
      <c r="H10987" s="1">
        <v>16240</v>
      </c>
      <c r="I10987" s="1">
        <v>0</v>
      </c>
      <c r="J10987" s="1">
        <v>4</v>
      </c>
      <c r="K10987" s="1">
        <v>0</v>
      </c>
    </row>
    <row r="10988" spans="1:11" x14ac:dyDescent="0.2">
      <c r="A10988" s="1" t="s">
        <v>931</v>
      </c>
      <c r="B10988" s="1" t="s">
        <v>934</v>
      </c>
      <c r="C10988" s="1" t="str">
        <f>"66298815511462"</f>
        <v>66298815511462</v>
      </c>
      <c r="D10988" s="1" t="str">
        <f>"CA300X10"</f>
        <v>CA300X10</v>
      </c>
      <c r="E10988" s="1" t="s">
        <v>4579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</row>
    <row r="10989" spans="1:11" x14ac:dyDescent="0.2">
      <c r="A10989" s="1" t="s">
        <v>931</v>
      </c>
      <c r="B10989" s="1" t="s">
        <v>935</v>
      </c>
      <c r="C10989" s="1" t="str">
        <f>"66298815566458"</f>
        <v>66298815566458</v>
      </c>
      <c r="D10989" s="1" t="str">
        <f>"CA350X10KAISER"</f>
        <v>CA350X10KAISER</v>
      </c>
      <c r="E10989" s="1" t="s">
        <v>4579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</row>
    <row r="10990" spans="1:11" x14ac:dyDescent="0.2">
      <c r="A10990" s="1" t="s">
        <v>931</v>
      </c>
      <c r="B10990" s="1" t="s">
        <v>936</v>
      </c>
      <c r="C10990" s="1" t="str">
        <f>"CA120/70X12SR"</f>
        <v>CA120/70X12SR</v>
      </c>
      <c r="D10990" s="1" t="str">
        <f>"CA120/70X12SR"</f>
        <v>CA120/70X12SR</v>
      </c>
      <c r="E10990" s="1" t="s">
        <v>4579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</row>
    <row r="10991" spans="1:11" x14ac:dyDescent="0.2">
      <c r="A10991" s="1" t="s">
        <v>931</v>
      </c>
      <c r="B10991" s="1" t="s">
        <v>937</v>
      </c>
      <c r="C10991" s="1" t="str">
        <f>"CA300/350X12DURO"</f>
        <v>CA300/350X12DURO</v>
      </c>
      <c r="D10991" s="1" t="str">
        <f>"CA300/350X12DURO"</f>
        <v>CA300/350X12DURO</v>
      </c>
      <c r="E10991" s="1" t="s">
        <v>4579</v>
      </c>
      <c r="F10991" s="1">
        <v>2</v>
      </c>
      <c r="G10991" s="1">
        <v>4460</v>
      </c>
      <c r="H10991" s="1">
        <v>8920</v>
      </c>
      <c r="I10991" s="1">
        <v>0</v>
      </c>
      <c r="J10991" s="1">
        <v>2</v>
      </c>
      <c r="K10991" s="1">
        <v>0</v>
      </c>
    </row>
    <row r="10992" spans="1:11" x14ac:dyDescent="0.2">
      <c r="A10992" s="1" t="s">
        <v>931</v>
      </c>
      <c r="B10992" s="1" t="s">
        <v>938</v>
      </c>
      <c r="C10992" s="1" t="str">
        <f>"CA130/60X13SR"</f>
        <v>CA130/60X13SR</v>
      </c>
      <c r="D10992" s="1" t="str">
        <f>"CA130/60X13SR"</f>
        <v>CA130/60X13SR</v>
      </c>
      <c r="E10992" s="1" t="s">
        <v>4579</v>
      </c>
      <c r="F10992" s="1">
        <v>2</v>
      </c>
      <c r="G10992" s="1">
        <v>4000</v>
      </c>
      <c r="H10992" s="1">
        <v>8000</v>
      </c>
      <c r="I10992" s="1">
        <v>0</v>
      </c>
      <c r="J10992" s="1">
        <v>2</v>
      </c>
      <c r="K10992" s="1">
        <v>0</v>
      </c>
    </row>
    <row r="10993" spans="1:11" x14ac:dyDescent="0.2">
      <c r="A10993" s="1" t="s">
        <v>931</v>
      </c>
      <c r="B10993" s="1" t="s">
        <v>939</v>
      </c>
      <c r="C10993" s="1" t="str">
        <f>"66298815621907"</f>
        <v>66298815621907</v>
      </c>
      <c r="D10993" s="1" t="str">
        <f>"CA275/300X14DURO"</f>
        <v>CA275/300X14DURO</v>
      </c>
      <c r="E10993" s="1" t="s">
        <v>4579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</row>
    <row r="10994" spans="1:11" x14ac:dyDescent="0.2">
      <c r="A10994" s="1" t="s">
        <v>931</v>
      </c>
      <c r="B10994" s="1" t="s">
        <v>940</v>
      </c>
      <c r="C10994" s="1" t="str">
        <f>"CA275/300X14SR"</f>
        <v>CA275/300X14SR</v>
      </c>
      <c r="D10994" s="1" t="str">
        <f>"CA275/300X14SR"</f>
        <v>CA275/300X14SR</v>
      </c>
      <c r="E10994" s="1" t="s">
        <v>4579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</row>
    <row r="10995" spans="1:11" x14ac:dyDescent="0.2">
      <c r="A10995" s="1" t="s">
        <v>931</v>
      </c>
      <c r="B10995" s="1" t="s">
        <v>941</v>
      </c>
      <c r="C10995" s="1" t="str">
        <f>"CA130/90X15DURO"</f>
        <v>CA130/90X15DURO</v>
      </c>
      <c r="D10995" s="1" t="str">
        <f>"CA130/90X15DURO"</f>
        <v>CA130/90X15DURO</v>
      </c>
      <c r="E10995" s="1" t="s">
        <v>4579</v>
      </c>
      <c r="F10995" s="1">
        <v>4</v>
      </c>
      <c r="G10995" s="1">
        <v>7340</v>
      </c>
      <c r="H10995" s="1">
        <v>29360</v>
      </c>
      <c r="I10995" s="1">
        <v>0</v>
      </c>
      <c r="J10995" s="1">
        <v>4</v>
      </c>
      <c r="K10995" s="1">
        <v>0</v>
      </c>
    </row>
    <row r="10996" spans="1:11" x14ac:dyDescent="0.2">
      <c r="A10996" s="1" t="s">
        <v>931</v>
      </c>
      <c r="B10996" s="1" t="s">
        <v>942</v>
      </c>
      <c r="C10996" s="1" t="str">
        <f>"CA130/90X15SR"</f>
        <v>CA130/90X15SR</v>
      </c>
      <c r="D10996" s="1" t="str">
        <f>"CA130/90X15SR"</f>
        <v>CA130/90X15SR</v>
      </c>
      <c r="E10996" s="1" t="s">
        <v>4579</v>
      </c>
      <c r="F10996" s="1">
        <v>3</v>
      </c>
      <c r="G10996" s="1">
        <v>4059</v>
      </c>
      <c r="H10996" s="1">
        <v>12177</v>
      </c>
      <c r="I10996" s="1">
        <v>0</v>
      </c>
      <c r="J10996" s="1">
        <v>3</v>
      </c>
      <c r="K10996" s="1">
        <v>0</v>
      </c>
    </row>
    <row r="10997" spans="1:11" x14ac:dyDescent="0.2">
      <c r="A10997" s="1" t="s">
        <v>931</v>
      </c>
      <c r="B10997" s="1" t="s">
        <v>943</v>
      </c>
      <c r="C10997" s="1" t="str">
        <f>"CA275/300X16"</f>
        <v>CA275/300X16</v>
      </c>
      <c r="D10997" s="1" t="str">
        <f>"CA275/300X16"</f>
        <v>CA275/300X16</v>
      </c>
      <c r="E10997" s="1" t="s">
        <v>4579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</row>
    <row r="10998" spans="1:11" x14ac:dyDescent="0.2">
      <c r="A10998" s="1" t="s">
        <v>931</v>
      </c>
      <c r="B10998" s="1" t="s">
        <v>944</v>
      </c>
      <c r="C10998" s="1" t="str">
        <f>"CA325/350X16DURO"</f>
        <v>CA325/350X16DURO</v>
      </c>
      <c r="D10998" s="1" t="str">
        <f>"CA325/350X16DURO"</f>
        <v>CA325/350X16DURO</v>
      </c>
      <c r="E10998" s="1" t="s">
        <v>4579</v>
      </c>
      <c r="F10998" s="1">
        <v>5</v>
      </c>
      <c r="G10998" s="1">
        <v>6140</v>
      </c>
      <c r="H10998" s="1">
        <v>30700</v>
      </c>
      <c r="I10998" s="1">
        <v>0</v>
      </c>
      <c r="J10998" s="1">
        <v>5</v>
      </c>
      <c r="K10998" s="1">
        <v>0</v>
      </c>
    </row>
    <row r="10999" spans="1:11" x14ac:dyDescent="0.2">
      <c r="A10999" s="1" t="s">
        <v>931</v>
      </c>
      <c r="B10999" s="1" t="s">
        <v>945</v>
      </c>
      <c r="C10999" s="1" t="str">
        <f>"CA325/350X16SR"</f>
        <v>CA325/350X16SR</v>
      </c>
      <c r="D10999" s="1" t="str">
        <f>"CA325/350X16SR"</f>
        <v>CA325/350X16SR</v>
      </c>
      <c r="E10999" s="1" t="s">
        <v>4579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</row>
    <row r="11000" spans="1:11" x14ac:dyDescent="0.2">
      <c r="A11000" s="1" t="s">
        <v>931</v>
      </c>
      <c r="B11000" s="1" t="s">
        <v>946</v>
      </c>
      <c r="C11000" s="1" t="str">
        <f>"CA350/400X16DURO"</f>
        <v>CA350/400X16DURO</v>
      </c>
      <c r="D11000" s="1" t="str">
        <f>"CA350/400X16DURO"</f>
        <v>CA350/400X16DURO</v>
      </c>
      <c r="E11000" s="1" t="s">
        <v>4579</v>
      </c>
      <c r="F11000" s="1">
        <v>2</v>
      </c>
      <c r="G11000" s="1">
        <v>5616</v>
      </c>
      <c r="H11000" s="1">
        <v>11232</v>
      </c>
      <c r="I11000" s="1">
        <v>0</v>
      </c>
      <c r="J11000" s="1">
        <v>2</v>
      </c>
      <c r="K11000" s="1">
        <v>0</v>
      </c>
    </row>
    <row r="11001" spans="1:11" x14ac:dyDescent="0.2">
      <c r="A11001" s="1" t="s">
        <v>931</v>
      </c>
      <c r="B11001" s="1" t="s">
        <v>947</v>
      </c>
      <c r="C11001" s="1" t="str">
        <f>"CA400/450X16SR"</f>
        <v>CA400/450X16SR</v>
      </c>
      <c r="D11001" s="1" t="str">
        <f>"CA400/450X16SR"</f>
        <v>CA400/450X16SR</v>
      </c>
      <c r="E11001" s="1" t="s">
        <v>4579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</row>
    <row r="11002" spans="1:11" x14ac:dyDescent="0.2">
      <c r="A11002" s="1" t="s">
        <v>931</v>
      </c>
      <c r="B11002" s="1" t="s">
        <v>948</v>
      </c>
      <c r="C11002" s="1" t="str">
        <f>"CA275/300X17DURO"</f>
        <v>CA275/300X17DURO</v>
      </c>
      <c r="D11002" s="1" t="str">
        <f>"CA275/300X17DURO"</f>
        <v>CA275/300X17DURO</v>
      </c>
      <c r="E11002" s="1" t="s">
        <v>4579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</row>
    <row r="11003" spans="1:11" x14ac:dyDescent="0.2">
      <c r="A11003" s="1" t="s">
        <v>931</v>
      </c>
      <c r="B11003" s="1" t="s">
        <v>949</v>
      </c>
      <c r="C11003" s="1" t="str">
        <f>"CA275/300X17SR"</f>
        <v>CA275/300X17SR</v>
      </c>
      <c r="D11003" s="1" t="str">
        <f>"CA275/300X17SR"</f>
        <v>CA275/300X17SR</v>
      </c>
      <c r="E11003" s="1" t="s">
        <v>4579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</row>
    <row r="11004" spans="1:11" x14ac:dyDescent="0.2">
      <c r="A11004" s="1" t="s">
        <v>931</v>
      </c>
      <c r="B11004" s="1" t="s">
        <v>950</v>
      </c>
      <c r="C11004" s="1" t="str">
        <f>"66298815666626"</f>
        <v>66298815666626</v>
      </c>
      <c r="D11004" s="1" t="str">
        <f>"CA275/300X17VN"</f>
        <v>CA275/300X17VN</v>
      </c>
      <c r="E11004" s="1" t="s">
        <v>4579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</row>
    <row r="11005" spans="1:11" x14ac:dyDescent="0.2">
      <c r="A11005" s="1" t="s">
        <v>931</v>
      </c>
      <c r="B11005" s="1" t="s">
        <v>951</v>
      </c>
      <c r="C11005" s="1" t="str">
        <f>"CA275/300X17"</f>
        <v>CA275/300X17</v>
      </c>
      <c r="D11005" s="1" t="str">
        <f>"CA275/300X17"</f>
        <v>CA275/300X17</v>
      </c>
      <c r="E11005" s="1" t="s">
        <v>4579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</row>
    <row r="11006" spans="1:11" x14ac:dyDescent="0.2">
      <c r="A11006" s="1" t="s">
        <v>931</v>
      </c>
      <c r="B11006" s="1" t="s">
        <v>952</v>
      </c>
      <c r="C11006" s="1" t="str">
        <f>"CA350/400X17DURO"</f>
        <v>CA350/400X17DURO</v>
      </c>
      <c r="D11006" s="1" t="str">
        <f>"CA350/400X17DURO"</f>
        <v>CA350/400X17DURO</v>
      </c>
      <c r="E11006" s="1" t="s">
        <v>4579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</row>
    <row r="11007" spans="1:11" x14ac:dyDescent="0.2">
      <c r="A11007" s="1" t="s">
        <v>931</v>
      </c>
      <c r="B11007" s="1" t="s">
        <v>953</v>
      </c>
      <c r="C11007" s="1" t="str">
        <f>"CA350/400X17SR"</f>
        <v>CA350/400X17SR</v>
      </c>
      <c r="D11007" s="1" t="str">
        <f>"CA350/400X17SR"</f>
        <v>CA350/400X17SR</v>
      </c>
      <c r="E11007" s="1" t="s">
        <v>4579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</row>
    <row r="11008" spans="1:11" x14ac:dyDescent="0.2">
      <c r="A11008" s="1" t="s">
        <v>931</v>
      </c>
      <c r="B11008" s="1" t="s">
        <v>954</v>
      </c>
      <c r="C11008" s="1" t="str">
        <f>"CA400/450X17DURO"</f>
        <v>CA400/450X17DURO</v>
      </c>
      <c r="D11008" s="1" t="str">
        <f>"CA400/450X17DURO"</f>
        <v>CA400/450X17DURO</v>
      </c>
      <c r="E11008" s="1" t="s">
        <v>4579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</row>
    <row r="11009" spans="1:11" x14ac:dyDescent="0.2">
      <c r="A11009" s="1" t="s">
        <v>931</v>
      </c>
      <c r="B11009" s="1" t="s">
        <v>955</v>
      </c>
      <c r="C11009" s="1" t="str">
        <f>"CA400/460X17SR"</f>
        <v>CA400/460X17SR</v>
      </c>
      <c r="D11009" s="1" t="str">
        <f>"CA400/460X17SR"</f>
        <v>CA400/460X17SR</v>
      </c>
      <c r="E11009" s="1" t="s">
        <v>4579</v>
      </c>
      <c r="F11009" s="1">
        <v>2</v>
      </c>
      <c r="G11009" s="1">
        <v>4000</v>
      </c>
      <c r="H11009" s="1">
        <v>8000</v>
      </c>
      <c r="I11009" s="1">
        <v>0</v>
      </c>
      <c r="J11009" s="1">
        <v>2</v>
      </c>
      <c r="K11009" s="1">
        <v>0</v>
      </c>
    </row>
    <row r="11010" spans="1:11" ht="30" x14ac:dyDescent="0.2">
      <c r="A11010" s="1" t="s">
        <v>931</v>
      </c>
      <c r="B11010" s="1" t="s">
        <v>956</v>
      </c>
      <c r="C11010" s="1" t="str">
        <f>"66298815751172"</f>
        <v>66298815751172</v>
      </c>
      <c r="D11010" s="1" t="str">
        <f>"CA100/100-18XHD"</f>
        <v>CA100/100-18XHD</v>
      </c>
      <c r="E11010" s="1" t="s">
        <v>4579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</row>
    <row r="11011" spans="1:11" x14ac:dyDescent="0.2">
      <c r="A11011" s="1" t="s">
        <v>931</v>
      </c>
      <c r="B11011" s="1" t="s">
        <v>957</v>
      </c>
      <c r="C11011" s="1" t="str">
        <f>"CA275/300X18CST"</f>
        <v>CA275/300X18CST</v>
      </c>
      <c r="D11011" s="1" t="str">
        <f>"CA275/300X18CST"</f>
        <v>CA275/300X18CST</v>
      </c>
      <c r="E11011" s="1" t="s">
        <v>4579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</row>
    <row r="11012" spans="1:11" x14ac:dyDescent="0.2">
      <c r="A11012" s="1" t="s">
        <v>931</v>
      </c>
      <c r="B11012" s="1" t="s">
        <v>958</v>
      </c>
      <c r="C11012" s="1" t="str">
        <f>"CA275/300X18DURO"</f>
        <v>CA275/300X18DURO</v>
      </c>
      <c r="D11012" s="1" t="str">
        <f>"CA275/300X18DURO"</f>
        <v>CA275/300X18DURO</v>
      </c>
      <c r="E11012" s="1" t="s">
        <v>4579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</row>
    <row r="11013" spans="1:11" x14ac:dyDescent="0.2">
      <c r="A11013" s="1" t="s">
        <v>931</v>
      </c>
      <c r="B11013" s="1" t="s">
        <v>959</v>
      </c>
      <c r="C11013" s="1" t="str">
        <f>"CA275/300X18SR"</f>
        <v>CA275/300X18SR</v>
      </c>
      <c r="D11013" s="1" t="str">
        <f>"CA275/300X18SR"</f>
        <v>CA275/300X18SR</v>
      </c>
      <c r="E11013" s="1" t="s">
        <v>4579</v>
      </c>
      <c r="F11013" s="1">
        <v>2</v>
      </c>
      <c r="G11013" s="1">
        <v>2300</v>
      </c>
      <c r="H11013" s="1">
        <v>4600</v>
      </c>
      <c r="I11013" s="1">
        <v>0</v>
      </c>
      <c r="J11013" s="1">
        <v>2</v>
      </c>
      <c r="K11013" s="1">
        <v>0</v>
      </c>
    </row>
    <row r="11014" spans="1:11" x14ac:dyDescent="0.2">
      <c r="A11014" s="1" t="s">
        <v>931</v>
      </c>
      <c r="B11014" s="1" t="s">
        <v>960</v>
      </c>
      <c r="C11014" s="1" t="str">
        <f>"66298815790477"</f>
        <v>66298815790477</v>
      </c>
      <c r="D11014" s="1" t="str">
        <f>"CA275/300X18VN"</f>
        <v>CA275/300X18VN</v>
      </c>
      <c r="E11014" s="1" t="s">
        <v>4579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</row>
    <row r="11015" spans="1:11" x14ac:dyDescent="0.2">
      <c r="A11015" s="1" t="s">
        <v>931</v>
      </c>
      <c r="B11015" s="1" t="s">
        <v>961</v>
      </c>
      <c r="C11015" s="1" t="str">
        <f>"CA300/350X18DURO"</f>
        <v>CA300/350X18DURO</v>
      </c>
      <c r="D11015" s="1" t="str">
        <f>"CA300/350X18DURO"</f>
        <v>CA300/350X18DURO</v>
      </c>
      <c r="E11015" s="1" t="s">
        <v>4579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</row>
    <row r="11016" spans="1:11" x14ac:dyDescent="0.2">
      <c r="A11016" s="1" t="s">
        <v>931</v>
      </c>
      <c r="B11016" s="1" t="s">
        <v>962</v>
      </c>
      <c r="C11016" s="1" t="str">
        <f>"66298815834561"</f>
        <v>66298815834561</v>
      </c>
      <c r="D11016" s="1" t="str">
        <f>"CA325/350X18KS"</f>
        <v>CA325/350X18KS</v>
      </c>
      <c r="E11016" s="1" t="s">
        <v>4579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</row>
    <row r="11017" spans="1:11" x14ac:dyDescent="0.2">
      <c r="A11017" s="1" t="s">
        <v>931</v>
      </c>
      <c r="B11017" s="1" t="s">
        <v>963</v>
      </c>
      <c r="C11017" s="1" t="str">
        <f>"CA350/400X18DURO"</f>
        <v>CA350/400X18DURO</v>
      </c>
      <c r="D11017" s="1" t="str">
        <f>"CA350/400X18DURO"</f>
        <v>CA350/400X18DURO</v>
      </c>
      <c r="E11017" s="1" t="s">
        <v>4579</v>
      </c>
      <c r="F11017" s="1">
        <v>2</v>
      </c>
      <c r="G11017" s="1">
        <v>7120</v>
      </c>
      <c r="H11017" s="1">
        <v>14240</v>
      </c>
      <c r="I11017" s="1">
        <v>0</v>
      </c>
      <c r="J11017" s="1">
        <v>2</v>
      </c>
      <c r="K11017" s="1">
        <v>0</v>
      </c>
    </row>
    <row r="11018" spans="1:11" x14ac:dyDescent="0.2">
      <c r="A11018" s="1" t="s">
        <v>931</v>
      </c>
      <c r="B11018" s="1" t="s">
        <v>964</v>
      </c>
      <c r="C11018" s="1" t="str">
        <f>"CA350/400X18SR"</f>
        <v>CA350/400X18SR</v>
      </c>
      <c r="D11018" s="1" t="str">
        <f>"CA350/400X18SR"</f>
        <v>CA350/400X18SR</v>
      </c>
      <c r="E11018" s="1" t="s">
        <v>4579</v>
      </c>
      <c r="F11018" s="1">
        <v>2</v>
      </c>
      <c r="G11018" s="1">
        <v>4000</v>
      </c>
      <c r="H11018" s="1">
        <v>8000</v>
      </c>
      <c r="I11018" s="1">
        <v>0</v>
      </c>
      <c r="J11018" s="1">
        <v>2</v>
      </c>
      <c r="K11018" s="1">
        <v>0</v>
      </c>
    </row>
    <row r="11019" spans="1:11" x14ac:dyDescent="0.2">
      <c r="A11019" s="1" t="s">
        <v>931</v>
      </c>
      <c r="B11019" s="1" t="s">
        <v>965</v>
      </c>
      <c r="C11019" s="1" t="str">
        <f>"CA350X18DURO"</f>
        <v>CA350X18DURO</v>
      </c>
      <c r="D11019" s="1" t="str">
        <f>"CA350X18DURO"</f>
        <v>CA350X18DURO</v>
      </c>
      <c r="E11019" s="1" t="s">
        <v>4579</v>
      </c>
      <c r="F11019" s="1">
        <v>2</v>
      </c>
      <c r="G11019" s="1">
        <v>6280</v>
      </c>
      <c r="H11019" s="1">
        <v>12560</v>
      </c>
      <c r="I11019" s="1">
        <v>0</v>
      </c>
      <c r="J11019" s="1">
        <v>2</v>
      </c>
      <c r="K11019" s="1">
        <v>0</v>
      </c>
    </row>
    <row r="11020" spans="1:11" x14ac:dyDescent="0.2">
      <c r="A11020" s="1" t="s">
        <v>931</v>
      </c>
      <c r="B11020" s="1" t="s">
        <v>966</v>
      </c>
      <c r="C11020" s="1" t="str">
        <f>"CA400/450X18DURO"</f>
        <v>CA400/450X18DURO</v>
      </c>
      <c r="D11020" s="1" t="str">
        <f>"CA400/450X18DURO"</f>
        <v>CA400/450X18DURO</v>
      </c>
      <c r="E11020" s="1" t="s">
        <v>4579</v>
      </c>
      <c r="F11020" s="1">
        <v>2</v>
      </c>
      <c r="G11020" s="1">
        <v>8340</v>
      </c>
      <c r="H11020" s="1">
        <v>16680</v>
      </c>
      <c r="I11020" s="1">
        <v>0</v>
      </c>
      <c r="J11020" s="1">
        <v>2</v>
      </c>
      <c r="K11020" s="1">
        <v>0</v>
      </c>
    </row>
    <row r="11021" spans="1:11" x14ac:dyDescent="0.2">
      <c r="A11021" s="1" t="s">
        <v>931</v>
      </c>
      <c r="B11021" s="1" t="s">
        <v>967</v>
      </c>
      <c r="C11021" s="1" t="str">
        <f>"66298815873489"</f>
        <v>66298815873489</v>
      </c>
      <c r="D11021" s="1" t="str">
        <f>"CA400/450X18VN"</f>
        <v>CA400/450X18VN</v>
      </c>
      <c r="E11021" s="1" t="s">
        <v>4579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</row>
    <row r="11022" spans="1:11" x14ac:dyDescent="0.2">
      <c r="A11022" s="1" t="s">
        <v>931</v>
      </c>
      <c r="B11022" s="1" t="s">
        <v>968</v>
      </c>
      <c r="C11022" s="1" t="str">
        <f>"CA410/460X18SR"</f>
        <v>CA410/460X18SR</v>
      </c>
      <c r="D11022" s="1" t="str">
        <f>"CA410/460X18SR"</f>
        <v>CA410/460X18SR</v>
      </c>
      <c r="E11022" s="1" t="s">
        <v>4579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</row>
    <row r="11023" spans="1:11" x14ac:dyDescent="0.2">
      <c r="A11023" s="1" t="s">
        <v>931</v>
      </c>
      <c r="B11023" s="1" t="s">
        <v>969</v>
      </c>
      <c r="C11023" s="1" t="str">
        <f>"CA410X18DURO"</f>
        <v>CA410X18DURO</v>
      </c>
      <c r="D11023" s="1" t="str">
        <f>"CA410X18DURO"</f>
        <v>CA410X18DURO</v>
      </c>
      <c r="E11023" s="1" t="s">
        <v>4579</v>
      </c>
      <c r="F11023" s="1">
        <v>1</v>
      </c>
      <c r="G11023" s="1">
        <v>8060</v>
      </c>
      <c r="H11023" s="1">
        <v>8060</v>
      </c>
      <c r="I11023" s="1">
        <v>0</v>
      </c>
      <c r="J11023" s="1">
        <v>1</v>
      </c>
      <c r="K11023" s="1">
        <v>0</v>
      </c>
    </row>
    <row r="11024" spans="1:11" x14ac:dyDescent="0.2">
      <c r="A11024" s="1" t="s">
        <v>931</v>
      </c>
      <c r="B11024" s="1" t="s">
        <v>970</v>
      </c>
      <c r="C11024" s="1" t="str">
        <f>"66298815954727"</f>
        <v>66298815954727</v>
      </c>
      <c r="D11024" s="1" t="str">
        <f>"CA460/510X18"</f>
        <v>CA460/510X18</v>
      </c>
      <c r="E11024" s="1" t="s">
        <v>4579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</row>
    <row r="11025" spans="1:11" x14ac:dyDescent="0.2">
      <c r="A11025" s="1" t="s">
        <v>931</v>
      </c>
      <c r="B11025" s="1" t="s">
        <v>971</v>
      </c>
      <c r="C11025" s="1" t="str">
        <f>"CA460/510X18DURO"</f>
        <v>CA460/510X18DURO</v>
      </c>
      <c r="D11025" s="1" t="str">
        <f>"CA460/510X18DURO"</f>
        <v>CA460/510X18DURO</v>
      </c>
      <c r="E11025" s="1" t="s">
        <v>4579</v>
      </c>
      <c r="F11025" s="1">
        <v>2</v>
      </c>
      <c r="G11025" s="1">
        <v>8060</v>
      </c>
      <c r="H11025" s="1">
        <v>16120</v>
      </c>
      <c r="I11025" s="1">
        <v>0</v>
      </c>
      <c r="J11025" s="1">
        <v>2</v>
      </c>
      <c r="K11025" s="1">
        <v>0</v>
      </c>
    </row>
    <row r="11026" spans="1:11" x14ac:dyDescent="0.2">
      <c r="A11026" s="1" t="s">
        <v>931</v>
      </c>
      <c r="B11026" s="1" t="s">
        <v>972</v>
      </c>
      <c r="C11026" s="1" t="str">
        <f>"CA460/510X18SR"</f>
        <v>CA460/510X18SR</v>
      </c>
      <c r="D11026" s="1" t="str">
        <f>"CA460/510X18SR"</f>
        <v>CA460/510X18SR</v>
      </c>
      <c r="E11026" s="1" t="s">
        <v>4579</v>
      </c>
      <c r="F11026" s="1">
        <v>2</v>
      </c>
      <c r="G11026" s="1">
        <v>4706</v>
      </c>
      <c r="H11026" s="1">
        <v>9412</v>
      </c>
      <c r="I11026" s="1">
        <v>0</v>
      </c>
      <c r="J11026" s="1">
        <v>2</v>
      </c>
      <c r="K11026" s="1">
        <v>0</v>
      </c>
    </row>
    <row r="11027" spans="1:11" x14ac:dyDescent="0.2">
      <c r="A11027" s="1" t="s">
        <v>931</v>
      </c>
      <c r="B11027" s="1" t="s">
        <v>973</v>
      </c>
      <c r="C11027" s="1" t="str">
        <f>"66298815911516"</f>
        <v>66298815911516</v>
      </c>
      <c r="D11027" s="1" t="str">
        <f>"CA460/510X18EV"</f>
        <v>CA460/510X18EV</v>
      </c>
      <c r="E11027" s="1" t="s">
        <v>4579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</row>
    <row r="11028" spans="1:11" x14ac:dyDescent="0.2">
      <c r="A11028" s="1" t="s">
        <v>931</v>
      </c>
      <c r="B11028" s="1" t="s">
        <v>974</v>
      </c>
      <c r="C11028" s="1" t="str">
        <f>"66298830946914"</f>
        <v>66298830946914</v>
      </c>
      <c r="D11028" s="1" t="str">
        <f>"CA460X18TS"</f>
        <v>CA460X18TS</v>
      </c>
      <c r="E11028" s="1" t="s">
        <v>4579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</row>
    <row r="11029" spans="1:11" x14ac:dyDescent="0.2">
      <c r="A11029" s="1" t="s">
        <v>931</v>
      </c>
      <c r="B11029" s="1" t="s">
        <v>975</v>
      </c>
      <c r="C11029" s="1" t="str">
        <f>"66298830985742"</f>
        <v>66298830985742</v>
      </c>
      <c r="D11029" s="1" t="str">
        <f>"CA110/80-19TS"</f>
        <v>CA110/80-19TS</v>
      </c>
      <c r="E11029" s="1" t="s">
        <v>4579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</row>
    <row r="11030" spans="1:11" x14ac:dyDescent="0.2">
      <c r="A11030" s="1" t="s">
        <v>931</v>
      </c>
      <c r="B11030" s="1" t="s">
        <v>976</v>
      </c>
      <c r="C11030" s="1" t="str">
        <f>"66298831025016"</f>
        <v>66298831025016</v>
      </c>
      <c r="D11030" s="1" t="str">
        <f>"CA275/300X19DUR"</f>
        <v>CA275/300X19DUR</v>
      </c>
      <c r="E11030" s="1" t="s">
        <v>4579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</row>
    <row r="11031" spans="1:11" x14ac:dyDescent="0.2">
      <c r="A11031" s="1" t="s">
        <v>931</v>
      </c>
      <c r="B11031" s="1" t="s">
        <v>977</v>
      </c>
      <c r="C11031" s="1" t="str">
        <f>"66298831067859"</f>
        <v>66298831067859</v>
      </c>
      <c r="D11031" s="1" t="str">
        <f>"CA275/300X19KS"</f>
        <v>CA275/300X19KS</v>
      </c>
      <c r="E11031" s="1" t="s">
        <v>4579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</row>
    <row r="11032" spans="1:11" x14ac:dyDescent="0.2">
      <c r="A11032" s="1" t="s">
        <v>931</v>
      </c>
      <c r="B11032" s="1" t="s">
        <v>978</v>
      </c>
      <c r="C11032" s="1" t="str">
        <f>"66298831109113"</f>
        <v>66298831109113</v>
      </c>
      <c r="D11032" s="1" t="str">
        <f>"CA275/300X19SR"</f>
        <v>CA275/300X19SR</v>
      </c>
      <c r="E11032" s="1" t="s">
        <v>4579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</row>
    <row r="11033" spans="1:11" x14ac:dyDescent="0.2">
      <c r="A11033" s="1" t="s">
        <v>931</v>
      </c>
      <c r="B11033" s="1" t="s">
        <v>979</v>
      </c>
      <c r="C11033" s="1" t="str">
        <f>"CA350/400X19DURO"</f>
        <v>CA350/400X19DURO</v>
      </c>
      <c r="D11033" s="1" t="str">
        <f>"CA350/400X19DURO"</f>
        <v>CA350/400X19DURO</v>
      </c>
      <c r="E11033" s="1" t="s">
        <v>4579</v>
      </c>
      <c r="F11033" s="1">
        <v>2</v>
      </c>
      <c r="G11033" s="1">
        <v>7240</v>
      </c>
      <c r="H11033" s="1">
        <v>14480</v>
      </c>
      <c r="I11033" s="1">
        <v>0</v>
      </c>
      <c r="J11033" s="1">
        <v>2</v>
      </c>
      <c r="K11033" s="1">
        <v>0</v>
      </c>
    </row>
    <row r="11034" spans="1:11" x14ac:dyDescent="0.2">
      <c r="A11034" s="1" t="s">
        <v>931</v>
      </c>
      <c r="B11034" s="1" t="s">
        <v>980</v>
      </c>
      <c r="C11034" s="1" t="str">
        <f>"66298831189386"</f>
        <v>66298831189386</v>
      </c>
      <c r="D11034" s="1" t="str">
        <f>"CA350/400X19KS"</f>
        <v>CA350/400X19KS</v>
      </c>
      <c r="E11034" s="1" t="s">
        <v>4579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</row>
    <row r="11035" spans="1:11" x14ac:dyDescent="0.2">
      <c r="A11035" s="1" t="s">
        <v>931</v>
      </c>
      <c r="B11035" s="1" t="s">
        <v>981</v>
      </c>
      <c r="C11035" s="1" t="str">
        <f>"CA350X19DURO"</f>
        <v>CA350X19DURO</v>
      </c>
      <c r="D11035" s="1" t="str">
        <f>"CA350X19DURO"</f>
        <v>CA350X19DURO</v>
      </c>
      <c r="E11035" s="1" t="s">
        <v>4579</v>
      </c>
      <c r="F11035" s="1">
        <v>2</v>
      </c>
      <c r="G11035" s="1">
        <v>6780</v>
      </c>
      <c r="H11035" s="1">
        <v>13560</v>
      </c>
      <c r="I11035" s="1">
        <v>0</v>
      </c>
      <c r="J11035" s="1">
        <v>2</v>
      </c>
      <c r="K11035" s="1">
        <v>0</v>
      </c>
    </row>
    <row r="11036" spans="1:11" x14ac:dyDescent="0.2">
      <c r="A11036" s="1" t="s">
        <v>931</v>
      </c>
      <c r="B11036" s="1" t="s">
        <v>982</v>
      </c>
      <c r="C11036" s="1" t="str">
        <f>"CA400/460X19SR"</f>
        <v>CA400/460X19SR</v>
      </c>
      <c r="D11036" s="1" t="str">
        <f>"CA400/460X19SR"</f>
        <v>CA400/460X19SR</v>
      </c>
      <c r="E11036" s="1" t="s">
        <v>4579</v>
      </c>
      <c r="F11036" s="1">
        <v>3</v>
      </c>
      <c r="G11036" s="1">
        <v>4000</v>
      </c>
      <c r="H11036" s="1">
        <v>12000</v>
      </c>
      <c r="I11036" s="1">
        <v>0</v>
      </c>
      <c r="J11036" s="1">
        <v>3</v>
      </c>
      <c r="K11036" s="1">
        <v>0</v>
      </c>
    </row>
    <row r="11037" spans="1:11" x14ac:dyDescent="0.2">
      <c r="A11037" s="1" t="s">
        <v>931</v>
      </c>
      <c r="B11037" s="1" t="s">
        <v>983</v>
      </c>
      <c r="C11037" s="1" t="str">
        <f>"66298831717906"</f>
        <v>66298831717906</v>
      </c>
      <c r="D11037" s="1" t="str">
        <f>"CA275/300X21"</f>
        <v>CA275/300X21</v>
      </c>
      <c r="E11037" s="1" t="s">
        <v>4579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</row>
    <row r="11038" spans="1:11" x14ac:dyDescent="0.2">
      <c r="A11038" s="1" t="s">
        <v>931</v>
      </c>
      <c r="B11038" s="1" t="s">
        <v>984</v>
      </c>
      <c r="C11038" s="1" t="str">
        <f>"CA275/300X21DURO"</f>
        <v>CA275/300X21DURO</v>
      </c>
      <c r="D11038" s="1" t="str">
        <f>"CA275/300X21DURO"</f>
        <v>CA275/300X21DURO</v>
      </c>
      <c r="E11038" s="1" t="s">
        <v>4579</v>
      </c>
      <c r="F11038" s="1">
        <v>2</v>
      </c>
      <c r="G11038" s="1">
        <v>5280</v>
      </c>
      <c r="H11038" s="1">
        <v>10560</v>
      </c>
      <c r="I11038" s="1">
        <v>0</v>
      </c>
      <c r="J11038" s="1">
        <v>2</v>
      </c>
      <c r="K11038" s="1">
        <v>0</v>
      </c>
    </row>
    <row r="11039" spans="1:11" x14ac:dyDescent="0.2">
      <c r="A11039" s="1" t="s">
        <v>931</v>
      </c>
      <c r="B11039" s="1" t="s">
        <v>985</v>
      </c>
      <c r="C11039" s="1" t="str">
        <f>"CA275/300X21JALYN"</f>
        <v>CA275/300X21JALYN</v>
      </c>
      <c r="D11039" s="1" t="str">
        <f>"CA275/300X21JALYN"</f>
        <v>CA275/300X21JALYN</v>
      </c>
      <c r="E11039" s="1" t="s">
        <v>4579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</row>
    <row r="11040" spans="1:11" x14ac:dyDescent="0.2">
      <c r="A11040" s="1" t="s">
        <v>931</v>
      </c>
      <c r="B11040" s="1" t="s">
        <v>986</v>
      </c>
      <c r="C11040" s="1" t="str">
        <f>"CA275/300X21SR"</f>
        <v>CA275/300X21SR</v>
      </c>
      <c r="D11040" s="1" t="str">
        <f>"CA275/300X21SR"</f>
        <v>CA275/300X21SR</v>
      </c>
      <c r="E11040" s="1" t="s">
        <v>4579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</row>
    <row r="11041" spans="1:11" x14ac:dyDescent="0.2">
      <c r="A11041" s="1" t="s">
        <v>931</v>
      </c>
      <c r="B11041" s="1" t="s">
        <v>987</v>
      </c>
      <c r="C11041" s="1" t="str">
        <f>"66298832175150"</f>
        <v>66298832175150</v>
      </c>
      <c r="D11041" s="1" t="str">
        <f>"CA275/300X21VN"</f>
        <v>CA275/300X21VN</v>
      </c>
      <c r="E11041" s="1" t="s">
        <v>4579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</row>
    <row r="11042" spans="1:11" ht="30" x14ac:dyDescent="0.2">
      <c r="A11042" s="1" t="s">
        <v>988</v>
      </c>
      <c r="B11042" s="1" t="s">
        <v>989</v>
      </c>
      <c r="C11042" s="1" t="str">
        <f>"CM-BM-FR-0-150"</f>
        <v>CM-BM-FR-0-150</v>
      </c>
      <c r="D11042" s="1" t="str">
        <f>"CM-BM-FR-0-150"</f>
        <v>CM-BM-FR-0-150</v>
      </c>
      <c r="E11042" s="1" t="s">
        <v>4579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</row>
    <row r="11043" spans="1:11" ht="30" x14ac:dyDescent="0.2">
      <c r="A11043" s="1" t="s">
        <v>988</v>
      </c>
      <c r="B11043" s="1" t="s">
        <v>990</v>
      </c>
      <c r="C11043" s="1" t="str">
        <f>"CM-BM-FR-160-400"</f>
        <v>CM-BM-FR-160-400</v>
      </c>
      <c r="D11043" s="1" t="str">
        <f>"CM-BM-FR-160-400"</f>
        <v>CM-BM-FR-160-400</v>
      </c>
      <c r="E11043" s="1" t="s">
        <v>4579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</row>
    <row r="11044" spans="1:11" ht="30" x14ac:dyDescent="0.2">
      <c r="A11044" s="1" t="s">
        <v>988</v>
      </c>
      <c r="B11044" s="1" t="s">
        <v>991</v>
      </c>
      <c r="C11044" s="1" t="str">
        <f>"CM-BM-FR-450-1000"</f>
        <v>CM-BM-FR-450-1000</v>
      </c>
      <c r="D11044" s="1" t="str">
        <f>"CM-BM-FR-450-1000"</f>
        <v>CM-BM-FR-450-1000</v>
      </c>
      <c r="E11044" s="1" t="s">
        <v>4579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</row>
    <row r="11045" spans="1:11" x14ac:dyDescent="0.2">
      <c r="A11045" s="1" t="s">
        <v>988</v>
      </c>
      <c r="B11045" s="1" t="s">
        <v>992</v>
      </c>
      <c r="C11045" s="1" t="str">
        <f>"CM-FS-CR-0-150"</f>
        <v>CM-FS-CR-0-150</v>
      </c>
      <c r="D11045" s="1" t="str">
        <f>"CM-FS-CR-0-150"</f>
        <v>CM-FS-CR-0-150</v>
      </c>
      <c r="E11045" s="1" t="s">
        <v>4579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</row>
    <row r="11046" spans="1:11" x14ac:dyDescent="0.2">
      <c r="A11046" s="1" t="s">
        <v>988</v>
      </c>
      <c r="B11046" s="1" t="s">
        <v>993</v>
      </c>
      <c r="C11046" s="1" t="str">
        <f>"CM-FS-CR-160-400"</f>
        <v>CM-FS-CR-160-400</v>
      </c>
      <c r="D11046" s="1" t="str">
        <f>"CM-FS-CR-160-400"</f>
        <v>CM-FS-CR-160-400</v>
      </c>
      <c r="E11046" s="1" t="s">
        <v>4579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</row>
    <row r="11047" spans="1:11" x14ac:dyDescent="0.2">
      <c r="A11047" s="1" t="s">
        <v>988</v>
      </c>
      <c r="B11047" s="1" t="s">
        <v>994</v>
      </c>
      <c r="C11047" s="1" t="str">
        <f>"CM-FS-CR-450-1000"</f>
        <v>CM-FS-CR-450-1000</v>
      </c>
      <c r="D11047" s="1" t="str">
        <f>"CM-FS-CR-450-1000"</f>
        <v>CM-FS-CR-450-1000</v>
      </c>
      <c r="E11047" s="1" t="s">
        <v>4579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</row>
    <row r="11048" spans="1:11" x14ac:dyDescent="0.2">
      <c r="A11048" s="1" t="s">
        <v>988</v>
      </c>
      <c r="B11048" s="1" t="s">
        <v>995</v>
      </c>
      <c r="C11048" s="1" t="str">
        <f>"CM-MN-FE-0-150"</f>
        <v>CM-MN-FE-0-150</v>
      </c>
      <c r="D11048" s="1" t="str">
        <f>"CM-MN-FE-0-150"</f>
        <v>CM-MN-FE-0-150</v>
      </c>
      <c r="E11048" s="1" t="s">
        <v>4579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</row>
    <row r="11049" spans="1:11" x14ac:dyDescent="0.2">
      <c r="A11049" s="1" t="s">
        <v>988</v>
      </c>
      <c r="B11049" s="1" t="s">
        <v>996</v>
      </c>
      <c r="C11049" s="1" t="str">
        <f>"CM-MN-FE-160-400"</f>
        <v>CM-MN-FE-160-400</v>
      </c>
      <c r="D11049" s="1" t="str">
        <f>"CM-MN-FE-160-400"</f>
        <v>CM-MN-FE-160-400</v>
      </c>
      <c r="E11049" s="1" t="s">
        <v>4579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</row>
    <row r="11050" spans="1:11" x14ac:dyDescent="0.2">
      <c r="A11050" s="1" t="s">
        <v>988</v>
      </c>
      <c r="B11050" s="1" t="s">
        <v>997</v>
      </c>
      <c r="C11050" s="1" t="str">
        <f>"CM-MN-FE-450-1000"</f>
        <v>CM-MN-FE-450-1000</v>
      </c>
      <c r="D11050" s="1" t="str">
        <f>"CM-MN-FE-450-1000"</f>
        <v>CM-MN-FE-450-1000</v>
      </c>
      <c r="E11050" s="1" t="s">
        <v>4579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</row>
    <row r="11051" spans="1:11" x14ac:dyDescent="0.2">
      <c r="A11051" s="1" t="s">
        <v>988</v>
      </c>
      <c r="B11051" s="1" t="s">
        <v>998</v>
      </c>
      <c r="C11051" s="1" t="str">
        <f>"CM-MR-EF-0-150"</f>
        <v>CM-MR-EF-0-150</v>
      </c>
      <c r="D11051" s="1" t="str">
        <f>"CM-MR-EF-0-150"</f>
        <v>CM-MR-EF-0-150</v>
      </c>
      <c r="E11051" s="1" t="s">
        <v>4579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</row>
    <row r="11052" spans="1:11" x14ac:dyDescent="0.2">
      <c r="A11052" s="1" t="s">
        <v>988</v>
      </c>
      <c r="B11052" s="1" t="s">
        <v>999</v>
      </c>
      <c r="C11052" s="1" t="str">
        <f>"CM-MR-EF-160-400"</f>
        <v>CM-MR-EF-160-400</v>
      </c>
      <c r="D11052" s="1" t="str">
        <f>"CM-MR-EF-160-400"</f>
        <v>CM-MR-EF-160-400</v>
      </c>
      <c r="E11052" s="1" t="s">
        <v>4579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</row>
    <row r="11053" spans="1:11" x14ac:dyDescent="0.2">
      <c r="A11053" s="1" t="s">
        <v>988</v>
      </c>
      <c r="B11053" s="1" t="s">
        <v>1000</v>
      </c>
      <c r="C11053" s="1" t="str">
        <f>"CM-MR-EF-450-1000"</f>
        <v>CM-MR-EF-450-1000</v>
      </c>
      <c r="D11053" s="1" t="str">
        <f>"CM-MR-EF-450-1000"</f>
        <v>CM-MR-EF-450-1000</v>
      </c>
      <c r="E11053" s="1" t="s">
        <v>4579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</row>
    <row r="11054" spans="1:11" x14ac:dyDescent="0.2">
      <c r="A11054" s="1" t="s">
        <v>988</v>
      </c>
      <c r="B11054" s="1" t="s">
        <v>1001</v>
      </c>
      <c r="C11054" s="1" t="str">
        <f>"CM-PS-TR-0-150"</f>
        <v>CM-PS-TR-0-150</v>
      </c>
      <c r="D11054" s="1" t="str">
        <f>"CM-PS-TR-0-150"</f>
        <v>CM-PS-TR-0-150</v>
      </c>
      <c r="E11054" s="1" t="s">
        <v>4579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</row>
    <row r="11055" spans="1:11" x14ac:dyDescent="0.2">
      <c r="A11055" s="1" t="s">
        <v>988</v>
      </c>
      <c r="B11055" s="1" t="s">
        <v>1002</v>
      </c>
      <c r="C11055" s="1" t="str">
        <f>"CM-PS-TR-160-400"</f>
        <v>CM-PS-TR-160-400</v>
      </c>
      <c r="D11055" s="1" t="str">
        <f>"CM-PS-TR-160-400"</f>
        <v>CM-PS-TR-160-400</v>
      </c>
      <c r="E11055" s="1" t="s">
        <v>4579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</row>
    <row r="11056" spans="1:11" x14ac:dyDescent="0.2">
      <c r="A11056" s="1" t="s">
        <v>1003</v>
      </c>
      <c r="B11056" s="1" t="s">
        <v>1004</v>
      </c>
      <c r="C11056" s="1" t="str">
        <f>"10493"</f>
        <v>10493</v>
      </c>
      <c r="D11056" s="1" t="str">
        <f>"10493"</f>
        <v>10493</v>
      </c>
      <c r="E11056" s="1" t="s">
        <v>4579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</row>
    <row r="11057" spans="1:11" x14ac:dyDescent="0.2">
      <c r="A11057" s="1" t="s">
        <v>1003</v>
      </c>
      <c r="B11057" s="1" t="s">
        <v>1005</v>
      </c>
      <c r="C11057" s="1" t="str">
        <f>"P2305005"</f>
        <v>P2305005</v>
      </c>
      <c r="D11057" s="1" t="str">
        <f>"P2305005"</f>
        <v>P2305005</v>
      </c>
      <c r="E11057" s="1" t="s">
        <v>4579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</row>
    <row r="11058" spans="1:11" x14ac:dyDescent="0.2">
      <c r="A11058" s="1" t="s">
        <v>1003</v>
      </c>
      <c r="B11058" s="1" t="s">
        <v>1006</v>
      </c>
      <c r="C11058" s="1" t="str">
        <f>"C211"</f>
        <v>C211</v>
      </c>
      <c r="D11058" s="1" t="str">
        <f>"C211"</f>
        <v>C211</v>
      </c>
      <c r="E11058" s="1" t="s">
        <v>4579</v>
      </c>
      <c r="F11058" s="1">
        <v>1</v>
      </c>
      <c r="G11058" s="1">
        <v>10940</v>
      </c>
      <c r="H11058" s="1">
        <v>10940</v>
      </c>
      <c r="I11058" s="1">
        <v>0</v>
      </c>
      <c r="J11058" s="1">
        <v>1</v>
      </c>
      <c r="K11058" s="1">
        <v>0</v>
      </c>
    </row>
    <row r="11059" spans="1:11" x14ac:dyDescent="0.2">
      <c r="A11059" s="1" t="s">
        <v>1003</v>
      </c>
      <c r="B11059" s="1" t="s">
        <v>1007</v>
      </c>
      <c r="C11059" s="1" t="str">
        <f>"66298832269236"</f>
        <v>66298832269236</v>
      </c>
      <c r="D11059" s="1" t="str">
        <f>"C208"</f>
        <v>C208</v>
      </c>
      <c r="E11059" s="1" t="s">
        <v>4579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</row>
    <row r="11060" spans="1:11" x14ac:dyDescent="0.2">
      <c r="A11060" s="1" t="s">
        <v>1003</v>
      </c>
      <c r="B11060" s="1" t="s">
        <v>1008</v>
      </c>
      <c r="C11060" s="1" t="str">
        <f>"66298832318787"</f>
        <v>66298832318787</v>
      </c>
      <c r="D11060" s="1" t="str">
        <f>"22101-M9Q-0003"</f>
        <v>22101-M9Q-0003</v>
      </c>
      <c r="E11060" s="1" t="s">
        <v>4579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</row>
    <row r="11061" spans="1:11" x14ac:dyDescent="0.2">
      <c r="A11061" s="1" t="s">
        <v>1003</v>
      </c>
      <c r="B11061" s="1" t="s">
        <v>1009</v>
      </c>
      <c r="C11061" s="1" t="str">
        <f>"C203"</f>
        <v>C203</v>
      </c>
      <c r="D11061" s="1" t="str">
        <f>"C203"</f>
        <v>C203</v>
      </c>
      <c r="E11061" s="1" t="s">
        <v>4579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</row>
    <row r="11062" spans="1:11" x14ac:dyDescent="0.2">
      <c r="A11062" s="1" t="s">
        <v>1003</v>
      </c>
      <c r="B11062" s="1" t="s">
        <v>1010</v>
      </c>
      <c r="C11062" s="1" t="str">
        <f>"66298832367661"</f>
        <v>66298832367661</v>
      </c>
      <c r="D11062" s="1" t="str">
        <f>"C213"</f>
        <v>C213</v>
      </c>
      <c r="E11062" s="1" t="s">
        <v>4579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</row>
    <row r="11063" spans="1:11" x14ac:dyDescent="0.2">
      <c r="A11063" s="1" t="s">
        <v>1003</v>
      </c>
      <c r="B11063" s="1" t="s">
        <v>1011</v>
      </c>
      <c r="C11063" s="1" t="str">
        <f>"P21040037"</f>
        <v>P21040037</v>
      </c>
      <c r="D11063" s="1" t="str">
        <f>"P21040037"</f>
        <v>P21040037</v>
      </c>
      <c r="E11063" s="1" t="s">
        <v>4579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</row>
    <row r="11064" spans="1:11" x14ac:dyDescent="0.2">
      <c r="A11064" s="1" t="s">
        <v>1003</v>
      </c>
      <c r="B11064" s="1" t="s">
        <v>1012</v>
      </c>
      <c r="C11064" s="1" t="str">
        <f>"2889"</f>
        <v>2889</v>
      </c>
      <c r="D11064" s="1" t="str">
        <f>"2889"</f>
        <v>2889</v>
      </c>
      <c r="E11064" s="1" t="s">
        <v>4579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</row>
    <row r="11065" spans="1:11" x14ac:dyDescent="0.2">
      <c r="A11065" s="1" t="s">
        <v>342</v>
      </c>
      <c r="B11065" s="1" t="s">
        <v>1013</v>
      </c>
      <c r="C11065" s="1" t="str">
        <f>"66298832411705"</f>
        <v>66298832411705</v>
      </c>
      <c r="D11065" s="1" t="str">
        <f>"93310-418E9JP"</f>
        <v>93310-418E9JP</v>
      </c>
      <c r="E11065" s="1" t="s">
        <v>4579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</row>
    <row r="11066" spans="1:11" x14ac:dyDescent="0.2">
      <c r="A11066" s="1" t="s">
        <v>342</v>
      </c>
      <c r="B11066" s="1" t="s">
        <v>1014</v>
      </c>
      <c r="C11066" s="1" t="str">
        <f>"66298832455586"</f>
        <v>66298832455586</v>
      </c>
      <c r="D11066" s="1" t="str">
        <f>"91105-KW3-003JP"</f>
        <v>91105-KW3-003JP</v>
      </c>
      <c r="E11066" s="1" t="s">
        <v>4579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</row>
    <row r="11067" spans="1:11" x14ac:dyDescent="0.2">
      <c r="A11067" s="1" t="s">
        <v>342</v>
      </c>
      <c r="B11067" s="1" t="s">
        <v>1014</v>
      </c>
      <c r="C11067" s="1" t="str">
        <f>"66298832463486"</f>
        <v>66298832463486</v>
      </c>
      <c r="D11067" s="1" t="str">
        <f>"91105-KPF-900JP"</f>
        <v>91105-KPF-900JP</v>
      </c>
      <c r="E11067" s="1" t="s">
        <v>4579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</row>
    <row r="11068" spans="1:11" x14ac:dyDescent="0.2">
      <c r="A11068" s="1" t="s">
        <v>342</v>
      </c>
      <c r="B11068" s="1" t="s">
        <v>1015</v>
      </c>
      <c r="C11068" s="1" t="str">
        <f>"66298832524296"</f>
        <v>66298832524296</v>
      </c>
      <c r="D11068" s="1" t="str">
        <f>"91101-KGH-901JP"</f>
        <v>91101-KGH-901JP</v>
      </c>
      <c r="E11068" s="1" t="s">
        <v>4579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</row>
    <row r="11069" spans="1:11" x14ac:dyDescent="0.2">
      <c r="A11069" s="1" t="s">
        <v>98</v>
      </c>
      <c r="B11069" s="1" t="s">
        <v>1016</v>
      </c>
      <c r="C11069" s="1" t="str">
        <f>"66298832567258"</f>
        <v>66298832567258</v>
      </c>
      <c r="D11069" s="1" t="str">
        <f>"CE009"</f>
        <v>CE009</v>
      </c>
      <c r="E11069" s="1" t="s">
        <v>4579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</row>
    <row r="11070" spans="1:11" x14ac:dyDescent="0.2">
      <c r="A11070" s="1" t="s">
        <v>1017</v>
      </c>
      <c r="B11070" s="1" t="s">
        <v>1018</v>
      </c>
      <c r="C11070" s="1" t="str">
        <f>"C-420"</f>
        <v>C-420</v>
      </c>
      <c r="D11070" s="1" t="str">
        <f>"C-420"</f>
        <v>C-420</v>
      </c>
      <c r="E11070" s="1" t="s">
        <v>4579</v>
      </c>
      <c r="F11070" s="1">
        <v>2</v>
      </c>
      <c r="G11070" s="1">
        <v>299.43</v>
      </c>
      <c r="H11070" s="1">
        <v>599</v>
      </c>
      <c r="I11070" s="1">
        <v>0</v>
      </c>
      <c r="J11070" s="1">
        <v>2</v>
      </c>
      <c r="K11070" s="1">
        <v>0</v>
      </c>
    </row>
    <row r="11071" spans="1:11" x14ac:dyDescent="0.2">
      <c r="A11071" s="1" t="s">
        <v>1017</v>
      </c>
      <c r="B11071" s="1" t="s">
        <v>1019</v>
      </c>
      <c r="C11071" s="1" t="str">
        <f>"C-428"</f>
        <v>C-428</v>
      </c>
      <c r="D11071" s="1" t="str">
        <f>"C-428"</f>
        <v>C-428</v>
      </c>
      <c r="E11071" s="1" t="s">
        <v>4579</v>
      </c>
      <c r="F11071" s="1">
        <v>2</v>
      </c>
      <c r="G11071" s="1">
        <v>299.43</v>
      </c>
      <c r="H11071" s="1">
        <v>599</v>
      </c>
      <c r="I11071" s="1">
        <v>0</v>
      </c>
      <c r="J11071" s="1">
        <v>2</v>
      </c>
      <c r="K11071" s="1">
        <v>0</v>
      </c>
    </row>
    <row r="11072" spans="1:11" x14ac:dyDescent="0.2">
      <c r="A11072" s="1" t="s">
        <v>1017</v>
      </c>
      <c r="B11072" s="1" t="s">
        <v>1020</v>
      </c>
      <c r="C11072" s="1" t="str">
        <f>"66298832609459"</f>
        <v>66298832609459</v>
      </c>
      <c r="D11072" s="1" t="str">
        <f>"NB005"</f>
        <v>NB005</v>
      </c>
      <c r="E11072" s="1" t="s">
        <v>4579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</row>
    <row r="11073" spans="1:11" x14ac:dyDescent="0.2">
      <c r="A11073" s="1" t="s">
        <v>829</v>
      </c>
      <c r="B11073" s="1" t="s">
        <v>1021</v>
      </c>
      <c r="C11073" s="1" t="str">
        <f>"100000M223"</f>
        <v>100000M223</v>
      </c>
      <c r="D11073" s="1" t="str">
        <f>"100000M223"</f>
        <v>100000M223</v>
      </c>
      <c r="E11073" s="1" t="s">
        <v>4579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</row>
    <row r="11074" spans="1:11" x14ac:dyDescent="0.2">
      <c r="A11074" s="1" t="s">
        <v>1017</v>
      </c>
      <c r="B11074" s="1" t="s">
        <v>1022</v>
      </c>
      <c r="C11074" s="1" t="str">
        <f>"66298832653195"</f>
        <v>66298832653195</v>
      </c>
      <c r="D11074" s="1" t="str">
        <f>"207"</f>
        <v>207</v>
      </c>
      <c r="E11074" s="1" t="s">
        <v>4579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</row>
    <row r="11075" spans="1:11" ht="30" x14ac:dyDescent="0.2">
      <c r="A11075" s="1" t="s">
        <v>18</v>
      </c>
      <c r="B11075" s="1" t="s">
        <v>1023</v>
      </c>
      <c r="C11075" s="1" t="str">
        <f>"17793"</f>
        <v>17793</v>
      </c>
      <c r="D11075" s="1" t="str">
        <f>"17793"</f>
        <v>17793</v>
      </c>
      <c r="E11075" s="1" t="s">
        <v>4579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</row>
    <row r="11076" spans="1:11" ht="30" x14ac:dyDescent="0.2">
      <c r="A11076" s="1" t="s">
        <v>18</v>
      </c>
      <c r="B11076" s="1" t="s">
        <v>1024</v>
      </c>
      <c r="C11076" s="1" t="str">
        <f>"18285"</f>
        <v>18285</v>
      </c>
      <c r="D11076" s="1" t="str">
        <f>"18285"</f>
        <v>18285</v>
      </c>
      <c r="E11076" s="1" t="s">
        <v>4579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</row>
    <row r="11077" spans="1:11" ht="30" x14ac:dyDescent="0.2">
      <c r="A11077" s="1" t="s">
        <v>18</v>
      </c>
      <c r="B11077" s="1" t="s">
        <v>1025</v>
      </c>
      <c r="C11077" s="1" t="str">
        <f>"18288"</f>
        <v>18288</v>
      </c>
      <c r="D11077" s="1" t="str">
        <f>"18288"</f>
        <v>18288</v>
      </c>
      <c r="E11077" s="1" t="s">
        <v>4579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</row>
    <row r="11078" spans="1:11" ht="30" x14ac:dyDescent="0.2">
      <c r="A11078" s="1" t="s">
        <v>18</v>
      </c>
      <c r="B11078" s="1" t="s">
        <v>1026</v>
      </c>
      <c r="C11078" s="1" t="str">
        <f>"18290"</f>
        <v>18290</v>
      </c>
      <c r="D11078" s="1" t="str">
        <f>"18290"</f>
        <v>18290</v>
      </c>
      <c r="E11078" s="1" t="s">
        <v>4579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</row>
    <row r="11079" spans="1:11" ht="30" x14ac:dyDescent="0.2">
      <c r="A11079" s="1" t="s">
        <v>18</v>
      </c>
      <c r="B11079" s="1" t="s">
        <v>1027</v>
      </c>
      <c r="C11079" s="1" t="str">
        <f>"18314"</f>
        <v>18314</v>
      </c>
      <c r="D11079" s="1" t="str">
        <f>"18314"</f>
        <v>18314</v>
      </c>
      <c r="E11079" s="1" t="s">
        <v>4579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</row>
    <row r="11080" spans="1:11" x14ac:dyDescent="0.2">
      <c r="A11080" s="1" t="s">
        <v>18</v>
      </c>
      <c r="B11080" s="1" t="s">
        <v>1028</v>
      </c>
      <c r="C11080" s="1" t="str">
        <f>"66298832695353"</f>
        <v>66298832695353</v>
      </c>
      <c r="D11080" s="1" t="str">
        <f>"676-AMARILLO"</f>
        <v>676-AMARILLO</v>
      </c>
      <c r="E11080" s="1" t="s">
        <v>4579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</row>
    <row r="11081" spans="1:11" x14ac:dyDescent="0.2">
      <c r="A11081" s="1" t="s">
        <v>18</v>
      </c>
      <c r="B11081" s="1" t="s">
        <v>1029</v>
      </c>
      <c r="C11081" s="1" t="str">
        <f>"66298832733578"</f>
        <v>66298832733578</v>
      </c>
      <c r="D11081" s="1" t="str">
        <f>"676-ROJO"</f>
        <v>676-ROJO</v>
      </c>
      <c r="E11081" s="1" t="s">
        <v>4579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</row>
    <row r="11082" spans="1:11" ht="30" x14ac:dyDescent="0.2">
      <c r="A11082" s="1" t="s">
        <v>18</v>
      </c>
      <c r="B11082" s="1" t="s">
        <v>1030</v>
      </c>
      <c r="C11082" s="1" t="str">
        <f>"127126-FLUOR"</f>
        <v>127126-FLUOR</v>
      </c>
      <c r="D11082" s="1" t="str">
        <f>"127126-FLUOR"</f>
        <v>127126-FLUOR</v>
      </c>
      <c r="E11082" s="1" t="s">
        <v>4579</v>
      </c>
      <c r="F11082" s="1">
        <v>1</v>
      </c>
      <c r="G11082" s="1">
        <v>8824</v>
      </c>
      <c r="H11082" s="1">
        <v>8824</v>
      </c>
      <c r="I11082" s="1">
        <v>0</v>
      </c>
      <c r="J11082" s="1">
        <v>1</v>
      </c>
      <c r="K11082" s="1">
        <v>0</v>
      </c>
    </row>
    <row r="11083" spans="1:11" ht="30" x14ac:dyDescent="0.2">
      <c r="A11083" s="1" t="s">
        <v>18</v>
      </c>
      <c r="B11083" s="1" t="s">
        <v>1031</v>
      </c>
      <c r="C11083" s="1" t="str">
        <f>"127126-ROJO"</f>
        <v>127126-ROJO</v>
      </c>
      <c r="D11083" s="1" t="str">
        <f>"127126-ROJO"</f>
        <v>127126-ROJO</v>
      </c>
      <c r="E11083" s="1" t="s">
        <v>4579</v>
      </c>
      <c r="F11083" s="1">
        <v>1</v>
      </c>
      <c r="G11083" s="1">
        <v>8824</v>
      </c>
      <c r="H11083" s="1">
        <v>8824</v>
      </c>
      <c r="I11083" s="1">
        <v>0</v>
      </c>
      <c r="J11083" s="1">
        <v>1</v>
      </c>
      <c r="K11083" s="1">
        <v>0</v>
      </c>
    </row>
    <row r="11084" spans="1:11" x14ac:dyDescent="0.2">
      <c r="A11084" s="1" t="s">
        <v>18</v>
      </c>
      <c r="B11084" s="1" t="s">
        <v>1032</v>
      </c>
      <c r="C11084" s="1" t="str">
        <f>"AE003"</f>
        <v>AE003</v>
      </c>
      <c r="D11084" s="1" t="str">
        <f>"AE003"</f>
        <v>AE003</v>
      </c>
      <c r="E11084" s="1" t="s">
        <v>4579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</row>
    <row r="11085" spans="1:11" x14ac:dyDescent="0.2">
      <c r="A11085" s="1" t="s">
        <v>18</v>
      </c>
      <c r="B11085" s="1" t="s">
        <v>1032</v>
      </c>
      <c r="C11085" s="1" t="str">
        <f>"817-C"</f>
        <v>817-C</v>
      </c>
      <c r="D11085" s="1" t="str">
        <f>"817-C"</f>
        <v>817-C</v>
      </c>
      <c r="E11085" s="1" t="s">
        <v>4579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</row>
    <row r="11086" spans="1:11" x14ac:dyDescent="0.2">
      <c r="A11086" s="1" t="s">
        <v>18</v>
      </c>
      <c r="B11086" s="1" t="s">
        <v>1032</v>
      </c>
      <c r="C11086" s="1" t="str">
        <f>"681"</f>
        <v>681</v>
      </c>
      <c r="D11086" s="1" t="str">
        <f>"681"</f>
        <v>681</v>
      </c>
      <c r="E11086" s="1" t="s">
        <v>4579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</row>
    <row r="11087" spans="1:11" x14ac:dyDescent="0.2">
      <c r="A11087" s="1" t="s">
        <v>18</v>
      </c>
      <c r="B11087" s="1" t="s">
        <v>1032</v>
      </c>
      <c r="C11087" s="1" t="str">
        <f>"LK603"</f>
        <v>LK603</v>
      </c>
      <c r="D11087" s="1" t="str">
        <f>"LK603"</f>
        <v>LK603</v>
      </c>
      <c r="E11087" s="1" t="s">
        <v>4579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</row>
    <row r="11088" spans="1:11" x14ac:dyDescent="0.2">
      <c r="A11088" s="1" t="s">
        <v>1017</v>
      </c>
      <c r="B11088" s="1" t="s">
        <v>1033</v>
      </c>
      <c r="C11088" s="1" t="str">
        <f>"66298832774091"</f>
        <v>66298832774091</v>
      </c>
      <c r="D11088" s="1" t="str">
        <f>"AE005"</f>
        <v>AE005</v>
      </c>
      <c r="E11088" s="1" t="s">
        <v>4579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</row>
    <row r="11089" spans="1:11" x14ac:dyDescent="0.2">
      <c r="A11089" s="1" t="s">
        <v>1017</v>
      </c>
      <c r="B11089" s="1" t="s">
        <v>1034</v>
      </c>
      <c r="C11089" s="1" t="str">
        <f>"66298832814606"</f>
        <v>66298832814606</v>
      </c>
      <c r="D11089" s="1" t="str">
        <f>"AE008-AZUL"</f>
        <v>AE008-AZUL</v>
      </c>
      <c r="E11089" s="1" t="s">
        <v>4579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</row>
    <row r="11090" spans="1:11" x14ac:dyDescent="0.2">
      <c r="A11090" s="1" t="s">
        <v>1017</v>
      </c>
      <c r="B11090" s="1" t="s">
        <v>1035</v>
      </c>
      <c r="C11090" s="1" t="str">
        <f>"66298832852479"</f>
        <v>66298832852479</v>
      </c>
      <c r="D11090" s="1" t="str">
        <f>"AE008-CROMADO"</f>
        <v>AE008-CROMADO</v>
      </c>
      <c r="E11090" s="1" t="s">
        <v>4579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</row>
    <row r="11091" spans="1:11" x14ac:dyDescent="0.2">
      <c r="A11091" s="1" t="s">
        <v>1017</v>
      </c>
      <c r="B11091" s="1" t="s">
        <v>1036</v>
      </c>
      <c r="C11091" s="1" t="str">
        <f>"66298832890476"</f>
        <v>66298832890476</v>
      </c>
      <c r="D11091" s="1" t="str">
        <f>"AE008-DORADO"</f>
        <v>AE008-DORADO</v>
      </c>
      <c r="E11091" s="1" t="s">
        <v>4579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</row>
    <row r="11092" spans="1:11" x14ac:dyDescent="0.2">
      <c r="A11092" s="1" t="s">
        <v>1017</v>
      </c>
      <c r="B11092" s="1" t="s">
        <v>1037</v>
      </c>
      <c r="C11092" s="1" t="str">
        <f>"66298832936447"</f>
        <v>66298832936447</v>
      </c>
      <c r="D11092" s="1" t="str">
        <f>"AE008-NEGRO"</f>
        <v>AE008-NEGRO</v>
      </c>
      <c r="E11092" s="1" t="s">
        <v>4579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</row>
    <row r="11093" spans="1:11" x14ac:dyDescent="0.2">
      <c r="A11093" s="1" t="s">
        <v>1017</v>
      </c>
      <c r="B11093" s="1" t="s">
        <v>1038</v>
      </c>
      <c r="C11093" s="1" t="str">
        <f>"66298832981775"</f>
        <v>66298832981775</v>
      </c>
      <c r="D11093" s="1" t="str">
        <f>"AE008-ROJO"</f>
        <v>AE008-ROJO</v>
      </c>
      <c r="E11093" s="1" t="s">
        <v>4579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</row>
    <row r="11094" spans="1:11" x14ac:dyDescent="0.2">
      <c r="A11094" s="1" t="s">
        <v>1017</v>
      </c>
      <c r="B11094" s="1" t="s">
        <v>1039</v>
      </c>
      <c r="C11094" s="1" t="str">
        <f>"66298833029480"</f>
        <v>66298833029480</v>
      </c>
      <c r="D11094" s="1" t="str">
        <f>"AE008-A"</f>
        <v>AE008-A</v>
      </c>
      <c r="E11094" s="1" t="s">
        <v>4579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</row>
    <row r="11095" spans="1:11" ht="30" x14ac:dyDescent="0.2">
      <c r="A11095" s="1" t="s">
        <v>1040</v>
      </c>
      <c r="B11095" s="1" t="s">
        <v>1041</v>
      </c>
      <c r="C11095" s="1" t="str">
        <f>"66298833069290"</f>
        <v>66298833069290</v>
      </c>
      <c r="D11095" s="1" t="str">
        <f>"400672"</f>
        <v>400672</v>
      </c>
      <c r="E11095" s="1" t="s">
        <v>4579</v>
      </c>
      <c r="F11095" s="1">
        <v>10</v>
      </c>
      <c r="G11095" s="1">
        <v>223</v>
      </c>
      <c r="H11095" s="1">
        <v>2230</v>
      </c>
      <c r="I11095" s="1">
        <v>0</v>
      </c>
      <c r="J11095" s="1">
        <v>10</v>
      </c>
      <c r="K11095" s="1">
        <v>0</v>
      </c>
    </row>
    <row r="11096" spans="1:11" ht="30" x14ac:dyDescent="0.2">
      <c r="A11096" s="1" t="s">
        <v>1040</v>
      </c>
      <c r="B11096" s="1" t="s">
        <v>1042</v>
      </c>
      <c r="C11096" s="1" t="str">
        <f>"66298833110945"</f>
        <v>66298833110945</v>
      </c>
      <c r="D11096" s="1" t="str">
        <f>"400668"</f>
        <v>400668</v>
      </c>
      <c r="E11096" s="1" t="s">
        <v>4579</v>
      </c>
      <c r="F11096" s="1">
        <v>10</v>
      </c>
      <c r="G11096" s="1">
        <v>618</v>
      </c>
      <c r="H11096" s="1">
        <v>6180</v>
      </c>
      <c r="I11096" s="1">
        <v>0</v>
      </c>
      <c r="J11096" s="1">
        <v>10</v>
      </c>
      <c r="K11096" s="1">
        <v>0</v>
      </c>
    </row>
    <row r="11097" spans="1:11" x14ac:dyDescent="0.2">
      <c r="A11097" s="1" t="s">
        <v>1040</v>
      </c>
      <c r="B11097" s="1" t="s">
        <v>1043</v>
      </c>
      <c r="C11097" s="1" t="str">
        <f>"66298833155004"</f>
        <v>66298833155004</v>
      </c>
      <c r="D11097" s="1" t="str">
        <f>"400675"</f>
        <v>400675</v>
      </c>
      <c r="E11097" s="1" t="s">
        <v>4579</v>
      </c>
      <c r="F11097" s="1">
        <v>10</v>
      </c>
      <c r="G11097" s="1">
        <v>220</v>
      </c>
      <c r="H11097" s="1">
        <v>2200</v>
      </c>
      <c r="I11097" s="1">
        <v>0</v>
      </c>
      <c r="J11097" s="1">
        <v>10</v>
      </c>
      <c r="K11097" s="1">
        <v>0</v>
      </c>
    </row>
    <row r="11098" spans="1:11" x14ac:dyDescent="0.2">
      <c r="A11098" s="1" t="s">
        <v>1040</v>
      </c>
      <c r="B11098" s="1" t="s">
        <v>1044</v>
      </c>
      <c r="C11098" s="1" t="str">
        <f>"66298833206042"</f>
        <v>66298833206042</v>
      </c>
      <c r="D11098" s="1" t="str">
        <f>"400674"</f>
        <v>400674</v>
      </c>
      <c r="E11098" s="1" t="s">
        <v>4579</v>
      </c>
      <c r="F11098" s="1">
        <v>10</v>
      </c>
      <c r="G11098" s="1">
        <v>226</v>
      </c>
      <c r="H11098" s="1">
        <v>2260</v>
      </c>
      <c r="I11098" s="1">
        <v>0</v>
      </c>
      <c r="J11098" s="1">
        <v>10</v>
      </c>
      <c r="K11098" s="1">
        <v>0</v>
      </c>
    </row>
    <row r="11099" spans="1:11" ht="30" x14ac:dyDescent="0.2">
      <c r="A11099" s="1" t="s">
        <v>1040</v>
      </c>
      <c r="B11099" s="1" t="s">
        <v>1045</v>
      </c>
      <c r="C11099" s="1" t="str">
        <f>"66298833243993"</f>
        <v>66298833243993</v>
      </c>
      <c r="D11099" s="1" t="str">
        <f>"400669"</f>
        <v>400669</v>
      </c>
      <c r="E11099" s="1" t="s">
        <v>4579</v>
      </c>
      <c r="F11099" s="1">
        <v>10</v>
      </c>
      <c r="G11099" s="1">
        <v>326</v>
      </c>
      <c r="H11099" s="1">
        <v>3260</v>
      </c>
      <c r="I11099" s="1">
        <v>0</v>
      </c>
      <c r="J11099" s="1">
        <v>10</v>
      </c>
      <c r="K11099" s="1">
        <v>0</v>
      </c>
    </row>
    <row r="11100" spans="1:11" x14ac:dyDescent="0.2">
      <c r="A11100" s="1" t="s">
        <v>1040</v>
      </c>
      <c r="B11100" s="1" t="s">
        <v>1046</v>
      </c>
      <c r="C11100" s="1" t="str">
        <f>"66298833286696"</f>
        <v>66298833286696</v>
      </c>
      <c r="D11100" s="1" t="str">
        <f>"400670"</f>
        <v>400670</v>
      </c>
      <c r="E11100" s="1" t="s">
        <v>4579</v>
      </c>
      <c r="F11100" s="1">
        <v>10</v>
      </c>
      <c r="G11100" s="1">
        <v>449</v>
      </c>
      <c r="H11100" s="1">
        <v>4490</v>
      </c>
      <c r="I11100" s="1">
        <v>0</v>
      </c>
      <c r="J11100" s="1">
        <v>10</v>
      </c>
      <c r="K11100" s="1">
        <v>0</v>
      </c>
    </row>
    <row r="11101" spans="1:11" ht="30" x14ac:dyDescent="0.2">
      <c r="A11101" s="1" t="s">
        <v>1040</v>
      </c>
      <c r="B11101" s="1" t="s">
        <v>1047</v>
      </c>
      <c r="C11101" s="1" t="str">
        <f>"66298833325312"</f>
        <v>66298833325312</v>
      </c>
      <c r="D11101" s="1" t="str">
        <f>"400671"</f>
        <v>400671</v>
      </c>
      <c r="E11101" s="1" t="s">
        <v>4579</v>
      </c>
      <c r="F11101" s="1">
        <v>10</v>
      </c>
      <c r="G11101" s="1">
        <v>179</v>
      </c>
      <c r="H11101" s="1">
        <v>1790</v>
      </c>
      <c r="I11101" s="1">
        <v>0</v>
      </c>
      <c r="J11101" s="1">
        <v>10</v>
      </c>
      <c r="K11101" s="1">
        <v>0</v>
      </c>
    </row>
    <row r="11102" spans="1:11" x14ac:dyDescent="0.2">
      <c r="A11102" s="1" t="s">
        <v>1048</v>
      </c>
      <c r="B11102" s="1" t="s">
        <v>1049</v>
      </c>
      <c r="C11102" s="1" t="str">
        <f>"X023"</f>
        <v>X023</v>
      </c>
      <c r="D11102" s="1" t="str">
        <f>"X023"</f>
        <v>X023</v>
      </c>
      <c r="E11102" s="1" t="s">
        <v>4579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</row>
    <row r="11103" spans="1:11" x14ac:dyDescent="0.2">
      <c r="A11103" s="1" t="s">
        <v>1050</v>
      </c>
      <c r="B11103" s="1" t="s">
        <v>1051</v>
      </c>
      <c r="C11103" s="1" t="str">
        <f>"66298833406251"</f>
        <v>66298833406251</v>
      </c>
      <c r="D11103" s="1" t="str">
        <f>"400574"</f>
        <v>400574</v>
      </c>
      <c r="E11103" s="1" t="s">
        <v>4579</v>
      </c>
      <c r="F11103" s="1">
        <v>1</v>
      </c>
      <c r="G11103" s="1">
        <v>7443</v>
      </c>
      <c r="H11103" s="1">
        <v>7443</v>
      </c>
      <c r="I11103" s="1">
        <v>0</v>
      </c>
      <c r="J11103" s="1">
        <v>1</v>
      </c>
      <c r="K11103" s="1">
        <v>0</v>
      </c>
    </row>
    <row r="11104" spans="1:11" x14ac:dyDescent="0.2">
      <c r="A11104" s="1" t="s">
        <v>1050</v>
      </c>
      <c r="B11104" s="1" t="s">
        <v>1052</v>
      </c>
      <c r="C11104" s="1" t="str">
        <f>"66298833365851"</f>
        <v>66298833365851</v>
      </c>
      <c r="D11104" s="1" t="str">
        <f>"400535"</f>
        <v>400535</v>
      </c>
      <c r="E11104" s="1" t="s">
        <v>4579</v>
      </c>
      <c r="F11104" s="1">
        <v>1</v>
      </c>
      <c r="G11104" s="1">
        <v>6626</v>
      </c>
      <c r="H11104" s="1">
        <v>6626</v>
      </c>
      <c r="I11104" s="1">
        <v>0</v>
      </c>
      <c r="J11104" s="1">
        <v>1</v>
      </c>
      <c r="K11104" s="1">
        <v>0</v>
      </c>
    </row>
    <row r="11105" spans="1:11" x14ac:dyDescent="0.2">
      <c r="A11105" s="1" t="s">
        <v>1050</v>
      </c>
      <c r="B11105" s="1" t="s">
        <v>1053</v>
      </c>
      <c r="C11105" s="1" t="str">
        <f>"66298833448615"</f>
        <v>66298833448615</v>
      </c>
      <c r="D11105" s="1" t="str">
        <f>"400538"</f>
        <v>400538</v>
      </c>
      <c r="E11105" s="1" t="s">
        <v>4579</v>
      </c>
      <c r="F11105" s="1">
        <v>1</v>
      </c>
      <c r="G11105" s="1">
        <v>21120</v>
      </c>
      <c r="H11105" s="1">
        <v>21120</v>
      </c>
      <c r="I11105" s="1">
        <v>0</v>
      </c>
      <c r="J11105" s="1">
        <v>1</v>
      </c>
      <c r="K11105" s="1">
        <v>0</v>
      </c>
    </row>
    <row r="11106" spans="1:11" x14ac:dyDescent="0.2">
      <c r="A11106" s="1" t="s">
        <v>1050</v>
      </c>
      <c r="B11106" s="1" t="s">
        <v>1054</v>
      </c>
      <c r="C11106" s="1" t="str">
        <f>"66298833490218"</f>
        <v>66298833490218</v>
      </c>
      <c r="D11106" s="1" t="str">
        <f>"JPC1801-068"</f>
        <v>JPC1801-068</v>
      </c>
      <c r="E11106" s="1" t="s">
        <v>4579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</row>
    <row r="11107" spans="1:11" x14ac:dyDescent="0.2">
      <c r="A11107" s="1" t="s">
        <v>1050</v>
      </c>
      <c r="B11107" s="1" t="s">
        <v>1055</v>
      </c>
      <c r="C11107" s="1" t="str">
        <f>"66298833527824"</f>
        <v>66298833527824</v>
      </c>
      <c r="D11107" s="1" t="str">
        <f>"JPC1801-069"</f>
        <v>JPC1801-069</v>
      </c>
      <c r="E11107" s="1" t="s">
        <v>4579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</row>
    <row r="11108" spans="1:11" x14ac:dyDescent="0.2">
      <c r="A11108" s="1" t="s">
        <v>1050</v>
      </c>
      <c r="B11108" s="1" t="s">
        <v>1056</v>
      </c>
      <c r="C11108" s="1" t="str">
        <f>"66298833606495"</f>
        <v>66298833606495</v>
      </c>
      <c r="D11108" s="1" t="str">
        <f>"400539"</f>
        <v>400539</v>
      </c>
      <c r="E11108" s="1" t="s">
        <v>4579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</row>
    <row r="11109" spans="1:11" x14ac:dyDescent="0.2">
      <c r="A11109" s="1" t="s">
        <v>1050</v>
      </c>
      <c r="B11109" s="1" t="s">
        <v>1057</v>
      </c>
      <c r="C11109" s="1" t="str">
        <f>"66298833569296"</f>
        <v>66298833569296</v>
      </c>
      <c r="D11109" s="1" t="str">
        <f>"X032"</f>
        <v>X032</v>
      </c>
      <c r="E11109" s="1" t="s">
        <v>4579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</row>
    <row r="11110" spans="1:11" x14ac:dyDescent="0.2">
      <c r="A11110" s="1" t="s">
        <v>1050</v>
      </c>
      <c r="B11110" s="1" t="s">
        <v>1058</v>
      </c>
      <c r="C11110" s="1" t="str">
        <f>"X001"</f>
        <v>X001</v>
      </c>
      <c r="D11110" s="1" t="str">
        <f>"X001"</f>
        <v>X001</v>
      </c>
      <c r="E11110" s="1" t="s">
        <v>4579</v>
      </c>
      <c r="F11110" s="1">
        <v>1</v>
      </c>
      <c r="G11110" s="1">
        <v>8950</v>
      </c>
      <c r="H11110" s="1">
        <v>8950</v>
      </c>
      <c r="I11110" s="1">
        <v>0</v>
      </c>
      <c r="J11110" s="1">
        <v>1</v>
      </c>
      <c r="K11110" s="1">
        <v>0</v>
      </c>
    </row>
    <row r="11111" spans="1:11" x14ac:dyDescent="0.2">
      <c r="A11111" s="1" t="s">
        <v>1050</v>
      </c>
      <c r="B11111" s="1" t="s">
        <v>1059</v>
      </c>
      <c r="C11111" s="1" t="str">
        <f>"X018"</f>
        <v>X018</v>
      </c>
      <c r="D11111" s="1" t="str">
        <f>"X018"</f>
        <v>X018</v>
      </c>
      <c r="E11111" s="1" t="s">
        <v>4579</v>
      </c>
      <c r="F11111" s="1">
        <v>1</v>
      </c>
      <c r="G11111" s="1">
        <v>8830</v>
      </c>
      <c r="H11111" s="1">
        <v>8830</v>
      </c>
      <c r="I11111" s="1">
        <v>0</v>
      </c>
      <c r="J11111" s="1">
        <v>1</v>
      </c>
      <c r="K11111" s="1">
        <v>0</v>
      </c>
    </row>
    <row r="11112" spans="1:11" x14ac:dyDescent="0.2">
      <c r="A11112" s="1" t="s">
        <v>1050</v>
      </c>
      <c r="B11112" s="1" t="s">
        <v>1060</v>
      </c>
      <c r="C11112" s="1" t="str">
        <f>"66298833648055"</f>
        <v>66298833648055</v>
      </c>
      <c r="D11112" s="1" t="str">
        <f>"80386"</f>
        <v>80386</v>
      </c>
      <c r="E11112" s="1" t="s">
        <v>4579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</row>
    <row r="11113" spans="1:11" x14ac:dyDescent="0.2">
      <c r="A11113" s="1" t="s">
        <v>1050</v>
      </c>
      <c r="B11113" s="1" t="s">
        <v>1061</v>
      </c>
      <c r="C11113" s="1" t="str">
        <f>"66298833706346"</f>
        <v>66298833706346</v>
      </c>
      <c r="D11113" s="1" t="str">
        <f>"400540"</f>
        <v>400540</v>
      </c>
      <c r="E11113" s="1" t="s">
        <v>4579</v>
      </c>
      <c r="F11113" s="1">
        <v>1</v>
      </c>
      <c r="G11113" s="1">
        <v>6626</v>
      </c>
      <c r="H11113" s="1">
        <v>6626</v>
      </c>
      <c r="I11113" s="1">
        <v>0</v>
      </c>
      <c r="J11113" s="1">
        <v>1</v>
      </c>
      <c r="K11113" s="1">
        <v>0</v>
      </c>
    </row>
    <row r="11114" spans="1:11" x14ac:dyDescent="0.2">
      <c r="A11114" s="1" t="s">
        <v>1050</v>
      </c>
      <c r="B11114" s="1" t="s">
        <v>1062</v>
      </c>
      <c r="C11114" s="1" t="str">
        <f>"66298833749382"</f>
        <v>66298833749382</v>
      </c>
      <c r="D11114" s="1" t="str">
        <f>"X004"</f>
        <v>X004</v>
      </c>
      <c r="E11114" s="1" t="s">
        <v>4579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</row>
    <row r="11115" spans="1:11" x14ac:dyDescent="0.2">
      <c r="A11115" s="1" t="s">
        <v>1050</v>
      </c>
      <c r="B11115" s="1" t="s">
        <v>1063</v>
      </c>
      <c r="C11115" s="1" t="str">
        <f>"66298833788999"</f>
        <v>66298833788999</v>
      </c>
      <c r="D11115" s="1" t="str">
        <f>"X002"</f>
        <v>X002</v>
      </c>
      <c r="E11115" s="1" t="s">
        <v>4579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</row>
    <row r="11116" spans="1:11" x14ac:dyDescent="0.2">
      <c r="A11116" s="1" t="s">
        <v>1050</v>
      </c>
      <c r="B11116" s="1" t="s">
        <v>1064</v>
      </c>
      <c r="C11116" s="1" t="str">
        <f>"66298833874927"</f>
        <v>66298833874927</v>
      </c>
      <c r="D11116" s="1" t="str">
        <f>"400537"</f>
        <v>400537</v>
      </c>
      <c r="E11116" s="1" t="s">
        <v>4579</v>
      </c>
      <c r="F11116" s="1">
        <v>1</v>
      </c>
      <c r="G11116" s="1">
        <v>23327</v>
      </c>
      <c r="H11116" s="1">
        <v>23327</v>
      </c>
      <c r="I11116" s="1">
        <v>0</v>
      </c>
      <c r="J11116" s="1">
        <v>1</v>
      </c>
      <c r="K11116" s="1">
        <v>0</v>
      </c>
    </row>
    <row r="11117" spans="1:11" ht="30" x14ac:dyDescent="0.2">
      <c r="A11117" s="1" t="s">
        <v>1050</v>
      </c>
      <c r="B11117" s="1" t="s">
        <v>1065</v>
      </c>
      <c r="C11117" s="1" t="str">
        <f>"X003"</f>
        <v>X003</v>
      </c>
      <c r="D11117" s="1" t="str">
        <f>"X003"</f>
        <v>X003</v>
      </c>
      <c r="E11117" s="1" t="s">
        <v>4579</v>
      </c>
      <c r="F11117" s="1">
        <v>1</v>
      </c>
      <c r="G11117" s="1">
        <v>11590</v>
      </c>
      <c r="H11117" s="1">
        <v>11590</v>
      </c>
      <c r="I11117" s="1">
        <v>0</v>
      </c>
      <c r="J11117" s="1">
        <v>1</v>
      </c>
      <c r="K11117" s="1">
        <v>0</v>
      </c>
    </row>
    <row r="11118" spans="1:11" x14ac:dyDescent="0.2">
      <c r="A11118" s="1" t="s">
        <v>1050</v>
      </c>
      <c r="B11118" s="1" t="s">
        <v>1066</v>
      </c>
      <c r="C11118" s="1" t="str">
        <f>"66298833921737"</f>
        <v>66298833921737</v>
      </c>
      <c r="D11118" s="1" t="str">
        <f>"X010"</f>
        <v>X010</v>
      </c>
      <c r="E11118" s="1" t="s">
        <v>4579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</row>
    <row r="11119" spans="1:11" x14ac:dyDescent="0.2">
      <c r="A11119" s="1" t="s">
        <v>1050</v>
      </c>
      <c r="B11119" s="1" t="s">
        <v>1067</v>
      </c>
      <c r="C11119" s="1" t="str">
        <f>"66298833961003"</f>
        <v>66298833961003</v>
      </c>
      <c r="D11119" s="1" t="str">
        <f>"X008"</f>
        <v>X008</v>
      </c>
      <c r="E11119" s="1" t="s">
        <v>4579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</row>
    <row r="11120" spans="1:11" x14ac:dyDescent="0.2">
      <c r="A11120" s="1" t="s">
        <v>1050</v>
      </c>
      <c r="B11120" s="1" t="s">
        <v>1068</v>
      </c>
      <c r="C11120" s="1" t="str">
        <f>"X012"</f>
        <v>X012</v>
      </c>
      <c r="D11120" s="1" t="str">
        <f>"X012"</f>
        <v>X012</v>
      </c>
      <c r="E11120" s="1" t="s">
        <v>4579</v>
      </c>
      <c r="F11120" s="1">
        <v>1</v>
      </c>
      <c r="G11120" s="1">
        <v>28650</v>
      </c>
      <c r="H11120" s="1">
        <v>28650</v>
      </c>
      <c r="I11120" s="1">
        <v>0</v>
      </c>
      <c r="J11120" s="1">
        <v>1</v>
      </c>
      <c r="K11120" s="1">
        <v>0</v>
      </c>
    </row>
    <row r="11121" spans="1:11" x14ac:dyDescent="0.2">
      <c r="A11121" s="1" t="s">
        <v>1050</v>
      </c>
      <c r="B11121" s="1" t="s">
        <v>1069</v>
      </c>
      <c r="C11121" s="1" t="str">
        <f>"66298834008330"</f>
        <v>66298834008330</v>
      </c>
      <c r="D11121" s="1" t="str">
        <f>"400534"</f>
        <v>400534</v>
      </c>
      <c r="E11121" s="1" t="s">
        <v>4579</v>
      </c>
      <c r="F11121" s="1">
        <v>1</v>
      </c>
      <c r="G11121" s="1">
        <v>17657</v>
      </c>
      <c r="H11121" s="1">
        <v>17657</v>
      </c>
      <c r="I11121" s="1">
        <v>0</v>
      </c>
      <c r="J11121" s="1">
        <v>1</v>
      </c>
      <c r="K11121" s="1">
        <v>0</v>
      </c>
    </row>
    <row r="11122" spans="1:11" x14ac:dyDescent="0.2">
      <c r="A11122" s="1" t="s">
        <v>1050</v>
      </c>
      <c r="B11122" s="1" t="s">
        <v>1070</v>
      </c>
      <c r="C11122" s="1" t="str">
        <f>"66298834055172"</f>
        <v>66298834055172</v>
      </c>
      <c r="D11122" s="1" t="str">
        <f>"X030"</f>
        <v>X030</v>
      </c>
      <c r="E11122" s="1" t="s">
        <v>4579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</row>
    <row r="11123" spans="1:11" x14ac:dyDescent="0.2">
      <c r="A11123" s="1" t="s">
        <v>1050</v>
      </c>
      <c r="B11123" s="1" t="s">
        <v>1071</v>
      </c>
      <c r="C11123" s="1" t="str">
        <f>"X033"</f>
        <v>X033</v>
      </c>
      <c r="D11123" s="1" t="str">
        <f>"X033"</f>
        <v>X033</v>
      </c>
      <c r="E11123" s="1" t="s">
        <v>4579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</row>
    <row r="11124" spans="1:11" x14ac:dyDescent="0.2">
      <c r="A11124" s="1" t="s">
        <v>1050</v>
      </c>
      <c r="B11124" s="1" t="s">
        <v>1072</v>
      </c>
      <c r="C11124" s="1" t="str">
        <f>"X009"</f>
        <v>X009</v>
      </c>
      <c r="D11124" s="1" t="str">
        <f>"X009"</f>
        <v>X009</v>
      </c>
      <c r="E11124" s="1" t="s">
        <v>4579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</row>
    <row r="11125" spans="1:11" x14ac:dyDescent="0.2">
      <c r="A11125" s="1" t="s">
        <v>1050</v>
      </c>
      <c r="B11125" s="1" t="s">
        <v>1073</v>
      </c>
      <c r="C11125" s="1" t="str">
        <f>"66298834095950"</f>
        <v>66298834095950</v>
      </c>
      <c r="D11125" s="1" t="str">
        <f>"X016"</f>
        <v>X016</v>
      </c>
      <c r="E11125" s="1" t="s">
        <v>4579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</row>
    <row r="11126" spans="1:11" x14ac:dyDescent="0.2">
      <c r="A11126" s="1" t="s">
        <v>1050</v>
      </c>
      <c r="B11126" s="1" t="s">
        <v>1074</v>
      </c>
      <c r="C11126" s="1" t="str">
        <f>"X014"</f>
        <v>X014</v>
      </c>
      <c r="D11126" s="1" t="str">
        <f>"X014"</f>
        <v>X014</v>
      </c>
      <c r="E11126" s="1" t="s">
        <v>4579</v>
      </c>
      <c r="F11126" s="1">
        <v>1</v>
      </c>
      <c r="G11126" s="1">
        <v>10750</v>
      </c>
      <c r="H11126" s="1">
        <v>10750</v>
      </c>
      <c r="I11126" s="1">
        <v>0</v>
      </c>
      <c r="J11126" s="1">
        <v>1</v>
      </c>
      <c r="K11126" s="1">
        <v>0</v>
      </c>
    </row>
    <row r="11127" spans="1:11" x14ac:dyDescent="0.2">
      <c r="A11127" s="1" t="s">
        <v>1050</v>
      </c>
      <c r="B11127" s="1" t="s">
        <v>1075</v>
      </c>
      <c r="C11127" s="1" t="str">
        <f>"66298834137263"</f>
        <v>66298834137263</v>
      </c>
      <c r="D11127" s="1" t="str">
        <f>"13200H2C012H000"</f>
        <v>13200H2C012H000</v>
      </c>
      <c r="E11127" s="1" t="s">
        <v>4579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</row>
    <row r="11128" spans="1:11" x14ac:dyDescent="0.2">
      <c r="A11128" s="1" t="s">
        <v>1050</v>
      </c>
      <c r="B11128" s="1" t="s">
        <v>1076</v>
      </c>
      <c r="C11128" s="1" t="str">
        <f>"66298834174768"</f>
        <v>66298834174768</v>
      </c>
      <c r="D11128" s="1" t="str">
        <f>"401114"</f>
        <v>401114</v>
      </c>
      <c r="E11128" s="1" t="s">
        <v>4579</v>
      </c>
      <c r="F11128" s="1">
        <v>1</v>
      </c>
      <c r="G11128" s="1">
        <v>21845</v>
      </c>
      <c r="H11128" s="1">
        <v>21845</v>
      </c>
      <c r="I11128" s="1">
        <v>0</v>
      </c>
      <c r="J11128" s="1">
        <v>1</v>
      </c>
      <c r="K11128" s="1">
        <v>0</v>
      </c>
    </row>
    <row r="11129" spans="1:11" x14ac:dyDescent="0.2">
      <c r="A11129" s="1" t="s">
        <v>1050</v>
      </c>
      <c r="B11129" s="1" t="s">
        <v>1077</v>
      </c>
      <c r="C11129" s="1" t="str">
        <f>"66298834218501"</f>
        <v>66298834218501</v>
      </c>
      <c r="D11129" s="1" t="str">
        <f>"X022"</f>
        <v>X022</v>
      </c>
      <c r="E11129" s="1" t="s">
        <v>4579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</row>
    <row r="11130" spans="1:11" x14ac:dyDescent="0.2">
      <c r="A11130" s="1" t="s">
        <v>1050</v>
      </c>
      <c r="B11130" s="1" t="s">
        <v>1078</v>
      </c>
      <c r="C11130" s="1" t="str">
        <f>"66298834255976"</f>
        <v>66298834255976</v>
      </c>
      <c r="D11130" s="1" t="str">
        <f>"C-SCOO-VM"</f>
        <v>C-SCOO-VM</v>
      </c>
      <c r="E11130" s="1" t="s">
        <v>4579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</row>
    <row r="11131" spans="1:11" x14ac:dyDescent="0.2">
      <c r="A11131" s="1" t="s">
        <v>1050</v>
      </c>
      <c r="B11131" s="1" t="s">
        <v>1079</v>
      </c>
      <c r="C11131" s="1" t="str">
        <f>"X006"</f>
        <v>X006</v>
      </c>
      <c r="D11131" s="1" t="str">
        <f>"X006"</f>
        <v>X006</v>
      </c>
      <c r="E11131" s="1" t="s">
        <v>4579</v>
      </c>
      <c r="F11131" s="1">
        <v>1</v>
      </c>
      <c r="G11131" s="1">
        <v>14490</v>
      </c>
      <c r="H11131" s="1">
        <v>14490</v>
      </c>
      <c r="I11131" s="1">
        <v>0</v>
      </c>
      <c r="J11131" s="1">
        <v>1</v>
      </c>
      <c r="K11131" s="1">
        <v>0</v>
      </c>
    </row>
    <row r="11132" spans="1:11" x14ac:dyDescent="0.2">
      <c r="A11132" s="1" t="s">
        <v>1050</v>
      </c>
      <c r="B11132" s="1" t="s">
        <v>1080</v>
      </c>
      <c r="C11132" s="1" t="str">
        <f>"66298834343606"</f>
        <v>66298834343606</v>
      </c>
      <c r="D11132" s="1" t="str">
        <f>"X026"</f>
        <v>X026</v>
      </c>
      <c r="E11132" s="1" t="s">
        <v>4579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</row>
    <row r="11133" spans="1:11" x14ac:dyDescent="0.2">
      <c r="A11133" s="1" t="s">
        <v>1050</v>
      </c>
      <c r="B11133" s="1" t="s">
        <v>1081</v>
      </c>
      <c r="C11133" s="1" t="str">
        <f>"138269"</f>
        <v>138269</v>
      </c>
      <c r="D11133" s="1" t="str">
        <f>"138269"</f>
        <v>138269</v>
      </c>
      <c r="E11133" s="1" t="s">
        <v>4579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</row>
    <row r="11134" spans="1:11" x14ac:dyDescent="0.2">
      <c r="A11134" s="1" t="s">
        <v>1050</v>
      </c>
      <c r="B11134" s="1" t="s">
        <v>1082</v>
      </c>
      <c r="C11134" s="1" t="str">
        <f>"66298834380603"</f>
        <v>66298834380603</v>
      </c>
      <c r="D11134" s="1" t="str">
        <f>"400536"</f>
        <v>400536</v>
      </c>
      <c r="E11134" s="1" t="s">
        <v>4579</v>
      </c>
      <c r="F11134" s="1">
        <v>1</v>
      </c>
      <c r="G11134" s="1">
        <v>6626</v>
      </c>
      <c r="H11134" s="1">
        <v>6626</v>
      </c>
      <c r="I11134" s="1">
        <v>0</v>
      </c>
      <c r="J11134" s="1">
        <v>1</v>
      </c>
      <c r="K11134" s="1">
        <v>0</v>
      </c>
    </row>
    <row r="11135" spans="1:11" x14ac:dyDescent="0.2">
      <c r="A11135" s="1" t="s">
        <v>1050</v>
      </c>
      <c r="B11135" s="1" t="s">
        <v>1083</v>
      </c>
      <c r="C11135" s="1" t="str">
        <f>"66298834416694"</f>
        <v>66298834416694</v>
      </c>
      <c r="D11135" s="1" t="str">
        <f>"X031"</f>
        <v>X031</v>
      </c>
      <c r="E11135" s="1" t="s">
        <v>4579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</row>
    <row r="11136" spans="1:11" x14ac:dyDescent="0.2">
      <c r="A11136" s="1" t="s">
        <v>1050</v>
      </c>
      <c r="B11136" s="1" t="s">
        <v>1084</v>
      </c>
      <c r="C11136" s="1" t="str">
        <f>"X021"</f>
        <v>X021</v>
      </c>
      <c r="D11136" s="1" t="str">
        <f>"X021"</f>
        <v>X021</v>
      </c>
      <c r="E11136" s="1" t="s">
        <v>4579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</row>
    <row r="11137" spans="1:11" x14ac:dyDescent="0.2">
      <c r="A11137" s="1" t="s">
        <v>1050</v>
      </c>
      <c r="B11137" s="1" t="s">
        <v>1085</v>
      </c>
      <c r="C11137" s="1" t="str">
        <f>"66298834460697"</f>
        <v>66298834460697</v>
      </c>
      <c r="D11137" s="1" t="str">
        <f>"400573"</f>
        <v>400573</v>
      </c>
      <c r="E11137" s="1" t="s">
        <v>4579</v>
      </c>
      <c r="F11137" s="1">
        <v>1</v>
      </c>
      <c r="G11137" s="1">
        <v>21779</v>
      </c>
      <c r="H11137" s="1">
        <v>21779</v>
      </c>
      <c r="I11137" s="1">
        <v>0</v>
      </c>
      <c r="J11137" s="1">
        <v>1</v>
      </c>
      <c r="K11137" s="1">
        <v>0</v>
      </c>
    </row>
    <row r="11138" spans="1:11" x14ac:dyDescent="0.2">
      <c r="A11138" s="1" t="s">
        <v>18</v>
      </c>
      <c r="B11138" s="1" t="s">
        <v>1086</v>
      </c>
      <c r="C11138" s="1" t="str">
        <f>"117248"</f>
        <v>117248</v>
      </c>
      <c r="D11138" s="1" t="str">
        <f>"117248"</f>
        <v>117248</v>
      </c>
      <c r="E11138" s="1" t="s">
        <v>4579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</row>
    <row r="11139" spans="1:11" x14ac:dyDescent="0.2">
      <c r="A11139" s="1" t="s">
        <v>18</v>
      </c>
      <c r="B11139" s="1" t="s">
        <v>1087</v>
      </c>
      <c r="C11139" s="1" t="str">
        <f>"66298834505206"</f>
        <v>66298834505206</v>
      </c>
      <c r="D11139" s="1" t="str">
        <f>"H093"</f>
        <v>H093</v>
      </c>
      <c r="E11139" s="1" t="s">
        <v>4579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</row>
    <row r="11140" spans="1:11" x14ac:dyDescent="0.2">
      <c r="A11140" s="1" t="s">
        <v>18</v>
      </c>
      <c r="B11140" s="1" t="s">
        <v>1088</v>
      </c>
      <c r="C11140" s="1" t="str">
        <f>"130250"</f>
        <v>130250</v>
      </c>
      <c r="D11140" s="1" t="str">
        <f>"130250"</f>
        <v>130250</v>
      </c>
      <c r="E11140" s="1" t="s">
        <v>4579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</row>
    <row r="11141" spans="1:11" x14ac:dyDescent="0.2">
      <c r="A11141" s="1" t="s">
        <v>18</v>
      </c>
      <c r="B11141" s="1" t="s">
        <v>1089</v>
      </c>
      <c r="C11141" s="1" t="str">
        <f>"66298834552659"</f>
        <v>66298834552659</v>
      </c>
      <c r="D11141" s="1" t="str">
        <f>"60053"</f>
        <v>60053</v>
      </c>
      <c r="E11141" s="1" t="s">
        <v>4579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</row>
    <row r="11142" spans="1:11" x14ac:dyDescent="0.2">
      <c r="A11142" s="1" t="s">
        <v>18</v>
      </c>
      <c r="B11142" s="1" t="s">
        <v>1089</v>
      </c>
      <c r="C11142" s="1" t="str">
        <f>"1255"</f>
        <v>1255</v>
      </c>
      <c r="D11142" s="1" t="str">
        <f>"1255"</f>
        <v>1255</v>
      </c>
      <c r="E11142" s="1" t="s">
        <v>4579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</row>
    <row r="11143" spans="1:11" x14ac:dyDescent="0.2">
      <c r="A11143" s="1" t="s">
        <v>18</v>
      </c>
      <c r="B11143" s="1" t="s">
        <v>1090</v>
      </c>
      <c r="C11143" s="1" t="str">
        <f>"0274"</f>
        <v>0274</v>
      </c>
      <c r="D11143" s="1" t="str">
        <f>"0274"</f>
        <v>0274</v>
      </c>
      <c r="E11143" s="1" t="s">
        <v>4579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</row>
    <row r="11144" spans="1:11" x14ac:dyDescent="0.2">
      <c r="A11144" s="1" t="s">
        <v>18</v>
      </c>
      <c r="B11144" s="1" t="s">
        <v>1091</v>
      </c>
      <c r="C11144" s="1" t="str">
        <f>"66298834594316"</f>
        <v>66298834594316</v>
      </c>
      <c r="D11144" s="1" t="str">
        <f>"10233"</f>
        <v>10233</v>
      </c>
      <c r="E11144" s="1" t="s">
        <v>4579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</row>
    <row r="11145" spans="1:11" x14ac:dyDescent="0.2">
      <c r="A11145" s="1" t="s">
        <v>18</v>
      </c>
      <c r="B11145" s="1" t="s">
        <v>1092</v>
      </c>
      <c r="C11145" s="1" t="str">
        <f>"FN-MT6-L"</f>
        <v>FN-MT6-L</v>
      </c>
      <c r="D11145" s="1" t="str">
        <f>"FN-MT6-L"</f>
        <v>FN-MT6-L</v>
      </c>
      <c r="E11145" s="1" t="s">
        <v>4579</v>
      </c>
      <c r="F11145" s="1">
        <v>1</v>
      </c>
      <c r="G11145" s="1">
        <v>12276</v>
      </c>
      <c r="H11145" s="1">
        <v>12276</v>
      </c>
      <c r="I11145" s="1">
        <v>0</v>
      </c>
      <c r="J11145" s="1">
        <v>1</v>
      </c>
      <c r="K11145" s="1">
        <v>0</v>
      </c>
    </row>
    <row r="11146" spans="1:11" x14ac:dyDescent="0.2">
      <c r="A11146" s="1" t="s">
        <v>18</v>
      </c>
      <c r="B11146" s="1" t="s">
        <v>1092</v>
      </c>
      <c r="C11146" s="1" t="str">
        <f>"142900"</f>
        <v>142900</v>
      </c>
      <c r="D11146" s="1" t="str">
        <f>"142900"</f>
        <v>142900</v>
      </c>
      <c r="E11146" s="1" t="s">
        <v>4579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</row>
    <row r="11147" spans="1:11" x14ac:dyDescent="0.2">
      <c r="A11147" s="1" t="s">
        <v>18</v>
      </c>
      <c r="B11147" s="1" t="s">
        <v>1093</v>
      </c>
      <c r="C11147" s="1" t="str">
        <f>"66298834636058"</f>
        <v>66298834636058</v>
      </c>
      <c r="D11147" s="1" t="str">
        <f>"424"</f>
        <v>424</v>
      </c>
      <c r="E11147" s="1" t="s">
        <v>4579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</row>
    <row r="11148" spans="1:11" x14ac:dyDescent="0.2">
      <c r="A11148" s="1" t="s">
        <v>18</v>
      </c>
      <c r="B11148" s="1" t="s">
        <v>1093</v>
      </c>
      <c r="C11148" s="1" t="str">
        <f>"FN-MT6-M"</f>
        <v>FN-MT6-M</v>
      </c>
      <c r="D11148" s="1" t="str">
        <f>"FN-MT6-M"</f>
        <v>FN-MT6-M</v>
      </c>
      <c r="E11148" s="1" t="s">
        <v>4579</v>
      </c>
      <c r="F11148" s="1">
        <v>2</v>
      </c>
      <c r="G11148" s="1">
        <v>6395</v>
      </c>
      <c r="H11148" s="1">
        <v>12790</v>
      </c>
      <c r="I11148" s="1">
        <v>0</v>
      </c>
      <c r="J11148" s="1">
        <v>2</v>
      </c>
      <c r="K11148" s="1">
        <v>0</v>
      </c>
    </row>
    <row r="11149" spans="1:11" x14ac:dyDescent="0.2">
      <c r="A11149" s="1" t="s">
        <v>18</v>
      </c>
      <c r="B11149" s="1" t="s">
        <v>1094</v>
      </c>
      <c r="C11149" s="1" t="str">
        <f>"66298834674480"</f>
        <v>66298834674480</v>
      </c>
      <c r="D11149" s="1" t="str">
        <f>"1093"</f>
        <v>1093</v>
      </c>
      <c r="E11149" s="1" t="s">
        <v>4579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</row>
    <row r="11150" spans="1:11" x14ac:dyDescent="0.2">
      <c r="A11150" s="1" t="s">
        <v>18</v>
      </c>
      <c r="B11150" s="1" t="s">
        <v>1094</v>
      </c>
      <c r="C11150" s="1" t="str">
        <f>"426"</f>
        <v>426</v>
      </c>
      <c r="D11150" s="1" t="str">
        <f>"426"</f>
        <v>426</v>
      </c>
      <c r="E11150" s="1" t="s">
        <v>4579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</row>
    <row r="11151" spans="1:11" x14ac:dyDescent="0.2">
      <c r="A11151" s="1" t="s">
        <v>18</v>
      </c>
      <c r="B11151" s="1" t="s">
        <v>1094</v>
      </c>
      <c r="C11151" s="1" t="str">
        <f>"FN-MT6-XL"</f>
        <v>FN-MT6-XL</v>
      </c>
      <c r="D11151" s="1" t="str">
        <f>"FN-MT6-XL"</f>
        <v>FN-MT6-XL</v>
      </c>
      <c r="E11151" s="1" t="s">
        <v>4579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</row>
    <row r="11152" spans="1:11" x14ac:dyDescent="0.2">
      <c r="A11152" s="1" t="s">
        <v>18</v>
      </c>
      <c r="B11152" s="1" t="s">
        <v>1094</v>
      </c>
      <c r="C11152" s="1" t="str">
        <f>"142911"</f>
        <v>142911</v>
      </c>
      <c r="D11152" s="1" t="str">
        <f>"142911"</f>
        <v>142911</v>
      </c>
      <c r="E11152" s="1" t="s">
        <v>4579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</row>
    <row r="11153" spans="1:11" x14ac:dyDescent="0.2">
      <c r="A11153" s="1" t="s">
        <v>18</v>
      </c>
      <c r="B11153" s="1" t="s">
        <v>1095</v>
      </c>
      <c r="C11153" s="1" t="str">
        <f>"FN-MT6-XXL"</f>
        <v>FN-MT6-XXL</v>
      </c>
      <c r="D11153" s="1" t="str">
        <f>"FN-MT6-XXL"</f>
        <v>FN-MT6-XXL</v>
      </c>
      <c r="E11153" s="1" t="s">
        <v>4579</v>
      </c>
      <c r="F11153" s="1">
        <v>1</v>
      </c>
      <c r="G11153" s="1">
        <v>14897</v>
      </c>
      <c r="H11153" s="1">
        <v>14897</v>
      </c>
      <c r="I11153" s="1">
        <v>0</v>
      </c>
      <c r="J11153" s="1">
        <v>1</v>
      </c>
      <c r="K11153" s="1">
        <v>0</v>
      </c>
    </row>
    <row r="11154" spans="1:11" ht="30" x14ac:dyDescent="0.2">
      <c r="A11154" s="1" t="s">
        <v>1096</v>
      </c>
      <c r="B11154" s="1" t="s">
        <v>1097</v>
      </c>
      <c r="C11154" s="1" t="str">
        <f>"66298834714102"</f>
        <v>66298834714102</v>
      </c>
      <c r="D11154" s="1" t="str">
        <f>"11871"</f>
        <v>11871</v>
      </c>
      <c r="E11154" s="1" t="s">
        <v>4579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</row>
    <row r="11155" spans="1:11" x14ac:dyDescent="0.2">
      <c r="A11155" s="1" t="s">
        <v>1096</v>
      </c>
      <c r="B11155" s="1" t="s">
        <v>1098</v>
      </c>
      <c r="C11155" s="1" t="str">
        <f>"66298834757929"</f>
        <v>66298834757929</v>
      </c>
      <c r="D11155" s="1" t="str">
        <f>"13381"</f>
        <v>13381</v>
      </c>
      <c r="E11155" s="1" t="s">
        <v>4579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</row>
    <row r="11156" spans="1:11" x14ac:dyDescent="0.2">
      <c r="A11156" s="1" t="s">
        <v>1096</v>
      </c>
      <c r="B11156" s="1" t="s">
        <v>1099</v>
      </c>
      <c r="C11156" s="1" t="str">
        <f>"66298834802498"</f>
        <v>66298834802498</v>
      </c>
      <c r="D11156" s="1" t="str">
        <f>"13376"</f>
        <v>13376</v>
      </c>
      <c r="E11156" s="1" t="s">
        <v>4579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</row>
    <row r="11157" spans="1:11" x14ac:dyDescent="0.2">
      <c r="A11157" s="1" t="s">
        <v>1096</v>
      </c>
      <c r="B11157" s="1" t="s">
        <v>1100</v>
      </c>
      <c r="C11157" s="1" t="str">
        <f>"66298834845354"</f>
        <v>66298834845354</v>
      </c>
      <c r="D11157" s="1" t="str">
        <f>"14225"</f>
        <v>14225</v>
      </c>
      <c r="E11157" s="1" t="s">
        <v>4579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</row>
    <row r="11158" spans="1:11" x14ac:dyDescent="0.2">
      <c r="A11158" s="1" t="s">
        <v>1096</v>
      </c>
      <c r="B11158" s="1" t="s">
        <v>1101</v>
      </c>
      <c r="C11158" s="1" t="str">
        <f>"65000"</f>
        <v>65000</v>
      </c>
      <c r="D11158" s="1" t="str">
        <f>"65000"</f>
        <v>65000</v>
      </c>
      <c r="E11158" s="1" t="s">
        <v>4579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</row>
    <row r="11159" spans="1:11" x14ac:dyDescent="0.2">
      <c r="A11159" s="1" t="s">
        <v>1096</v>
      </c>
      <c r="B11159" s="1" t="s">
        <v>1102</v>
      </c>
      <c r="C11159" s="1" t="str">
        <f>"66298834887523"</f>
        <v>66298834887523</v>
      </c>
      <c r="D11159" s="1" t="str">
        <f>"120240-M"</f>
        <v>120240-M</v>
      </c>
      <c r="E11159" s="1" t="s">
        <v>4579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</row>
    <row r="11160" spans="1:11" x14ac:dyDescent="0.2">
      <c r="A11160" s="1" t="s">
        <v>1096</v>
      </c>
      <c r="B11160" s="1" t="s">
        <v>1103</v>
      </c>
      <c r="C11160" s="1" t="str">
        <f>"14238"</f>
        <v>14238</v>
      </c>
      <c r="D11160" s="1" t="str">
        <f>"14238"</f>
        <v>14238</v>
      </c>
      <c r="E11160" s="1" t="s">
        <v>4579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</row>
    <row r="11161" spans="1:11" ht="30" x14ac:dyDescent="0.2">
      <c r="A11161" s="1" t="s">
        <v>1096</v>
      </c>
      <c r="B11161" s="1" t="s">
        <v>1104</v>
      </c>
      <c r="C11161" s="1" t="str">
        <f>"66298834930671"</f>
        <v>66298834930671</v>
      </c>
      <c r="D11161" s="1" t="str">
        <f>"175-GHB"</f>
        <v>175-GHB</v>
      </c>
      <c r="E11161" s="1" t="s">
        <v>4579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</row>
    <row r="11162" spans="1:11" ht="30" x14ac:dyDescent="0.2">
      <c r="A11162" s="1" t="s">
        <v>1096</v>
      </c>
      <c r="B11162" s="1" t="s">
        <v>1105</v>
      </c>
      <c r="C11162" s="1" t="str">
        <f>"66298834968419"</f>
        <v>66298834968419</v>
      </c>
      <c r="D11162" s="1" t="str">
        <f>"777"</f>
        <v>777</v>
      </c>
      <c r="E11162" s="1" t="s">
        <v>4579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</row>
    <row r="11163" spans="1:11" x14ac:dyDescent="0.2">
      <c r="A11163" s="1" t="s">
        <v>1096</v>
      </c>
      <c r="B11163" s="1" t="s">
        <v>1106</v>
      </c>
      <c r="C11163" s="1" t="str">
        <f>"66298835006727"</f>
        <v>66298835006727</v>
      </c>
      <c r="D11163" s="1" t="str">
        <f>"684-BLANCO-M"</f>
        <v>684-BLANCO-M</v>
      </c>
      <c r="E11163" s="1" t="s">
        <v>4579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</row>
    <row r="11164" spans="1:11" x14ac:dyDescent="0.2">
      <c r="A11164" s="1" t="s">
        <v>1096</v>
      </c>
      <c r="B11164" s="1" t="s">
        <v>1107</v>
      </c>
      <c r="C11164" s="1" t="str">
        <f>"66298835046082"</f>
        <v>66298835046082</v>
      </c>
      <c r="D11164" s="1" t="str">
        <f>"684-NEGRO"</f>
        <v>684-NEGRO</v>
      </c>
      <c r="E11164" s="1" t="s">
        <v>4579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</row>
    <row r="11165" spans="1:11" x14ac:dyDescent="0.2">
      <c r="A11165" s="1" t="s">
        <v>1096</v>
      </c>
      <c r="B11165" s="1" t="s">
        <v>1108</v>
      </c>
      <c r="C11165" s="1" t="str">
        <f>"66298835088679"</f>
        <v>66298835088679</v>
      </c>
      <c r="D11165" s="1" t="str">
        <f>"684-NEGRO-S"</f>
        <v>684-NEGRO-S</v>
      </c>
      <c r="E11165" s="1" t="s">
        <v>4579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</row>
    <row r="11166" spans="1:11" ht="30" x14ac:dyDescent="0.2">
      <c r="A11166" s="1" t="s">
        <v>1096</v>
      </c>
      <c r="B11166" s="1" t="s">
        <v>1109</v>
      </c>
      <c r="C11166" s="1" t="str">
        <f>"66298835131109"</f>
        <v>66298835131109</v>
      </c>
      <c r="D11166" s="1" t="str">
        <f>"934363"</f>
        <v>934363</v>
      </c>
      <c r="E11166" s="1" t="s">
        <v>4579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</row>
    <row r="11167" spans="1:11" ht="30" x14ac:dyDescent="0.2">
      <c r="A11167" s="1" t="s">
        <v>1096</v>
      </c>
      <c r="B11167" s="1" t="s">
        <v>1110</v>
      </c>
      <c r="C11167" s="1" t="str">
        <f>"66298835167959"</f>
        <v>66298835167959</v>
      </c>
      <c r="D11167" s="1" t="str">
        <f>"934364"</f>
        <v>934364</v>
      </c>
      <c r="E11167" s="1" t="s">
        <v>4579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</row>
    <row r="11168" spans="1:11" x14ac:dyDescent="0.2">
      <c r="A11168" s="1" t="s">
        <v>1096</v>
      </c>
      <c r="B11168" s="1" t="s">
        <v>1111</v>
      </c>
      <c r="C11168" s="1" t="str">
        <f>"66298835214546"</f>
        <v>66298835214546</v>
      </c>
      <c r="D11168" s="1" t="str">
        <f>"934355"</f>
        <v>934355</v>
      </c>
      <c r="E11168" s="1" t="s">
        <v>4579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</row>
    <row r="11169" spans="1:11" ht="30" x14ac:dyDescent="0.2">
      <c r="A11169" s="1" t="s">
        <v>1096</v>
      </c>
      <c r="B11169" s="1" t="s">
        <v>1112</v>
      </c>
      <c r="C11169" s="1" t="str">
        <f>"66298835264548"</f>
        <v>66298835264548</v>
      </c>
      <c r="D11169" s="1" t="str">
        <f>"1138685"</f>
        <v>1138685</v>
      </c>
      <c r="E11169" s="1" t="s">
        <v>4579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</row>
    <row r="11170" spans="1:11" ht="30" x14ac:dyDescent="0.2">
      <c r="A11170" s="1" t="s">
        <v>1096</v>
      </c>
      <c r="B11170" s="1" t="s">
        <v>1113</v>
      </c>
      <c r="C11170" s="1" t="str">
        <f>"14609"</f>
        <v>14609</v>
      </c>
      <c r="D11170" s="1" t="str">
        <f>"14609"</f>
        <v>14609</v>
      </c>
      <c r="E11170" s="1" t="s">
        <v>4579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</row>
    <row r="11171" spans="1:11" ht="30" x14ac:dyDescent="0.2">
      <c r="A11171" s="1" t="s">
        <v>1096</v>
      </c>
      <c r="B11171" s="1" t="s">
        <v>1114</v>
      </c>
      <c r="C11171" s="1" t="str">
        <f>"15945"</f>
        <v>15945</v>
      </c>
      <c r="D11171" s="1" t="str">
        <f>"15945"</f>
        <v>15945</v>
      </c>
      <c r="E11171" s="1" t="s">
        <v>4579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</row>
    <row r="11172" spans="1:11" ht="30" x14ac:dyDescent="0.2">
      <c r="A11172" s="1" t="s">
        <v>1096</v>
      </c>
      <c r="B11172" s="1" t="s">
        <v>1115</v>
      </c>
      <c r="C11172" s="1" t="str">
        <f>"14608"</f>
        <v>14608</v>
      </c>
      <c r="D11172" s="1" t="str">
        <f>"14608"</f>
        <v>14608</v>
      </c>
      <c r="E11172" s="1" t="s">
        <v>4579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</row>
    <row r="11173" spans="1:11" ht="30" x14ac:dyDescent="0.2">
      <c r="A11173" s="1" t="s">
        <v>1096</v>
      </c>
      <c r="B11173" s="1" t="s">
        <v>1116</v>
      </c>
      <c r="C11173" s="1" t="str">
        <f>"12888"</f>
        <v>12888</v>
      </c>
      <c r="D11173" s="1" t="str">
        <f>"12888"</f>
        <v>12888</v>
      </c>
      <c r="E11173" s="1" t="s">
        <v>4579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</row>
    <row r="11174" spans="1:11" x14ac:dyDescent="0.2">
      <c r="A11174" s="1" t="s">
        <v>1096</v>
      </c>
      <c r="B11174" s="1" t="s">
        <v>1117</v>
      </c>
      <c r="C11174" s="1" t="str">
        <f>"16220"</f>
        <v>16220</v>
      </c>
      <c r="D11174" s="1" t="str">
        <f>"16220"</f>
        <v>16220</v>
      </c>
      <c r="E11174" s="1" t="s">
        <v>4579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</row>
    <row r="11175" spans="1:11" ht="30" x14ac:dyDescent="0.2">
      <c r="A11175" s="1" t="s">
        <v>1096</v>
      </c>
      <c r="B11175" s="1" t="s">
        <v>1118</v>
      </c>
      <c r="C11175" s="1" t="str">
        <f>"16221"</f>
        <v>16221</v>
      </c>
      <c r="D11175" s="1" t="str">
        <f>"16221"</f>
        <v>16221</v>
      </c>
      <c r="E11175" s="1" t="s">
        <v>4579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</row>
    <row r="11176" spans="1:11" ht="30" x14ac:dyDescent="0.2">
      <c r="A11176" s="1" t="s">
        <v>1096</v>
      </c>
      <c r="B11176" s="1" t="s">
        <v>1119</v>
      </c>
      <c r="C11176" s="1" t="str">
        <f>"15162"</f>
        <v>15162</v>
      </c>
      <c r="D11176" s="1" t="str">
        <f>"15162"</f>
        <v>15162</v>
      </c>
      <c r="E11176" s="1" t="s">
        <v>4579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</row>
    <row r="11177" spans="1:11" x14ac:dyDescent="0.2">
      <c r="A11177" s="1" t="s">
        <v>1096</v>
      </c>
      <c r="B11177" s="1" t="s">
        <v>1120</v>
      </c>
      <c r="C11177" s="1" t="str">
        <f>"15971"</f>
        <v>15971</v>
      </c>
      <c r="D11177" s="1" t="str">
        <f>"15971"</f>
        <v>15971</v>
      </c>
      <c r="E11177" s="1" t="s">
        <v>4579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</row>
    <row r="11178" spans="1:11" x14ac:dyDescent="0.2">
      <c r="A11178" s="1" t="s">
        <v>1096</v>
      </c>
      <c r="B11178" s="1" t="s">
        <v>1121</v>
      </c>
      <c r="C11178" s="1" t="str">
        <f>"16113"</f>
        <v>16113</v>
      </c>
      <c r="D11178" s="1" t="str">
        <f>"16113"</f>
        <v>16113</v>
      </c>
      <c r="E11178" s="1" t="s">
        <v>4579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</row>
    <row r="11179" spans="1:11" ht="30" x14ac:dyDescent="0.2">
      <c r="A11179" s="1" t="s">
        <v>1096</v>
      </c>
      <c r="B11179" s="1" t="s">
        <v>1122</v>
      </c>
      <c r="C11179" s="1" t="str">
        <f>"12895"</f>
        <v>12895</v>
      </c>
      <c r="D11179" s="1" t="str">
        <f>"12895"</f>
        <v>12895</v>
      </c>
      <c r="E11179" s="1" t="s">
        <v>4579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</row>
    <row r="11180" spans="1:11" ht="30" x14ac:dyDescent="0.2">
      <c r="A11180" s="1" t="s">
        <v>1096</v>
      </c>
      <c r="B11180" s="1" t="s">
        <v>1123</v>
      </c>
      <c r="C11180" s="1" t="str">
        <f>"12896"</f>
        <v>12896</v>
      </c>
      <c r="D11180" s="1" t="str">
        <f>"12896"</f>
        <v>12896</v>
      </c>
      <c r="E11180" s="1" t="s">
        <v>4579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</row>
    <row r="11181" spans="1:11" ht="30" x14ac:dyDescent="0.2">
      <c r="A11181" s="1" t="s">
        <v>1096</v>
      </c>
      <c r="B11181" s="1" t="s">
        <v>1124</v>
      </c>
      <c r="C11181" s="1" t="str">
        <f>"14335"</f>
        <v>14335</v>
      </c>
      <c r="D11181" s="1" t="str">
        <f>"14335"</f>
        <v>14335</v>
      </c>
      <c r="E11181" s="1" t="s">
        <v>4579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</row>
    <row r="11182" spans="1:11" ht="30" x14ac:dyDescent="0.2">
      <c r="A11182" s="1" t="s">
        <v>1096</v>
      </c>
      <c r="B11182" s="1" t="s">
        <v>1125</v>
      </c>
      <c r="C11182" s="1" t="str">
        <f>"14334"</f>
        <v>14334</v>
      </c>
      <c r="D11182" s="1" t="str">
        <f>"14334"</f>
        <v>14334</v>
      </c>
      <c r="E11182" s="1" t="s">
        <v>4579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</row>
    <row r="11183" spans="1:11" ht="30" x14ac:dyDescent="0.2">
      <c r="A11183" s="1" t="s">
        <v>1096</v>
      </c>
      <c r="B11183" s="1" t="s">
        <v>1126</v>
      </c>
      <c r="C11183" s="1" t="str">
        <f>"14318"</f>
        <v>14318</v>
      </c>
      <c r="D11183" s="1" t="str">
        <f>"14318"</f>
        <v>14318</v>
      </c>
      <c r="E11183" s="1" t="s">
        <v>4579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</row>
    <row r="11184" spans="1:11" ht="30" x14ac:dyDescent="0.2">
      <c r="A11184" s="1" t="s">
        <v>1096</v>
      </c>
      <c r="B11184" s="1" t="s">
        <v>1127</v>
      </c>
      <c r="C11184" s="1" t="str">
        <f>"14317"</f>
        <v>14317</v>
      </c>
      <c r="D11184" s="1" t="str">
        <f>"14317"</f>
        <v>14317</v>
      </c>
      <c r="E11184" s="1" t="s">
        <v>4579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</row>
    <row r="11185" spans="1:11" ht="30" x14ac:dyDescent="0.2">
      <c r="A11185" s="1" t="s">
        <v>1096</v>
      </c>
      <c r="B11185" s="1" t="s">
        <v>4567</v>
      </c>
      <c r="C11185" s="1" t="str">
        <f>"14313"</f>
        <v>14313</v>
      </c>
      <c r="D11185" s="1" t="str">
        <f>"14313"</f>
        <v>14313</v>
      </c>
      <c r="E11185" s="1" t="s">
        <v>4579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</row>
    <row r="11186" spans="1:11" ht="30" x14ac:dyDescent="0.2">
      <c r="A11186" s="1" t="s">
        <v>1096</v>
      </c>
      <c r="B11186" s="1" t="s">
        <v>1128</v>
      </c>
      <c r="C11186" s="1" t="str">
        <f>"14312"</f>
        <v>14312</v>
      </c>
      <c r="D11186" s="1" t="str">
        <f>"14312"</f>
        <v>14312</v>
      </c>
      <c r="E11186" s="1" t="s">
        <v>4579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</row>
    <row r="11187" spans="1:11" ht="30" x14ac:dyDescent="0.2">
      <c r="A11187" s="1" t="s">
        <v>1096</v>
      </c>
      <c r="B11187" s="1" t="s">
        <v>1129</v>
      </c>
      <c r="C11187" s="1" t="str">
        <f>"14314"</f>
        <v>14314</v>
      </c>
      <c r="D11187" s="1" t="str">
        <f>"14314"</f>
        <v>14314</v>
      </c>
      <c r="E11187" s="1" t="s">
        <v>4579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</row>
    <row r="11188" spans="1:11" ht="30" x14ac:dyDescent="0.2">
      <c r="A11188" s="1" t="s">
        <v>1096</v>
      </c>
      <c r="B11188" s="1" t="s">
        <v>1130</v>
      </c>
      <c r="C11188" s="1" t="str">
        <f>"14315"</f>
        <v>14315</v>
      </c>
      <c r="D11188" s="1" t="str">
        <f>"14315"</f>
        <v>14315</v>
      </c>
      <c r="E11188" s="1" t="s">
        <v>4579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</row>
    <row r="11189" spans="1:11" ht="30" x14ac:dyDescent="0.2">
      <c r="A11189" s="1" t="s">
        <v>1096</v>
      </c>
      <c r="B11189" s="1" t="s">
        <v>1131</v>
      </c>
      <c r="C11189" s="1" t="str">
        <f>"10782"</f>
        <v>10782</v>
      </c>
      <c r="D11189" s="1" t="str">
        <f>"10782"</f>
        <v>10782</v>
      </c>
      <c r="E11189" s="1" t="s">
        <v>4579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</row>
    <row r="11190" spans="1:11" ht="30" x14ac:dyDescent="0.2">
      <c r="A11190" s="1" t="s">
        <v>1096</v>
      </c>
      <c r="B11190" s="1" t="s">
        <v>1132</v>
      </c>
      <c r="C11190" s="1" t="str">
        <f>"10783"</f>
        <v>10783</v>
      </c>
      <c r="D11190" s="1" t="str">
        <f>"10783"</f>
        <v>10783</v>
      </c>
      <c r="E11190" s="1" t="s">
        <v>4579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</row>
    <row r="11191" spans="1:11" ht="30" x14ac:dyDescent="0.2">
      <c r="A11191" s="1" t="s">
        <v>1096</v>
      </c>
      <c r="B11191" s="1" t="s">
        <v>1133</v>
      </c>
      <c r="C11191" s="1" t="str">
        <f>"13012"</f>
        <v>13012</v>
      </c>
      <c r="D11191" s="1" t="str">
        <f>"13012"</f>
        <v>13012</v>
      </c>
      <c r="E11191" s="1" t="s">
        <v>4579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</row>
    <row r="11192" spans="1:11" ht="30" x14ac:dyDescent="0.2">
      <c r="A11192" s="1" t="s">
        <v>1096</v>
      </c>
      <c r="B11192" s="1" t="s">
        <v>1134</v>
      </c>
      <c r="C11192" s="1" t="str">
        <f>"13011"</f>
        <v>13011</v>
      </c>
      <c r="D11192" s="1" t="str">
        <f>"13011"</f>
        <v>13011</v>
      </c>
      <c r="E11192" s="1" t="s">
        <v>4579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</row>
    <row r="11193" spans="1:11" ht="30" x14ac:dyDescent="0.2">
      <c r="A11193" s="1" t="s">
        <v>1096</v>
      </c>
      <c r="B11193" s="1" t="s">
        <v>1135</v>
      </c>
      <c r="C11193" s="1" t="str">
        <f>"13013"</f>
        <v>13013</v>
      </c>
      <c r="D11193" s="1" t="str">
        <f>"13013"</f>
        <v>13013</v>
      </c>
      <c r="E11193" s="1" t="s">
        <v>4579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</row>
    <row r="11194" spans="1:11" ht="30" x14ac:dyDescent="0.2">
      <c r="A11194" s="1" t="s">
        <v>1096</v>
      </c>
      <c r="B11194" s="1" t="s">
        <v>1136</v>
      </c>
      <c r="C11194" s="1" t="str">
        <f>"13014"</f>
        <v>13014</v>
      </c>
      <c r="D11194" s="1" t="str">
        <f>"13014"</f>
        <v>13014</v>
      </c>
      <c r="E11194" s="1" t="s">
        <v>4579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</row>
    <row r="11195" spans="1:11" ht="30" x14ac:dyDescent="0.2">
      <c r="A11195" s="1" t="s">
        <v>1096</v>
      </c>
      <c r="B11195" s="1" t="s">
        <v>1137</v>
      </c>
      <c r="C11195" s="1" t="str">
        <f>"16235"</f>
        <v>16235</v>
      </c>
      <c r="D11195" s="1" t="str">
        <f>"16235"</f>
        <v>16235</v>
      </c>
      <c r="E11195" s="1" t="s">
        <v>4579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</row>
    <row r="11196" spans="1:11" ht="30" x14ac:dyDescent="0.2">
      <c r="A11196" s="1" t="s">
        <v>1096</v>
      </c>
      <c r="B11196" s="1" t="s">
        <v>1138</v>
      </c>
      <c r="C11196" s="1" t="str">
        <f>"14490"</f>
        <v>14490</v>
      </c>
      <c r="D11196" s="1" t="str">
        <f>"14490"</f>
        <v>14490</v>
      </c>
      <c r="E11196" s="1" t="s">
        <v>4579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</row>
    <row r="11197" spans="1:11" ht="30" x14ac:dyDescent="0.2">
      <c r="A11197" s="1" t="s">
        <v>1096</v>
      </c>
      <c r="B11197" s="1" t="s">
        <v>1139</v>
      </c>
      <c r="C11197" s="1" t="str">
        <f>"14491"</f>
        <v>14491</v>
      </c>
      <c r="D11197" s="1" t="str">
        <f>"14491"</f>
        <v>14491</v>
      </c>
      <c r="E11197" s="1" t="s">
        <v>4579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</row>
    <row r="11198" spans="1:11" ht="30" x14ac:dyDescent="0.2">
      <c r="A11198" s="1" t="s">
        <v>1096</v>
      </c>
      <c r="B11198" s="1" t="s">
        <v>1140</v>
      </c>
      <c r="C11198" s="1" t="str">
        <f>"14483"</f>
        <v>14483</v>
      </c>
      <c r="D11198" s="1" t="str">
        <f>"14483"</f>
        <v>14483</v>
      </c>
      <c r="E11198" s="1" t="s">
        <v>4579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</row>
    <row r="11199" spans="1:11" ht="30" x14ac:dyDescent="0.2">
      <c r="A11199" s="1" t="s">
        <v>1096</v>
      </c>
      <c r="B11199" s="1" t="s">
        <v>1141</v>
      </c>
      <c r="C11199" s="1" t="str">
        <f>"14484"</f>
        <v>14484</v>
      </c>
      <c r="D11199" s="1" t="str">
        <f>"14484"</f>
        <v>14484</v>
      </c>
      <c r="E11199" s="1" t="s">
        <v>4579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</row>
    <row r="11200" spans="1:11" ht="30" x14ac:dyDescent="0.2">
      <c r="A11200" s="1" t="s">
        <v>1096</v>
      </c>
      <c r="B11200" s="1" t="s">
        <v>1142</v>
      </c>
      <c r="C11200" s="1" t="str">
        <f>"16236"</f>
        <v>16236</v>
      </c>
      <c r="D11200" s="1" t="str">
        <f>"16236"</f>
        <v>16236</v>
      </c>
      <c r="E11200" s="1" t="s">
        <v>4579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</row>
    <row r="11201" spans="1:11" ht="30" x14ac:dyDescent="0.2">
      <c r="A11201" s="1" t="s">
        <v>1096</v>
      </c>
      <c r="B11201" s="1" t="s">
        <v>1143</v>
      </c>
      <c r="C11201" s="1" t="str">
        <f>"14489"</f>
        <v>14489</v>
      </c>
      <c r="D11201" s="1" t="str">
        <f>"14489"</f>
        <v>14489</v>
      </c>
      <c r="E11201" s="1" t="s">
        <v>4579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</row>
    <row r="11202" spans="1:11" ht="30" x14ac:dyDescent="0.2">
      <c r="A11202" s="1" t="s">
        <v>1096</v>
      </c>
      <c r="B11202" s="1" t="s">
        <v>1144</v>
      </c>
      <c r="C11202" s="1" t="str">
        <f>"66298835314067"</f>
        <v>66298835314067</v>
      </c>
      <c r="D11202" s="1" t="str">
        <f>"14469"</f>
        <v>14469</v>
      </c>
      <c r="E11202" s="1" t="s">
        <v>4579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</row>
    <row r="11203" spans="1:11" ht="30" x14ac:dyDescent="0.2">
      <c r="A11203" s="1" t="s">
        <v>1096</v>
      </c>
      <c r="B11203" s="1" t="s">
        <v>1145</v>
      </c>
      <c r="C11203" s="1" t="str">
        <f>"66298835355573"</f>
        <v>66298835355573</v>
      </c>
      <c r="D11203" s="1" t="str">
        <f>"13734"</f>
        <v>13734</v>
      </c>
      <c r="E11203" s="1" t="s">
        <v>4579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</row>
    <row r="11204" spans="1:11" x14ac:dyDescent="0.2">
      <c r="A11204" s="1" t="s">
        <v>1096</v>
      </c>
      <c r="B11204" s="1" t="s">
        <v>1146</v>
      </c>
      <c r="C11204" s="1" t="str">
        <f>"66298835392119"</f>
        <v>66298835392119</v>
      </c>
      <c r="D11204" s="1" t="str">
        <f>"13737"</f>
        <v>13737</v>
      </c>
      <c r="E11204" s="1" t="s">
        <v>4579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</row>
    <row r="11205" spans="1:11" x14ac:dyDescent="0.2">
      <c r="A11205" s="1" t="s">
        <v>1096</v>
      </c>
      <c r="B11205" s="1" t="s">
        <v>1147</v>
      </c>
      <c r="C11205" s="1" t="str">
        <f>"66298835433798"</f>
        <v>66298835433798</v>
      </c>
      <c r="D11205" s="1" t="str">
        <f>"13742"</f>
        <v>13742</v>
      </c>
      <c r="E11205" s="1" t="s">
        <v>4579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</row>
    <row r="11206" spans="1:11" x14ac:dyDescent="0.2">
      <c r="A11206" s="1" t="s">
        <v>1096</v>
      </c>
      <c r="B11206" s="1" t="s">
        <v>1148</v>
      </c>
      <c r="C11206" s="1" t="str">
        <f>"66298835475424"</f>
        <v>66298835475424</v>
      </c>
      <c r="D11206" s="1" t="str">
        <f>"13492"</f>
        <v>13492</v>
      </c>
      <c r="E11206" s="1" t="s">
        <v>4579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</row>
    <row r="11207" spans="1:11" x14ac:dyDescent="0.2">
      <c r="A11207" s="1" t="s">
        <v>1096</v>
      </c>
      <c r="B11207" s="1" t="s">
        <v>1149</v>
      </c>
      <c r="C11207" s="1" t="str">
        <f>"66298835514853"</f>
        <v>66298835514853</v>
      </c>
      <c r="D11207" s="1" t="str">
        <f>"1379A"</f>
        <v>1379A</v>
      </c>
      <c r="E11207" s="1" t="s">
        <v>4579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</row>
    <row r="11208" spans="1:11" x14ac:dyDescent="0.2">
      <c r="A11208" s="1" t="s">
        <v>1096</v>
      </c>
      <c r="B11208" s="1" t="s">
        <v>1150</v>
      </c>
      <c r="C11208" s="1" t="str">
        <f>"66298835559620"</f>
        <v>66298835559620</v>
      </c>
      <c r="D11208" s="1" t="str">
        <f>"1379B"</f>
        <v>1379B</v>
      </c>
      <c r="E11208" s="1" t="s">
        <v>4579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</row>
    <row r="11209" spans="1:11" x14ac:dyDescent="0.2">
      <c r="A11209" s="1" t="s">
        <v>1096</v>
      </c>
      <c r="B11209" s="1" t="s">
        <v>1151</v>
      </c>
      <c r="C11209" s="1" t="str">
        <f>"66298835601278"</f>
        <v>66298835601278</v>
      </c>
      <c r="D11209" s="1" t="str">
        <f>"1379N"</f>
        <v>1379N</v>
      </c>
      <c r="E11209" s="1" t="s">
        <v>4579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</row>
    <row r="11210" spans="1:11" x14ac:dyDescent="0.2">
      <c r="A11210" s="1" t="s">
        <v>1096</v>
      </c>
      <c r="B11210" s="1" t="s">
        <v>1152</v>
      </c>
      <c r="C11210" s="1" t="str">
        <f>"66298835643005"</f>
        <v>66298835643005</v>
      </c>
      <c r="D11210" s="1" t="str">
        <f>"1379M"</f>
        <v>1379M</v>
      </c>
      <c r="E11210" s="1" t="s">
        <v>4579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</row>
    <row r="11211" spans="1:11" x14ac:dyDescent="0.2">
      <c r="A11211" s="1" t="s">
        <v>1096</v>
      </c>
      <c r="B11211" s="1" t="s">
        <v>1153</v>
      </c>
      <c r="C11211" s="1" t="str">
        <f>"66298835683615"</f>
        <v>66298835683615</v>
      </c>
      <c r="D11211" s="1" t="str">
        <f>"1379R"</f>
        <v>1379R</v>
      </c>
      <c r="E11211" s="1" t="s">
        <v>4579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</row>
    <row r="11212" spans="1:11" x14ac:dyDescent="0.2">
      <c r="A11212" s="1" t="s">
        <v>1096</v>
      </c>
      <c r="B11212" s="1" t="s">
        <v>1154</v>
      </c>
      <c r="C11212" s="1" t="str">
        <f>"66298835722889"</f>
        <v>66298835722889</v>
      </c>
      <c r="D11212" s="1" t="str">
        <f>"W015-NEG/ROJ-L"</f>
        <v>W015-NEG/ROJ-L</v>
      </c>
      <c r="E11212" s="1" t="s">
        <v>4579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</row>
    <row r="11213" spans="1:11" x14ac:dyDescent="0.2">
      <c r="A11213" s="1" t="s">
        <v>1096</v>
      </c>
      <c r="B11213" s="1" t="s">
        <v>1155</v>
      </c>
      <c r="C11213" s="1" t="str">
        <f>"66298835766424"</f>
        <v>66298835766424</v>
      </c>
      <c r="D11213" s="1" t="str">
        <f>"561"</f>
        <v>561</v>
      </c>
      <c r="E11213" s="1" t="s">
        <v>4579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</row>
    <row r="11214" spans="1:11" x14ac:dyDescent="0.2">
      <c r="A11214" s="1" t="s">
        <v>1156</v>
      </c>
      <c r="B11214" s="1" t="s">
        <v>1157</v>
      </c>
      <c r="C11214" s="1" t="str">
        <f>"10000040033"</f>
        <v>10000040033</v>
      </c>
      <c r="D11214" s="1" t="str">
        <f>"10000040033"</f>
        <v>10000040033</v>
      </c>
      <c r="E11214" s="1" t="s">
        <v>4579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</row>
    <row r="11215" spans="1:11" x14ac:dyDescent="0.2">
      <c r="A11215" s="1" t="s">
        <v>1156</v>
      </c>
      <c r="B11215" s="1" t="s">
        <v>1158</v>
      </c>
      <c r="C11215" s="1" t="str">
        <f>"66298835807824"</f>
        <v>66298835807824</v>
      </c>
      <c r="D11215" s="1" t="str">
        <f>"49CC60"</f>
        <v>49CC60</v>
      </c>
      <c r="E11215" s="1" t="s">
        <v>4579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</row>
    <row r="11216" spans="1:11" x14ac:dyDescent="0.2">
      <c r="A11216" s="1" t="s">
        <v>1156</v>
      </c>
      <c r="B11216" s="1" t="s">
        <v>1159</v>
      </c>
      <c r="C11216" s="1" t="str">
        <f>"N031"</f>
        <v>N031</v>
      </c>
      <c r="D11216" s="1" t="str">
        <f>"N031"</f>
        <v>N031</v>
      </c>
      <c r="E11216" s="1" t="s">
        <v>4579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</row>
    <row r="11217" spans="1:11" x14ac:dyDescent="0.2">
      <c r="A11217" s="1" t="s">
        <v>1156</v>
      </c>
      <c r="B11217" s="1" t="s">
        <v>1160</v>
      </c>
      <c r="C11217" s="1" t="str">
        <f>"66298835845930"</f>
        <v>66298835845930</v>
      </c>
      <c r="D11217" s="1" t="str">
        <f>"S102-CATALINA"</f>
        <v>S102-CATALINA</v>
      </c>
      <c r="E11217" s="1" t="s">
        <v>4579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</row>
    <row r="11218" spans="1:11" x14ac:dyDescent="0.2">
      <c r="A11218" s="1" t="s">
        <v>1156</v>
      </c>
      <c r="B11218" s="1" t="s">
        <v>1160</v>
      </c>
      <c r="C11218" s="1" t="str">
        <f>"10000040009"</f>
        <v>10000040009</v>
      </c>
      <c r="D11218" s="1" t="str">
        <f>"10000040009"</f>
        <v>10000040009</v>
      </c>
      <c r="E11218" s="1" t="s">
        <v>4579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</row>
    <row r="11219" spans="1:11" x14ac:dyDescent="0.2">
      <c r="A11219" s="1" t="s">
        <v>1156</v>
      </c>
      <c r="B11219" s="1" t="s">
        <v>1161</v>
      </c>
      <c r="C11219" s="1" t="str">
        <f>"10000043012"</f>
        <v>10000043012</v>
      </c>
      <c r="D11219" s="1" t="str">
        <f>"10000043012"</f>
        <v>10000043012</v>
      </c>
      <c r="E11219" s="1" t="s">
        <v>4579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</row>
    <row r="11220" spans="1:11" x14ac:dyDescent="0.2">
      <c r="A11220" s="1" t="s">
        <v>1156</v>
      </c>
      <c r="B11220" s="1" t="s">
        <v>1162</v>
      </c>
      <c r="C11220" s="1" t="str">
        <f>"20020"</f>
        <v>20020</v>
      </c>
      <c r="D11220" s="1" t="str">
        <f>"20020"</f>
        <v>20020</v>
      </c>
      <c r="E11220" s="1" t="s">
        <v>4579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</row>
    <row r="11221" spans="1:11" x14ac:dyDescent="0.2">
      <c r="A11221" s="1" t="s">
        <v>1156</v>
      </c>
      <c r="B11221" s="1" t="s">
        <v>1163</v>
      </c>
      <c r="C11221" s="1" t="str">
        <f>"66298835883001"</f>
        <v>66298835883001</v>
      </c>
      <c r="D11221" s="1" t="str">
        <f>"41202-KWT-900JP"</f>
        <v>41202-KWT-900JP</v>
      </c>
      <c r="E11221" s="1" t="s">
        <v>4579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</row>
    <row r="11222" spans="1:11" x14ac:dyDescent="0.2">
      <c r="A11222" s="1" t="s">
        <v>1156</v>
      </c>
      <c r="B11222" s="1" t="s">
        <v>1164</v>
      </c>
      <c r="C11222" s="1" t="str">
        <f>"42041-1199VA"</f>
        <v>42041-1199VA</v>
      </c>
      <c r="D11222" s="1" t="str">
        <f>"42041-1199VA"</f>
        <v>42041-1199VA</v>
      </c>
      <c r="E11222" s="1" t="s">
        <v>4579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</row>
    <row r="11223" spans="1:11" x14ac:dyDescent="0.2">
      <c r="A11223" s="1" t="s">
        <v>1156</v>
      </c>
      <c r="B11223" s="1" t="s">
        <v>1165</v>
      </c>
      <c r="C11223" s="1" t="str">
        <f>"66298835926385"</f>
        <v>66298835926385</v>
      </c>
      <c r="D11223" s="1" t="str">
        <f>"64511-01D04JP"</f>
        <v>64511-01D04JP</v>
      </c>
      <c r="E11223" s="1" t="s">
        <v>4579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</row>
    <row r="11224" spans="1:11" x14ac:dyDescent="0.2">
      <c r="A11224" s="1" t="s">
        <v>1156</v>
      </c>
      <c r="B11224" s="1" t="s">
        <v>1166</v>
      </c>
      <c r="C11224" s="1" t="str">
        <f>"66298835964925"</f>
        <v>66298835964925</v>
      </c>
      <c r="D11224" s="1" t="str">
        <f>"DJ-1511-10"</f>
        <v>DJ-1511-10</v>
      </c>
      <c r="E11224" s="1" t="s">
        <v>4579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</row>
    <row r="11225" spans="1:11" x14ac:dyDescent="0.2">
      <c r="A11225" s="1" t="s">
        <v>1156</v>
      </c>
      <c r="B11225" s="1" t="s">
        <v>1167</v>
      </c>
      <c r="C11225" s="1" t="str">
        <f>"10000048184"</f>
        <v>10000048184</v>
      </c>
      <c r="D11225" s="1" t="str">
        <f>"10000048184"</f>
        <v>10000048184</v>
      </c>
      <c r="E11225" s="1" t="s">
        <v>4579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</row>
    <row r="11226" spans="1:11" x14ac:dyDescent="0.2">
      <c r="A11226" s="1" t="s">
        <v>1156</v>
      </c>
      <c r="B11226" s="1" t="s">
        <v>1168</v>
      </c>
      <c r="C11226" s="1" t="str">
        <f>"66298836002316"</f>
        <v>66298836002316</v>
      </c>
      <c r="D11226" s="1" t="str">
        <f>"41200-KSH-930JP"</f>
        <v>41200-KSH-930JP</v>
      </c>
      <c r="E11226" s="1" t="s">
        <v>4579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</row>
    <row r="11227" spans="1:11" x14ac:dyDescent="0.2">
      <c r="A11227" s="1" t="s">
        <v>1156</v>
      </c>
      <c r="B11227" s="1" t="s">
        <v>1169</v>
      </c>
      <c r="C11227" s="1" t="str">
        <f>"66298836041969"</f>
        <v>66298836041969</v>
      </c>
      <c r="D11227" s="1" t="str">
        <f>"21C-F5440-00VA"</f>
        <v>21C-F5440-00VA</v>
      </c>
      <c r="E11227" s="1" t="s">
        <v>4579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</row>
    <row r="11228" spans="1:11" x14ac:dyDescent="0.2">
      <c r="A11228" s="1" t="s">
        <v>1156</v>
      </c>
      <c r="B11228" s="1" t="s">
        <v>1169</v>
      </c>
      <c r="C11228" s="1" t="str">
        <f>"10000041709"</f>
        <v>10000041709</v>
      </c>
      <c r="D11228" s="1" t="str">
        <f>"10000041709"</f>
        <v>10000041709</v>
      </c>
      <c r="E11228" s="1" t="s">
        <v>4579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</row>
    <row r="11229" spans="1:11" x14ac:dyDescent="0.2">
      <c r="A11229" s="1" t="s">
        <v>1156</v>
      </c>
      <c r="B11229" s="1" t="s">
        <v>1170</v>
      </c>
      <c r="C11229" s="1" t="str">
        <f>"66298836082894"</f>
        <v>66298836082894</v>
      </c>
      <c r="D11229" s="1" t="str">
        <f>"1ED-F5440-00JP"</f>
        <v>1ED-F5440-00JP</v>
      </c>
      <c r="E11229" s="1" t="s">
        <v>4579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</row>
    <row r="11230" spans="1:11" x14ac:dyDescent="0.2">
      <c r="A11230" s="1" t="s">
        <v>1156</v>
      </c>
      <c r="B11230" s="1" t="s">
        <v>1171</v>
      </c>
      <c r="C11230" s="1" t="str">
        <f>"10000041504"</f>
        <v>10000041504</v>
      </c>
      <c r="D11230" s="1" t="str">
        <f>"10000041504"</f>
        <v>10000041504</v>
      </c>
      <c r="E11230" s="1" t="s">
        <v>4579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</row>
    <row r="11231" spans="1:11" ht="30" x14ac:dyDescent="0.2">
      <c r="A11231" s="1" t="s">
        <v>1156</v>
      </c>
      <c r="B11231" s="1" t="s">
        <v>1172</v>
      </c>
      <c r="C11231" s="1" t="str">
        <f>"JTR1316.41"</f>
        <v>JTR1316.41</v>
      </c>
      <c r="D11231" s="1" t="str">
        <f>"JTR1316.41"</f>
        <v>JTR1316.41</v>
      </c>
      <c r="E11231" s="1" t="s">
        <v>4579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</row>
    <row r="11232" spans="1:11" x14ac:dyDescent="0.2">
      <c r="A11232" s="1" t="s">
        <v>1156</v>
      </c>
      <c r="B11232" s="1" t="s">
        <v>1173</v>
      </c>
      <c r="C11232" s="1" t="str">
        <f>"10000043014"</f>
        <v>10000043014</v>
      </c>
      <c r="D11232" s="1" t="str">
        <f>"10000043014"</f>
        <v>10000043014</v>
      </c>
      <c r="E11232" s="1" t="s">
        <v>4579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</row>
    <row r="11233" spans="1:11" x14ac:dyDescent="0.2">
      <c r="A11233" s="1" t="s">
        <v>1156</v>
      </c>
      <c r="B11233" s="1" t="s">
        <v>1174</v>
      </c>
      <c r="C11233" s="1" t="str">
        <f>"66298836121204"</f>
        <v>66298836121204</v>
      </c>
      <c r="D11233" s="1" t="str">
        <f>"64511-30H00JP"</f>
        <v>64511-30H00JP</v>
      </c>
      <c r="E11233" s="1" t="s">
        <v>4579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</row>
    <row r="11234" spans="1:11" x14ac:dyDescent="0.2">
      <c r="A11234" s="1" t="s">
        <v>1156</v>
      </c>
      <c r="B11234" s="1" t="s">
        <v>1175</v>
      </c>
      <c r="C11234" s="1" t="str">
        <f>"12189"</f>
        <v>12189</v>
      </c>
      <c r="D11234" s="1" t="str">
        <f>"12189"</f>
        <v>12189</v>
      </c>
      <c r="E11234" s="1" t="s">
        <v>4579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</row>
    <row r="11235" spans="1:11" x14ac:dyDescent="0.2">
      <c r="A11235" s="1" t="s">
        <v>1156</v>
      </c>
      <c r="B11235" s="1" t="s">
        <v>1176</v>
      </c>
      <c r="C11235" s="1" t="str">
        <f>"U003C"</f>
        <v>U003C</v>
      </c>
      <c r="D11235" s="1" t="str">
        <f>"U003C"</f>
        <v>U003C</v>
      </c>
      <c r="E11235" s="1" t="s">
        <v>4579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</row>
    <row r="11236" spans="1:11" x14ac:dyDescent="0.2">
      <c r="A11236" s="1" t="s">
        <v>1156</v>
      </c>
      <c r="B11236" s="1" t="s">
        <v>1177</v>
      </c>
      <c r="C11236" s="1" t="str">
        <f>"10000041694"</f>
        <v>10000041694</v>
      </c>
      <c r="D11236" s="1" t="str">
        <f>"10000041694"</f>
        <v>10000041694</v>
      </c>
      <c r="E11236" s="1" t="s">
        <v>4579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</row>
    <row r="11237" spans="1:11" x14ac:dyDescent="0.2">
      <c r="A11237" s="1" t="s">
        <v>1156</v>
      </c>
      <c r="B11237" s="1" t="s">
        <v>1178</v>
      </c>
      <c r="C11237" s="1" t="str">
        <f>"66298836164796"</f>
        <v>66298836164796</v>
      </c>
      <c r="D11237" s="1" t="str">
        <f>"N008"</f>
        <v>N008</v>
      </c>
      <c r="E11237" s="1" t="s">
        <v>4579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</row>
    <row r="11238" spans="1:11" ht="30" x14ac:dyDescent="0.2">
      <c r="A11238" s="1" t="s">
        <v>1156</v>
      </c>
      <c r="B11238" s="1" t="s">
        <v>1179</v>
      </c>
      <c r="C11238" s="1" t="str">
        <f>"66298836207120"</f>
        <v>66298836207120</v>
      </c>
      <c r="D11238" s="1" t="str">
        <f>"41200-KSP-B00JP"</f>
        <v>41200-KSP-B00JP</v>
      </c>
      <c r="E11238" s="1" t="s">
        <v>4579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</row>
    <row r="11239" spans="1:11" x14ac:dyDescent="0.2">
      <c r="A11239" s="1" t="s">
        <v>1156</v>
      </c>
      <c r="B11239" s="1" t="s">
        <v>1180</v>
      </c>
      <c r="C11239" s="1" t="str">
        <f>"66298836250003"</f>
        <v>66298836250003</v>
      </c>
      <c r="D11239" s="1" t="str">
        <f>"64511-32E00JP"</f>
        <v>64511-32E00JP</v>
      </c>
      <c r="E11239" s="1" t="s">
        <v>4579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</row>
    <row r="11240" spans="1:11" x14ac:dyDescent="0.2">
      <c r="A11240" s="1" t="s">
        <v>1156</v>
      </c>
      <c r="B11240" s="1" t="s">
        <v>1181</v>
      </c>
      <c r="C11240" s="1" t="str">
        <f>"66298836293252"</f>
        <v>66298836293252</v>
      </c>
      <c r="D11240" s="1" t="str">
        <f>"DX-1510-23JP"</f>
        <v>DX-1510-23JP</v>
      </c>
      <c r="E11240" s="1" t="s">
        <v>4579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</row>
    <row r="11241" spans="1:11" x14ac:dyDescent="0.2">
      <c r="A11241" s="1" t="s">
        <v>1156</v>
      </c>
      <c r="B11241" s="1" t="s">
        <v>1182</v>
      </c>
      <c r="C11241" s="1" t="str">
        <f>"66298836338595"</f>
        <v>66298836338595</v>
      </c>
      <c r="D11241" s="1" t="str">
        <f>"83187"</f>
        <v>83187</v>
      </c>
      <c r="E11241" s="1" t="s">
        <v>4579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</row>
    <row r="11242" spans="1:11" x14ac:dyDescent="0.2">
      <c r="A11242" s="1" t="s">
        <v>1156</v>
      </c>
      <c r="B11242" s="1" t="s">
        <v>1183</v>
      </c>
      <c r="C11242" s="1" t="str">
        <f>"U024"</f>
        <v>U024</v>
      </c>
      <c r="D11242" s="1" t="str">
        <f>"U024"</f>
        <v>U024</v>
      </c>
      <c r="E11242" s="1" t="s">
        <v>4579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</row>
    <row r="11243" spans="1:11" x14ac:dyDescent="0.2">
      <c r="A11243" s="1" t="s">
        <v>1156</v>
      </c>
      <c r="B11243" s="1" t="s">
        <v>1184</v>
      </c>
      <c r="C11243" s="1" t="str">
        <f>"66298836381193"</f>
        <v>66298836381193</v>
      </c>
      <c r="D11243" s="1" t="str">
        <f>"40230"</f>
        <v>40230</v>
      </c>
      <c r="E11243" s="1" t="s">
        <v>4579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</row>
    <row r="11244" spans="1:11" x14ac:dyDescent="0.2">
      <c r="A11244" s="1" t="s">
        <v>1156</v>
      </c>
      <c r="B11244" s="1" t="s">
        <v>1184</v>
      </c>
      <c r="C11244" s="1" t="str">
        <f>"66298836423157"</f>
        <v>66298836423157</v>
      </c>
      <c r="D11244" s="1" t="str">
        <f>"41201-KVE-900JP"</f>
        <v>41201-KVE-900JP</v>
      </c>
      <c r="E11244" s="1" t="s">
        <v>4579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</row>
    <row r="11245" spans="1:11" x14ac:dyDescent="0.2">
      <c r="A11245" s="1" t="s">
        <v>1156</v>
      </c>
      <c r="B11245" s="1" t="s">
        <v>1185</v>
      </c>
      <c r="C11245" s="1" t="str">
        <f>"66298836463867"</f>
        <v>66298836463867</v>
      </c>
      <c r="D11245" s="1" t="str">
        <f>"64511-32E20JP"</f>
        <v>64511-32E20JP</v>
      </c>
      <c r="E11245" s="1" t="s">
        <v>4579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</row>
    <row r="11246" spans="1:11" x14ac:dyDescent="0.2">
      <c r="A11246" s="1" t="s">
        <v>1156</v>
      </c>
      <c r="B11246" s="1" t="s">
        <v>1186</v>
      </c>
      <c r="C11246" s="1" t="str">
        <f>"64511-05310JP"</f>
        <v>64511-05310JP</v>
      </c>
      <c r="D11246" s="1" t="str">
        <f>"64511-05310JP"</f>
        <v>64511-05310JP</v>
      </c>
      <c r="E11246" s="1" t="s">
        <v>4579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</row>
    <row r="11247" spans="1:11" x14ac:dyDescent="0.2">
      <c r="A11247" s="1" t="s">
        <v>1156</v>
      </c>
      <c r="B11247" s="1" t="s">
        <v>1187</v>
      </c>
      <c r="C11247" s="1" t="str">
        <f>"66298836505913"</f>
        <v>66298836505913</v>
      </c>
      <c r="D11247" s="1" t="str">
        <f>"504-43ST"</f>
        <v>504-43ST</v>
      </c>
      <c r="E11247" s="1" t="s">
        <v>4579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</row>
    <row r="11248" spans="1:11" x14ac:dyDescent="0.2">
      <c r="A11248" s="1" t="s">
        <v>1156</v>
      </c>
      <c r="B11248" s="1" t="s">
        <v>1188</v>
      </c>
      <c r="C11248" s="1" t="str">
        <f>"JTR1876.43"</f>
        <v>JTR1876.43</v>
      </c>
      <c r="D11248" s="1" t="str">
        <f>"JTR1876.43"</f>
        <v>JTR1876.43</v>
      </c>
      <c r="E11248" s="1" t="s">
        <v>4579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</row>
    <row r="11249" spans="1:11" x14ac:dyDescent="0.2">
      <c r="A11249" s="1" t="s">
        <v>1156</v>
      </c>
      <c r="B11249" s="1" t="s">
        <v>1189</v>
      </c>
      <c r="C11249" s="1" t="str">
        <f>"66298836542036"</f>
        <v>66298836542036</v>
      </c>
      <c r="D11249" s="1" t="str">
        <f>"41200-KBB-670JP"</f>
        <v>41200-KBB-670JP</v>
      </c>
      <c r="E11249" s="1" t="s">
        <v>4579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</row>
    <row r="11250" spans="1:11" x14ac:dyDescent="0.2">
      <c r="A11250" s="1" t="s">
        <v>1156</v>
      </c>
      <c r="B11250" s="1" t="s">
        <v>1190</v>
      </c>
      <c r="C11250" s="1" t="str">
        <f>"66298836581363"</f>
        <v>66298836581363</v>
      </c>
      <c r="D11250" s="1" t="str">
        <f>"41201-KGA-900JP"</f>
        <v>41201-KGA-900JP</v>
      </c>
      <c r="E11250" s="1" t="s">
        <v>4579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</row>
    <row r="11251" spans="1:11" x14ac:dyDescent="0.2">
      <c r="A11251" s="1" t="s">
        <v>1156</v>
      </c>
      <c r="B11251" s="1" t="s">
        <v>1191</v>
      </c>
      <c r="C11251" s="1" t="str">
        <f>"10000040383"</f>
        <v>10000040383</v>
      </c>
      <c r="D11251" s="1" t="str">
        <f>"10000040383"</f>
        <v>10000040383</v>
      </c>
      <c r="E11251" s="1" t="s">
        <v>4579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</row>
    <row r="11252" spans="1:11" x14ac:dyDescent="0.2">
      <c r="A11252" s="1" t="s">
        <v>1156</v>
      </c>
      <c r="B11252" s="1" t="s">
        <v>1192</v>
      </c>
      <c r="C11252" s="1" t="str">
        <f>"5C9-F5444-00"</f>
        <v>5C9-F5444-00</v>
      </c>
      <c r="D11252" s="1" t="str">
        <f>"5C9-F5444-00"</f>
        <v>5C9-F5444-00</v>
      </c>
      <c r="E11252" s="1" t="s">
        <v>4579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</row>
    <row r="11253" spans="1:11" x14ac:dyDescent="0.2">
      <c r="A11253" s="1" t="s">
        <v>1156</v>
      </c>
      <c r="B11253" s="1" t="s">
        <v>1193</v>
      </c>
      <c r="C11253" s="1" t="str">
        <f>"66298836660245"</f>
        <v>66298836660245</v>
      </c>
      <c r="D11253" s="1" t="str">
        <f>"85174"</f>
        <v>85174</v>
      </c>
      <c r="E11253" s="1" t="s">
        <v>4579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</row>
    <row r="11254" spans="1:11" ht="30" x14ac:dyDescent="0.2">
      <c r="A11254" s="1" t="s">
        <v>1156</v>
      </c>
      <c r="B11254" s="1" t="s">
        <v>1194</v>
      </c>
      <c r="C11254" s="1" t="str">
        <f>"66298836701228"</f>
        <v>66298836701228</v>
      </c>
      <c r="D11254" s="1" t="str">
        <f>"64511-42A01JP"</f>
        <v>64511-42A01JP</v>
      </c>
      <c r="E11254" s="1" t="s">
        <v>4579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</row>
    <row r="11255" spans="1:11" x14ac:dyDescent="0.2">
      <c r="A11255" s="1" t="s">
        <v>1156</v>
      </c>
      <c r="B11255" s="1" t="s">
        <v>1195</v>
      </c>
      <c r="C11255" s="1" t="str">
        <f>"66298836738706"</f>
        <v>66298836738706</v>
      </c>
      <c r="D11255" s="1" t="str">
        <f>"64511-42A00VA"</f>
        <v>64511-42A00VA</v>
      </c>
      <c r="E11255" s="1" t="s">
        <v>4579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</row>
    <row r="11256" spans="1:11" x14ac:dyDescent="0.2">
      <c r="A11256" s="1" t="s">
        <v>1156</v>
      </c>
      <c r="B11256" s="1" t="s">
        <v>1196</v>
      </c>
      <c r="C11256" s="1" t="str">
        <f>"10000041601"</f>
        <v>10000041601</v>
      </c>
      <c r="D11256" s="1" t="str">
        <f>"10000041601"</f>
        <v>10000041601</v>
      </c>
      <c r="E11256" s="1" t="s">
        <v>4579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</row>
    <row r="11257" spans="1:11" x14ac:dyDescent="0.2">
      <c r="A11257" s="1" t="s">
        <v>1156</v>
      </c>
      <c r="B11257" s="1" t="s">
        <v>1197</v>
      </c>
      <c r="C11257" s="1" t="str">
        <f>"10000043262"</f>
        <v>10000043262</v>
      </c>
      <c r="D11257" s="1" t="str">
        <f>"10000043262"</f>
        <v>10000043262</v>
      </c>
      <c r="E11257" s="1" t="s">
        <v>4579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</row>
    <row r="11258" spans="1:11" x14ac:dyDescent="0.2">
      <c r="A11258" s="1" t="s">
        <v>1156</v>
      </c>
      <c r="B11258" s="1" t="s">
        <v>1198</v>
      </c>
      <c r="C11258" s="1" t="str">
        <f>"10000043017"</f>
        <v>10000043017</v>
      </c>
      <c r="D11258" s="1" t="str">
        <f>"10000043017"</f>
        <v>10000043017</v>
      </c>
      <c r="E11258" s="1" t="s">
        <v>4579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</row>
    <row r="11259" spans="1:11" x14ac:dyDescent="0.2">
      <c r="A11259" s="1" t="s">
        <v>1156</v>
      </c>
      <c r="B11259" s="1" t="s">
        <v>1199</v>
      </c>
      <c r="C11259" s="1" t="str">
        <f>"H6209"</f>
        <v>H6209</v>
      </c>
      <c r="D11259" s="1" t="str">
        <f>"H6209"</f>
        <v>H6209</v>
      </c>
      <c r="E11259" s="1" t="s">
        <v>4579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</row>
    <row r="11260" spans="1:11" ht="30" x14ac:dyDescent="0.2">
      <c r="A11260" s="1" t="s">
        <v>1156</v>
      </c>
      <c r="B11260" s="1" t="s">
        <v>1200</v>
      </c>
      <c r="C11260" s="1" t="str">
        <f>"10000012580"</f>
        <v>10000012580</v>
      </c>
      <c r="D11260" s="1" t="str">
        <f>"10000012580"</f>
        <v>10000012580</v>
      </c>
      <c r="E11260" s="1" t="s">
        <v>4579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</row>
    <row r="11261" spans="1:11" x14ac:dyDescent="0.2">
      <c r="A11261" s="1" t="s">
        <v>1156</v>
      </c>
      <c r="B11261" s="1" t="s">
        <v>1201</v>
      </c>
      <c r="C11261" s="1" t="str">
        <f>"U031"</f>
        <v>U031</v>
      </c>
      <c r="D11261" s="1" t="str">
        <f>"U031"</f>
        <v>U031</v>
      </c>
      <c r="E11261" s="1" t="s">
        <v>4579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</row>
    <row r="11262" spans="1:11" x14ac:dyDescent="0.2">
      <c r="A11262" s="1" t="s">
        <v>1156</v>
      </c>
      <c r="B11262" s="1" t="s">
        <v>1202</v>
      </c>
      <c r="C11262" s="1" t="str">
        <f>"66298836818680"</f>
        <v>66298836818680</v>
      </c>
      <c r="D11262" s="1" t="str">
        <f>"TX-20400-000"</f>
        <v>TX-20400-000</v>
      </c>
      <c r="E11262" s="1" t="s">
        <v>4579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</row>
    <row r="11263" spans="1:11" x14ac:dyDescent="0.2">
      <c r="A11263" s="1" t="s">
        <v>1156</v>
      </c>
      <c r="B11263" s="1" t="s">
        <v>1203</v>
      </c>
      <c r="C11263" s="1" t="str">
        <f>"66298836858546"</f>
        <v>66298836858546</v>
      </c>
      <c r="D11263" s="1" t="str">
        <f>"N9112570"</f>
        <v>N9112570</v>
      </c>
      <c r="E11263" s="1" t="s">
        <v>4579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</row>
    <row r="11264" spans="1:11" x14ac:dyDescent="0.2">
      <c r="A11264" s="1" t="s">
        <v>1156</v>
      </c>
      <c r="B11264" s="1" t="s">
        <v>1204</v>
      </c>
      <c r="C11264" s="1" t="str">
        <f>"66298836897112"</f>
        <v>66298836897112</v>
      </c>
      <c r="D11264" s="1" t="str">
        <f>"4B4-F5446-20JP"</f>
        <v>4B4-F5446-20JP</v>
      </c>
      <c r="E11264" s="1" t="s">
        <v>4579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</row>
    <row r="11265" spans="1:11" x14ac:dyDescent="0.2">
      <c r="A11265" s="1" t="s">
        <v>1156</v>
      </c>
      <c r="B11265" s="1" t="s">
        <v>1205</v>
      </c>
      <c r="C11265" s="1" t="str">
        <f>"66298836937635"</f>
        <v>66298836937635</v>
      </c>
      <c r="D11265" s="1" t="str">
        <f>"64511-27G00JP"</f>
        <v>64511-27G00JP</v>
      </c>
      <c r="E11265" s="1" t="s">
        <v>4579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</row>
    <row r="11266" spans="1:11" x14ac:dyDescent="0.2">
      <c r="A11266" s="1" t="s">
        <v>1156</v>
      </c>
      <c r="B11266" s="1" t="s">
        <v>1206</v>
      </c>
      <c r="C11266" s="1" t="str">
        <f>"66298836978114"</f>
        <v>66298836978114</v>
      </c>
      <c r="D11266" s="1" t="str">
        <f>"1CK-F5447-00VA"</f>
        <v>1CK-F5447-00VA</v>
      </c>
      <c r="E11266" s="1" t="s">
        <v>4579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</row>
    <row r="11267" spans="1:11" x14ac:dyDescent="0.2">
      <c r="A11267" s="1" t="s">
        <v>1156</v>
      </c>
      <c r="B11267" s="1" t="s">
        <v>1207</v>
      </c>
      <c r="C11267" s="1" t="str">
        <f>"66298837020156"</f>
        <v>66298837020156</v>
      </c>
      <c r="D11267" s="1" t="str">
        <f>"64511-48048JP"</f>
        <v>64511-48048JP</v>
      </c>
      <c r="E11267" s="1" t="s">
        <v>4579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</row>
    <row r="11268" spans="1:11" x14ac:dyDescent="0.2">
      <c r="A11268" s="1" t="s">
        <v>1156</v>
      </c>
      <c r="B11268" s="1" t="s">
        <v>1208</v>
      </c>
      <c r="C11268" s="1" t="str">
        <f>"10000040285"</f>
        <v>10000040285</v>
      </c>
      <c r="D11268" s="1" t="str">
        <f>"10000040285"</f>
        <v>10000040285</v>
      </c>
      <c r="E11268" s="1" t="s">
        <v>4579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</row>
    <row r="11269" spans="1:11" x14ac:dyDescent="0.2">
      <c r="A11269" s="1" t="s">
        <v>1156</v>
      </c>
      <c r="B11269" s="1" t="s">
        <v>1209</v>
      </c>
      <c r="C11269" s="1" t="str">
        <f>"10000041555"</f>
        <v>10000041555</v>
      </c>
      <c r="D11269" s="1" t="str">
        <f>"10000041555"</f>
        <v>10000041555</v>
      </c>
      <c r="E11269" s="1" t="s">
        <v>4579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</row>
    <row r="11270" spans="1:11" x14ac:dyDescent="0.2">
      <c r="A11270" s="1" t="s">
        <v>1156</v>
      </c>
      <c r="B11270" s="1" t="s">
        <v>1210</v>
      </c>
      <c r="C11270" s="1" t="str">
        <f>"N026"</f>
        <v>N026</v>
      </c>
      <c r="D11270" s="1" t="str">
        <f>"N026"</f>
        <v>N026</v>
      </c>
      <c r="E11270" s="1" t="s">
        <v>4579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</row>
    <row r="11271" spans="1:11" x14ac:dyDescent="0.2">
      <c r="A11271" s="1" t="s">
        <v>1156</v>
      </c>
      <c r="B11271" s="1" t="s">
        <v>1211</v>
      </c>
      <c r="C11271" s="1" t="str">
        <f>"U028"</f>
        <v>U028</v>
      </c>
      <c r="D11271" s="1" t="str">
        <f>"U028"</f>
        <v>U028</v>
      </c>
      <c r="E11271" s="1" t="s">
        <v>4579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</row>
    <row r="11272" spans="1:11" x14ac:dyDescent="0.2">
      <c r="A11272" s="1" t="s">
        <v>1156</v>
      </c>
      <c r="B11272" s="1" t="s">
        <v>1212</v>
      </c>
      <c r="C11272" s="1" t="str">
        <f>"66298837103503"</f>
        <v>66298837103503</v>
      </c>
      <c r="D11272" s="1" t="str">
        <f>"41201-KSM-900JP"</f>
        <v>41201-KSM-900JP</v>
      </c>
      <c r="E11272" s="1" t="s">
        <v>4579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</row>
    <row r="11273" spans="1:11" x14ac:dyDescent="0.2">
      <c r="A11273" s="1" t="s">
        <v>1213</v>
      </c>
      <c r="B11273" s="1" t="s">
        <v>1214</v>
      </c>
      <c r="C11273" s="1" t="str">
        <f>"66298837146341"</f>
        <v>66298837146341</v>
      </c>
      <c r="D11273" s="1" t="str">
        <f>"80479"</f>
        <v>80479</v>
      </c>
      <c r="E11273" s="1" t="s">
        <v>4579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</row>
    <row r="11274" spans="1:11" x14ac:dyDescent="0.2">
      <c r="A11274" s="1" t="s">
        <v>18</v>
      </c>
      <c r="B11274" s="1" t="s">
        <v>1215</v>
      </c>
      <c r="C11274" s="1" t="str">
        <f>"H108"</f>
        <v>H108</v>
      </c>
      <c r="D11274" s="1" t="str">
        <f>"H108"</f>
        <v>H108</v>
      </c>
      <c r="E11274" s="1" t="s">
        <v>4579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</row>
    <row r="11275" spans="1:11" x14ac:dyDescent="0.2">
      <c r="A11275" s="1" t="s">
        <v>18</v>
      </c>
      <c r="B11275" s="1" t="s">
        <v>1215</v>
      </c>
      <c r="C11275" s="1" t="str">
        <f>"CEPILLO-UNIV"</f>
        <v>CEPILLO-UNIV</v>
      </c>
      <c r="D11275" s="1" t="str">
        <f>"CEPILLO-UNIV"</f>
        <v>CEPILLO-UNIV</v>
      </c>
      <c r="E11275" s="1" t="s">
        <v>4579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</row>
    <row r="11276" spans="1:11" x14ac:dyDescent="0.2">
      <c r="A11276" s="1" t="s">
        <v>18</v>
      </c>
      <c r="B11276" s="1" t="s">
        <v>1215</v>
      </c>
      <c r="C11276" s="1" t="str">
        <f>"7258"</f>
        <v>7258</v>
      </c>
      <c r="D11276" s="1" t="str">
        <f>"7258"</f>
        <v>7258</v>
      </c>
      <c r="E11276" s="1" t="s">
        <v>4579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</row>
    <row r="11277" spans="1:11" x14ac:dyDescent="0.2">
      <c r="A11277" s="1" t="s">
        <v>18</v>
      </c>
      <c r="B11277" s="1" t="s">
        <v>1215</v>
      </c>
      <c r="C11277" s="1" t="str">
        <f>"3764"</f>
        <v>3764</v>
      </c>
      <c r="D11277" s="1" t="str">
        <f>"3764"</f>
        <v>3764</v>
      </c>
      <c r="E11277" s="1" t="s">
        <v>4579</v>
      </c>
      <c r="F11277" s="1">
        <v>5</v>
      </c>
      <c r="G11277" s="1">
        <v>1050</v>
      </c>
      <c r="H11277" s="1">
        <v>5250</v>
      </c>
      <c r="I11277" s="1">
        <v>0</v>
      </c>
      <c r="J11277" s="1">
        <v>5</v>
      </c>
      <c r="K11277" s="1">
        <v>0</v>
      </c>
    </row>
    <row r="11278" spans="1:11" x14ac:dyDescent="0.2">
      <c r="A11278" s="1" t="s">
        <v>18</v>
      </c>
      <c r="B11278" s="1" t="s">
        <v>1216</v>
      </c>
      <c r="C11278" s="1" t="str">
        <f>"66298837186738"</f>
        <v>66298837186738</v>
      </c>
      <c r="D11278" s="1" t="str">
        <f>"H205"</f>
        <v>H205</v>
      </c>
      <c r="E11278" s="1" t="s">
        <v>4579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</row>
    <row r="11279" spans="1:11" x14ac:dyDescent="0.2">
      <c r="A11279" s="1" t="s">
        <v>15</v>
      </c>
      <c r="B11279" s="1" t="s">
        <v>1217</v>
      </c>
      <c r="C11279" s="1" t="str">
        <f>"12145"</f>
        <v>12145</v>
      </c>
      <c r="D11279" s="1" t="str">
        <f>"12145"</f>
        <v>12145</v>
      </c>
      <c r="E11279" s="1" t="s">
        <v>4579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</row>
    <row r="11280" spans="1:11" x14ac:dyDescent="0.2">
      <c r="A11280" s="1" t="s">
        <v>1218</v>
      </c>
      <c r="B11280" s="1" t="s">
        <v>1219</v>
      </c>
      <c r="C11280" s="1" t="str">
        <f>"66298837226944"</f>
        <v>66298837226944</v>
      </c>
      <c r="D11280" s="1" t="str">
        <f>"XN-62321-000"</f>
        <v>XN-62321-000</v>
      </c>
      <c r="E11280" s="1" t="s">
        <v>4579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</row>
    <row r="11281" spans="1:11" x14ac:dyDescent="0.2">
      <c r="A11281" s="1" t="s">
        <v>1218</v>
      </c>
      <c r="B11281" s="1" t="s">
        <v>1220</v>
      </c>
      <c r="C11281" s="1" t="str">
        <f>"66298837265657"</f>
        <v>66298837265657</v>
      </c>
      <c r="D11281" s="1" t="str">
        <f>"TX-62321-000"</f>
        <v>TX-62321-000</v>
      </c>
      <c r="E11281" s="1" t="s">
        <v>4579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</row>
    <row r="11282" spans="1:11" x14ac:dyDescent="0.2">
      <c r="A11282" s="1" t="s">
        <v>1218</v>
      </c>
      <c r="B11282" s="1" t="s">
        <v>1221</v>
      </c>
      <c r="C11282" s="1" t="str">
        <f>"AB030"</f>
        <v>AB030</v>
      </c>
      <c r="D11282" s="1" t="str">
        <f>"AB030"</f>
        <v>AB030</v>
      </c>
      <c r="E11282" s="1" t="s">
        <v>4579</v>
      </c>
      <c r="F11282" s="1">
        <v>1</v>
      </c>
      <c r="G11282" s="1">
        <v>4932</v>
      </c>
      <c r="H11282" s="1">
        <v>4932</v>
      </c>
      <c r="I11282" s="1">
        <v>0</v>
      </c>
      <c r="J11282" s="1">
        <v>1</v>
      </c>
      <c r="K11282" s="1">
        <v>0</v>
      </c>
    </row>
    <row r="11283" spans="1:11" x14ac:dyDescent="0.2">
      <c r="A11283" s="1" t="s">
        <v>1218</v>
      </c>
      <c r="B11283" s="1" t="s">
        <v>1222</v>
      </c>
      <c r="C11283" s="1" t="str">
        <f>"66298837313196"</f>
        <v>66298837313196</v>
      </c>
      <c r="D11283" s="1" t="str">
        <f>"37110-23500HB"</f>
        <v>37110-23500HB</v>
      </c>
      <c r="E11283" s="1" t="s">
        <v>4579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</row>
    <row r="11284" spans="1:11" x14ac:dyDescent="0.2">
      <c r="A11284" s="1" t="s">
        <v>1218</v>
      </c>
      <c r="B11284" s="1" t="s">
        <v>1222</v>
      </c>
      <c r="C11284" s="1" t="str">
        <f>"66298837319449"</f>
        <v>66298837319449</v>
      </c>
      <c r="D11284" s="1" t="str">
        <f>"37110-461F0HB"</f>
        <v>37110-461F0HB</v>
      </c>
      <c r="E11284" s="1" t="s">
        <v>4579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</row>
    <row r="11285" spans="1:11" x14ac:dyDescent="0.2">
      <c r="A11285" s="1" t="s">
        <v>1218</v>
      </c>
      <c r="B11285" s="1" t="s">
        <v>1222</v>
      </c>
      <c r="C11285" s="1" t="str">
        <f>"66298837324460"</f>
        <v>66298837324460</v>
      </c>
      <c r="D11285" s="1" t="str">
        <f>"CHAPA-AX"</f>
        <v>CHAPA-AX</v>
      </c>
      <c r="E11285" s="1" t="s">
        <v>4579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</row>
    <row r="11286" spans="1:11" x14ac:dyDescent="0.2">
      <c r="A11286" s="1" t="s">
        <v>1218</v>
      </c>
      <c r="B11286" s="1" t="s">
        <v>1223</v>
      </c>
      <c r="C11286" s="1" t="str">
        <f>"66298837387498"</f>
        <v>66298837387498</v>
      </c>
      <c r="D11286" s="1" t="str">
        <f>"JZ-2326-00HB"</f>
        <v>JZ-2326-00HB</v>
      </c>
      <c r="E11286" s="1" t="s">
        <v>4579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</row>
    <row r="11287" spans="1:11" x14ac:dyDescent="0.2">
      <c r="A11287" s="1" t="s">
        <v>1218</v>
      </c>
      <c r="B11287" s="1" t="s">
        <v>1224</v>
      </c>
      <c r="C11287" s="1" t="str">
        <f>"66298837426740"</f>
        <v>66298837426740</v>
      </c>
      <c r="D11287" s="1" t="str">
        <f>"DZ-1810-04HB"</f>
        <v>DZ-1810-04HB</v>
      </c>
      <c r="E11287" s="1" t="s">
        <v>4579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</row>
    <row r="11288" spans="1:11" x14ac:dyDescent="0.2">
      <c r="A11288" s="1" t="s">
        <v>1218</v>
      </c>
      <c r="B11288" s="1" t="s">
        <v>1225</v>
      </c>
      <c r="C11288" s="1" t="str">
        <f>"66298838020248"</f>
        <v>66298838020248</v>
      </c>
      <c r="D11288" s="1" t="str">
        <f>"37100-20G00HB"</f>
        <v>37100-20G00HB</v>
      </c>
      <c r="E11288" s="1" t="s">
        <v>4579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</row>
    <row r="11289" spans="1:11" x14ac:dyDescent="0.2">
      <c r="A11289" s="1" t="s">
        <v>1218</v>
      </c>
      <c r="B11289" s="1" t="s">
        <v>1226</v>
      </c>
      <c r="C11289" s="1" t="str">
        <f>"66298837466651"</f>
        <v>66298837466651</v>
      </c>
      <c r="D11289" s="1" t="str">
        <f>"DU-2010-67HB"</f>
        <v>DU-2010-67HB</v>
      </c>
      <c r="E11289" s="1" t="s">
        <v>4579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</row>
    <row r="11290" spans="1:11" x14ac:dyDescent="0.2">
      <c r="A11290" s="1" t="s">
        <v>1218</v>
      </c>
      <c r="B11290" s="1" t="s">
        <v>1227</v>
      </c>
      <c r="C11290" s="1" t="str">
        <f>"AB015"</f>
        <v>AB015</v>
      </c>
      <c r="D11290" s="1" t="str">
        <f>"AB015"</f>
        <v>AB015</v>
      </c>
      <c r="E11290" s="1" t="s">
        <v>4579</v>
      </c>
      <c r="F11290" s="1">
        <v>1</v>
      </c>
      <c r="G11290" s="1">
        <v>7140</v>
      </c>
      <c r="H11290" s="1">
        <v>7140</v>
      </c>
      <c r="I11290" s="1">
        <v>0</v>
      </c>
      <c r="J11290" s="1">
        <v>1</v>
      </c>
      <c r="K11290" s="1">
        <v>0</v>
      </c>
    </row>
    <row r="11291" spans="1:11" ht="30" x14ac:dyDescent="0.2">
      <c r="A11291" s="1" t="s">
        <v>1218</v>
      </c>
      <c r="B11291" s="1" t="s">
        <v>1228</v>
      </c>
      <c r="C11291" s="1" t="str">
        <f>"AB012"</f>
        <v>AB012</v>
      </c>
      <c r="D11291" s="1" t="str">
        <f>"AB012"</f>
        <v>AB012</v>
      </c>
      <c r="E11291" s="1" t="s">
        <v>4579</v>
      </c>
      <c r="F11291" s="1">
        <v>1</v>
      </c>
      <c r="G11291" s="1">
        <v>5256</v>
      </c>
      <c r="H11291" s="1">
        <v>5256</v>
      </c>
      <c r="I11291" s="1">
        <v>0</v>
      </c>
      <c r="J11291" s="1">
        <v>1</v>
      </c>
      <c r="K11291" s="1">
        <v>0</v>
      </c>
    </row>
    <row r="11292" spans="1:11" x14ac:dyDescent="0.2">
      <c r="A11292" s="1" t="s">
        <v>1218</v>
      </c>
      <c r="B11292" s="1" t="s">
        <v>1229</v>
      </c>
      <c r="C11292" s="1" t="str">
        <f>"AB007"</f>
        <v>AB007</v>
      </c>
      <c r="D11292" s="1" t="str">
        <f>"AB007"</f>
        <v>AB007</v>
      </c>
      <c r="E11292" s="1" t="s">
        <v>4579</v>
      </c>
      <c r="F11292" s="1">
        <v>1</v>
      </c>
      <c r="G11292" s="1">
        <v>4056</v>
      </c>
      <c r="H11292" s="1">
        <v>4056</v>
      </c>
      <c r="I11292" s="1">
        <v>0</v>
      </c>
      <c r="J11292" s="1">
        <v>1</v>
      </c>
      <c r="K11292" s="1">
        <v>0</v>
      </c>
    </row>
    <row r="11293" spans="1:11" x14ac:dyDescent="0.2">
      <c r="A11293" s="1" t="s">
        <v>1218</v>
      </c>
      <c r="B11293" s="1" t="s">
        <v>1230</v>
      </c>
      <c r="C11293" s="1" t="str">
        <f>"66298837506294"</f>
        <v>66298837506294</v>
      </c>
      <c r="D11293" s="1" t="str">
        <f>"401046"</f>
        <v>401046</v>
      </c>
      <c r="E11293" s="1" t="s">
        <v>4579</v>
      </c>
      <c r="F11293" s="1">
        <v>1</v>
      </c>
      <c r="G11293" s="1">
        <v>1986</v>
      </c>
      <c r="H11293" s="1">
        <v>1986</v>
      </c>
      <c r="I11293" s="1">
        <v>0</v>
      </c>
      <c r="J11293" s="1">
        <v>1</v>
      </c>
      <c r="K11293" s="1">
        <v>0</v>
      </c>
    </row>
    <row r="11294" spans="1:11" x14ac:dyDescent="0.2">
      <c r="A11294" s="1" t="s">
        <v>1218</v>
      </c>
      <c r="B11294" s="1" t="s">
        <v>1231</v>
      </c>
      <c r="C11294" s="1" t="str">
        <f>"66298837542502"</f>
        <v>66298837542502</v>
      </c>
      <c r="D11294" s="1" t="str">
        <f>"37100-42A01HB"</f>
        <v>37100-42A01HB</v>
      </c>
      <c r="E11294" s="1" t="s">
        <v>4579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</row>
    <row r="11295" spans="1:11" x14ac:dyDescent="0.2">
      <c r="A11295" s="1" t="s">
        <v>1218</v>
      </c>
      <c r="B11295" s="1" t="s">
        <v>1232</v>
      </c>
      <c r="C11295" s="1" t="str">
        <f>"AB013"</f>
        <v>AB013</v>
      </c>
      <c r="D11295" s="1" t="str">
        <f>"AB013"</f>
        <v>AB013</v>
      </c>
      <c r="E11295" s="1" t="s">
        <v>4579</v>
      </c>
      <c r="F11295" s="1">
        <v>1</v>
      </c>
      <c r="G11295" s="1">
        <v>8364</v>
      </c>
      <c r="H11295" s="1">
        <v>8364</v>
      </c>
      <c r="I11295" s="1">
        <v>0</v>
      </c>
      <c r="J11295" s="1">
        <v>1</v>
      </c>
      <c r="K11295" s="1">
        <v>0</v>
      </c>
    </row>
    <row r="11296" spans="1:11" x14ac:dyDescent="0.2">
      <c r="A11296" s="1" t="s">
        <v>1218</v>
      </c>
      <c r="B11296" s="1" t="s">
        <v>1233</v>
      </c>
      <c r="C11296" s="1" t="str">
        <f>"AB008"</f>
        <v>AB008</v>
      </c>
      <c r="D11296" s="1" t="str">
        <f>"AB008"</f>
        <v>AB008</v>
      </c>
      <c r="E11296" s="1" t="s">
        <v>4579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</row>
    <row r="11297" spans="1:11" x14ac:dyDescent="0.2">
      <c r="A11297" s="1" t="s">
        <v>1218</v>
      </c>
      <c r="B11297" s="1" t="s">
        <v>1234</v>
      </c>
      <c r="C11297" s="1" t="str">
        <f>"37100-45F00"</f>
        <v>37100-45F00</v>
      </c>
      <c r="D11297" s="1" t="str">
        <f>"37100-45F00"</f>
        <v>37100-45F00</v>
      </c>
      <c r="E11297" s="1" t="s">
        <v>4579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</row>
    <row r="11298" spans="1:11" x14ac:dyDescent="0.2">
      <c r="A11298" s="1" t="s">
        <v>1218</v>
      </c>
      <c r="B11298" s="1" t="s">
        <v>1235</v>
      </c>
      <c r="C11298" s="1" t="str">
        <f>"66298837582456"</f>
        <v>66298837582456</v>
      </c>
      <c r="D11298" s="1" t="str">
        <f>"C131"</f>
        <v>C131</v>
      </c>
      <c r="E11298" s="1" t="s">
        <v>4579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</row>
    <row r="11299" spans="1:11" x14ac:dyDescent="0.2">
      <c r="A11299" s="1" t="s">
        <v>1218</v>
      </c>
      <c r="B11299" s="1" t="s">
        <v>1236</v>
      </c>
      <c r="C11299" s="1" t="str">
        <f>"CH-CON-GXT"</f>
        <v>CH-CON-GXT</v>
      </c>
      <c r="D11299" s="1" t="str">
        <f>"CH-CON-GXT"</f>
        <v>CH-CON-GXT</v>
      </c>
      <c r="E11299" s="1" t="s">
        <v>4579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</row>
    <row r="11300" spans="1:11" x14ac:dyDescent="0.2">
      <c r="A11300" s="1" t="s">
        <v>1218</v>
      </c>
      <c r="B11300" s="1" t="s">
        <v>1237</v>
      </c>
      <c r="C11300" s="1" t="str">
        <f>"66298837621877"</f>
        <v>66298837621877</v>
      </c>
      <c r="D11300" s="1" t="str">
        <f>"CHAPA-GY/WX125"</f>
        <v>CHAPA-GY/WX125</v>
      </c>
      <c r="E11300" s="1" t="s">
        <v>4579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</row>
    <row r="11301" spans="1:11" x14ac:dyDescent="0.2">
      <c r="A11301" s="1" t="s">
        <v>1218</v>
      </c>
      <c r="B11301" s="1" t="s">
        <v>1238</v>
      </c>
      <c r="C11301" s="1" t="str">
        <f>"66298837662846"</f>
        <v>66298837662846</v>
      </c>
      <c r="D11301" s="1" t="str">
        <f>"M108"</f>
        <v>M108</v>
      </c>
      <c r="E11301" s="1" t="s">
        <v>4579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</row>
    <row r="11302" spans="1:11" x14ac:dyDescent="0.2">
      <c r="A11302" s="1" t="s">
        <v>1218</v>
      </c>
      <c r="B11302" s="1" t="s">
        <v>1239</v>
      </c>
      <c r="C11302" s="1" t="str">
        <f>"66298837699039"</f>
        <v>66298837699039</v>
      </c>
      <c r="D11302" s="1" t="str">
        <f>"37100H2F030H000"</f>
        <v>37100H2F030H000</v>
      </c>
      <c r="E11302" s="1" t="s">
        <v>4579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</row>
    <row r="11303" spans="1:11" x14ac:dyDescent="0.2">
      <c r="A11303" s="1" t="s">
        <v>1218</v>
      </c>
      <c r="B11303" s="1" t="s">
        <v>1240</v>
      </c>
      <c r="C11303" s="1" t="str">
        <f>"JB-4014-02"</f>
        <v>JB-4014-02</v>
      </c>
      <c r="D11303" s="1" t="str">
        <f>"JB-4014-02"</f>
        <v>JB-4014-02</v>
      </c>
      <c r="E11303" s="1" t="s">
        <v>4579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</row>
    <row r="11304" spans="1:11" x14ac:dyDescent="0.2">
      <c r="A11304" s="1" t="s">
        <v>1218</v>
      </c>
      <c r="B11304" s="1" t="s">
        <v>1241</v>
      </c>
      <c r="C11304" s="1" t="str">
        <f>"66298837745134"</f>
        <v>66298837745134</v>
      </c>
      <c r="D11304" s="1" t="str">
        <f>"82656"</f>
        <v>82656</v>
      </c>
      <c r="E11304" s="1" t="s">
        <v>4579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</row>
    <row r="11305" spans="1:11" x14ac:dyDescent="0.2">
      <c r="A11305" s="1" t="s">
        <v>1218</v>
      </c>
      <c r="B11305" s="1" t="s">
        <v>1241</v>
      </c>
      <c r="C11305" s="1" t="str">
        <f>"66298837753329"</f>
        <v>66298837753329</v>
      </c>
      <c r="D11305" s="1" t="str">
        <f>"JL-1510-23HB"</f>
        <v>JL-1510-23HB</v>
      </c>
      <c r="E11305" s="1" t="s">
        <v>4579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</row>
    <row r="11306" spans="1:11" x14ac:dyDescent="0.2">
      <c r="A11306" s="1" t="s">
        <v>1218</v>
      </c>
      <c r="B11306" s="1" t="s">
        <v>1242</v>
      </c>
      <c r="C11306" s="1" t="str">
        <f>"AB003"</f>
        <v>AB003</v>
      </c>
      <c r="D11306" s="1" t="str">
        <f>"AB003"</f>
        <v>AB003</v>
      </c>
      <c r="E11306" s="1" t="s">
        <v>4579</v>
      </c>
      <c r="F11306" s="1">
        <v>1</v>
      </c>
      <c r="G11306" s="1">
        <v>5124</v>
      </c>
      <c r="H11306" s="1">
        <v>5124</v>
      </c>
      <c r="I11306" s="1">
        <v>0</v>
      </c>
      <c r="J11306" s="1">
        <v>1</v>
      </c>
      <c r="K11306" s="1">
        <v>0</v>
      </c>
    </row>
    <row r="11307" spans="1:11" x14ac:dyDescent="0.2">
      <c r="A11307" s="1" t="s">
        <v>1218</v>
      </c>
      <c r="B11307" s="1" t="s">
        <v>1243</v>
      </c>
      <c r="C11307" s="1" t="str">
        <f>"66298837849002"</f>
        <v>66298837849002</v>
      </c>
      <c r="D11307" s="1" t="str">
        <f>"H2116"</f>
        <v>H2116</v>
      </c>
      <c r="E11307" s="1" t="s">
        <v>4579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</row>
    <row r="11308" spans="1:11" x14ac:dyDescent="0.2">
      <c r="A11308" s="1" t="s">
        <v>1218</v>
      </c>
      <c r="B11308" s="1" t="s">
        <v>1244</v>
      </c>
      <c r="C11308" s="1" t="str">
        <f>"66298837891003"</f>
        <v>66298837891003</v>
      </c>
      <c r="D11308" s="1" t="str">
        <f>"3AY-H2501-V0"</f>
        <v>3AY-H2501-V0</v>
      </c>
      <c r="E11308" s="1" t="s">
        <v>4579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</row>
    <row r="11309" spans="1:11" x14ac:dyDescent="0.2">
      <c r="A11309" s="1" t="s">
        <v>1218</v>
      </c>
      <c r="B11309" s="1" t="s">
        <v>1245</v>
      </c>
      <c r="C11309" s="1" t="str">
        <f>"AB001"</f>
        <v>AB001</v>
      </c>
      <c r="D11309" s="1" t="str">
        <f>"AB001"</f>
        <v>AB001</v>
      </c>
      <c r="E11309" s="1" t="s">
        <v>4579</v>
      </c>
      <c r="F11309" s="1">
        <v>1</v>
      </c>
      <c r="G11309" s="1">
        <v>2964</v>
      </c>
      <c r="H11309" s="1">
        <v>2964</v>
      </c>
      <c r="I11309" s="1">
        <v>0</v>
      </c>
      <c r="J11309" s="1">
        <v>1</v>
      </c>
      <c r="K11309" s="1">
        <v>0</v>
      </c>
    </row>
    <row r="11310" spans="1:11" x14ac:dyDescent="0.2">
      <c r="A11310" s="1" t="s">
        <v>1218</v>
      </c>
      <c r="B11310" s="1" t="s">
        <v>1246</v>
      </c>
      <c r="C11310" s="1" t="str">
        <f>"66298837968282"</f>
        <v>66298837968282</v>
      </c>
      <c r="D11310" s="1" t="str">
        <f>"400062"</f>
        <v>400062</v>
      </c>
      <c r="E11310" s="1" t="s">
        <v>4579</v>
      </c>
      <c r="F11310" s="1">
        <v>1</v>
      </c>
      <c r="G11310" s="1">
        <v>827</v>
      </c>
      <c r="H11310" s="1">
        <v>827</v>
      </c>
      <c r="I11310" s="1">
        <v>0</v>
      </c>
      <c r="J11310" s="1">
        <v>1</v>
      </c>
      <c r="K11310" s="1">
        <v>0</v>
      </c>
    </row>
    <row r="11311" spans="1:11" x14ac:dyDescent="0.2">
      <c r="A11311" s="1" t="s">
        <v>1218</v>
      </c>
      <c r="B11311" s="1" t="s">
        <v>1247</v>
      </c>
      <c r="C11311" s="1" t="str">
        <f>"66298837929383"</f>
        <v>66298837929383</v>
      </c>
      <c r="D11311" s="1" t="str">
        <f>"80804"</f>
        <v>80804</v>
      </c>
      <c r="E11311" s="1" t="s">
        <v>4579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</row>
    <row r="11312" spans="1:11" x14ac:dyDescent="0.2">
      <c r="A11312" s="1" t="s">
        <v>1218</v>
      </c>
      <c r="B11312" s="1" t="s">
        <v>1248</v>
      </c>
      <c r="C11312" s="1" t="str">
        <f>"66298838071423"</f>
        <v>66298838071423</v>
      </c>
      <c r="D11312" s="1" t="str">
        <f>"AB014-1"</f>
        <v>AB014-1</v>
      </c>
      <c r="E11312" s="1" t="s">
        <v>4579</v>
      </c>
      <c r="F11312" s="1">
        <v>1</v>
      </c>
      <c r="G11312" s="1">
        <v>4824</v>
      </c>
      <c r="H11312" s="1">
        <v>4824</v>
      </c>
      <c r="I11312" s="1">
        <v>0</v>
      </c>
      <c r="J11312" s="1">
        <v>1</v>
      </c>
      <c r="K11312" s="1">
        <v>0</v>
      </c>
    </row>
    <row r="11313" spans="1:11" x14ac:dyDescent="0.2">
      <c r="A11313" s="1" t="s">
        <v>1218</v>
      </c>
      <c r="B11313" s="1" t="s">
        <v>1249</v>
      </c>
      <c r="C11313" s="1" t="str">
        <f>"AB021"</f>
        <v>AB021</v>
      </c>
      <c r="D11313" s="1" t="str">
        <f>"AB021"</f>
        <v>AB021</v>
      </c>
      <c r="E11313" s="1" t="s">
        <v>4579</v>
      </c>
      <c r="F11313" s="1">
        <v>1</v>
      </c>
      <c r="G11313" s="1">
        <v>5220</v>
      </c>
      <c r="H11313" s="1">
        <v>5220</v>
      </c>
      <c r="I11313" s="1">
        <v>0</v>
      </c>
      <c r="J11313" s="1">
        <v>1</v>
      </c>
      <c r="K11313" s="1">
        <v>0</v>
      </c>
    </row>
    <row r="11314" spans="1:11" x14ac:dyDescent="0.2">
      <c r="A11314" s="1" t="s">
        <v>1218</v>
      </c>
      <c r="B11314" s="1" t="s">
        <v>1250</v>
      </c>
      <c r="C11314" s="1" t="str">
        <f>"AB009"</f>
        <v>AB009</v>
      </c>
      <c r="D11314" s="1" t="str">
        <f>"AB009"</f>
        <v>AB009</v>
      </c>
      <c r="E11314" s="1" t="s">
        <v>4579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</row>
    <row r="11315" spans="1:11" x14ac:dyDescent="0.2">
      <c r="A11315" s="1" t="s">
        <v>1218</v>
      </c>
      <c r="B11315" s="1" t="s">
        <v>1251</v>
      </c>
      <c r="C11315" s="1" t="str">
        <f>"AB010"</f>
        <v>AB010</v>
      </c>
      <c r="D11315" s="1" t="str">
        <f>"AB010"</f>
        <v>AB010</v>
      </c>
      <c r="E11315" s="1" t="s">
        <v>4579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</row>
    <row r="11316" spans="1:11" x14ac:dyDescent="0.2">
      <c r="A11316" s="1" t="s">
        <v>1218</v>
      </c>
      <c r="B11316" s="1" t="s">
        <v>1252</v>
      </c>
      <c r="C11316" s="1" t="str">
        <f>"66298838108327"</f>
        <v>66298838108327</v>
      </c>
      <c r="D11316" s="1" t="str">
        <f>"4VP-H2501-03"</f>
        <v>4VP-H2501-03</v>
      </c>
      <c r="E11316" s="1" t="s">
        <v>4579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</row>
    <row r="11317" spans="1:11" x14ac:dyDescent="0.2">
      <c r="A11317" s="1" t="s">
        <v>1218</v>
      </c>
      <c r="B11317" s="1" t="s">
        <v>1253</v>
      </c>
      <c r="C11317" s="1" t="str">
        <f>"66298838155743"</f>
        <v>66298838155743</v>
      </c>
      <c r="D11317" s="1" t="str">
        <f>"5S9-H2501-00"</f>
        <v>5S9-H2501-00</v>
      </c>
      <c r="E11317" s="1" t="s">
        <v>4579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</row>
    <row r="11318" spans="1:11" x14ac:dyDescent="0.2">
      <c r="A11318" s="1" t="s">
        <v>1254</v>
      </c>
      <c r="B11318" s="1" t="s">
        <v>1255</v>
      </c>
      <c r="C11318" s="1" t="str">
        <f>"129012-D1"</f>
        <v>129012-D1</v>
      </c>
      <c r="D11318" s="1" t="str">
        <f>"129012-D1"</f>
        <v>129012-D1</v>
      </c>
      <c r="E11318" s="1" t="s">
        <v>4579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</row>
    <row r="11319" spans="1:11" x14ac:dyDescent="0.2">
      <c r="A11319" s="1" t="s">
        <v>1254</v>
      </c>
      <c r="B11319" s="1" t="s">
        <v>1256</v>
      </c>
      <c r="C11319" s="1" t="str">
        <f>"66298838221359"</f>
        <v>66298838221359</v>
      </c>
      <c r="D11319" s="1" t="str">
        <f>"400479"</f>
        <v>400479</v>
      </c>
      <c r="E11319" s="1" t="s">
        <v>4579</v>
      </c>
      <c r="F11319" s="1">
        <v>1</v>
      </c>
      <c r="G11319" s="1">
        <v>2207</v>
      </c>
      <c r="H11319" s="1">
        <v>2207</v>
      </c>
      <c r="I11319" s="1">
        <v>0</v>
      </c>
      <c r="J11319" s="1">
        <v>1</v>
      </c>
      <c r="K11319" s="1">
        <v>0</v>
      </c>
    </row>
    <row r="11320" spans="1:11" x14ac:dyDescent="0.2">
      <c r="A11320" s="1" t="s">
        <v>1254</v>
      </c>
      <c r="B11320" s="1" t="s">
        <v>1257</v>
      </c>
      <c r="C11320" s="1" t="str">
        <f>"66298838267664"</f>
        <v>66298838267664</v>
      </c>
      <c r="D11320" s="1" t="str">
        <f>"400482-D"</f>
        <v>400482-D</v>
      </c>
      <c r="E11320" s="1" t="s">
        <v>4579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</row>
    <row r="11321" spans="1:11" x14ac:dyDescent="0.2">
      <c r="A11321" s="1" t="s">
        <v>1254</v>
      </c>
      <c r="B11321" s="1" t="s">
        <v>1258</v>
      </c>
      <c r="C11321" s="1" t="str">
        <f>"QF015"</f>
        <v>QF015</v>
      </c>
      <c r="D11321" s="1" t="str">
        <f>"QF015"</f>
        <v>QF015</v>
      </c>
      <c r="E11321" s="1" t="s">
        <v>4579</v>
      </c>
      <c r="F11321" s="1">
        <v>2</v>
      </c>
      <c r="G11321" s="1">
        <v>3120</v>
      </c>
      <c r="H11321" s="1">
        <v>6240</v>
      </c>
      <c r="I11321" s="1">
        <v>0</v>
      </c>
      <c r="J11321" s="1">
        <v>2</v>
      </c>
      <c r="K11321" s="1">
        <v>0</v>
      </c>
    </row>
    <row r="11322" spans="1:11" x14ac:dyDescent="0.2">
      <c r="A11322" s="1" t="s">
        <v>1254</v>
      </c>
      <c r="B11322" s="1" t="s">
        <v>1259</v>
      </c>
      <c r="C11322" s="1" t="str">
        <f>"66298838314330"</f>
        <v>66298838314330</v>
      </c>
      <c r="D11322" s="1" t="str">
        <f>"82645"</f>
        <v>82645</v>
      </c>
      <c r="E11322" s="1" t="s">
        <v>4579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</row>
    <row r="11323" spans="1:11" x14ac:dyDescent="0.2">
      <c r="A11323" s="1" t="s">
        <v>1254</v>
      </c>
      <c r="B11323" s="1" t="s">
        <v>1260</v>
      </c>
      <c r="C11323" s="1" t="str">
        <f>"EMHJ52102"</f>
        <v>EMHJ52102</v>
      </c>
      <c r="D11323" s="1" t="str">
        <f>"EMHJ52102"</f>
        <v>EMHJ52102</v>
      </c>
      <c r="E11323" s="1" t="s">
        <v>4579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</row>
    <row r="11324" spans="1:11" x14ac:dyDescent="0.2">
      <c r="A11324" s="1" t="s">
        <v>1254</v>
      </c>
      <c r="B11324" s="1" t="s">
        <v>1261</v>
      </c>
      <c r="C11324" s="1" t="str">
        <f>"QF005"</f>
        <v>QF005</v>
      </c>
      <c r="D11324" s="1" t="str">
        <f>"QF005"</f>
        <v>QF005</v>
      </c>
      <c r="E11324" s="1" t="s">
        <v>4579</v>
      </c>
      <c r="F11324" s="1">
        <v>2</v>
      </c>
      <c r="G11324" s="1">
        <v>3420</v>
      </c>
      <c r="H11324" s="1">
        <v>6840</v>
      </c>
      <c r="I11324" s="1">
        <v>0</v>
      </c>
      <c r="J11324" s="1">
        <v>2</v>
      </c>
      <c r="K11324" s="1">
        <v>0</v>
      </c>
    </row>
    <row r="11325" spans="1:11" x14ac:dyDescent="0.2">
      <c r="A11325" s="1" t="s">
        <v>1254</v>
      </c>
      <c r="B11325" s="1" t="s">
        <v>1262</v>
      </c>
      <c r="C11325" s="1" t="str">
        <f>"66298838355635"</f>
        <v>66298838355635</v>
      </c>
      <c r="D11325" s="1" t="str">
        <f>"QF022-A"</f>
        <v>QF022-A</v>
      </c>
      <c r="E11325" s="1" t="s">
        <v>4579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</row>
    <row r="11326" spans="1:11" x14ac:dyDescent="0.2">
      <c r="A11326" s="1" t="s">
        <v>1254</v>
      </c>
      <c r="B11326" s="1" t="s">
        <v>1263</v>
      </c>
      <c r="C11326" s="1" t="str">
        <f>"EMHJ52459"</f>
        <v>EMHJ52459</v>
      </c>
      <c r="D11326" s="1" t="str">
        <f>"EMHJ52459"</f>
        <v>EMHJ52459</v>
      </c>
      <c r="E11326" s="1" t="s">
        <v>4579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</row>
    <row r="11327" spans="1:11" x14ac:dyDescent="0.2">
      <c r="A11327" s="1" t="s">
        <v>1254</v>
      </c>
      <c r="B11327" s="1" t="s">
        <v>1264</v>
      </c>
      <c r="C11327" s="1" t="str">
        <f>"66298838397501"</f>
        <v>66298838397501</v>
      </c>
      <c r="D11327" s="1" t="str">
        <f>"JL401405"</f>
        <v>JL401405</v>
      </c>
      <c r="E11327" s="1" t="s">
        <v>4579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</row>
    <row r="11328" spans="1:11" x14ac:dyDescent="0.2">
      <c r="A11328" s="1" t="s">
        <v>1254</v>
      </c>
      <c r="B11328" s="1" t="s">
        <v>1265</v>
      </c>
      <c r="C11328" s="1" t="str">
        <f>"66298838440383"</f>
        <v>66298838440383</v>
      </c>
      <c r="D11328" s="1" t="str">
        <f>"401037"</f>
        <v>401037</v>
      </c>
      <c r="E11328" s="1" t="s">
        <v>4579</v>
      </c>
      <c r="F11328" s="1">
        <v>1</v>
      </c>
      <c r="G11328" s="1">
        <v>6805</v>
      </c>
      <c r="H11328" s="1">
        <v>6805</v>
      </c>
      <c r="I11328" s="1">
        <v>0</v>
      </c>
      <c r="J11328" s="1">
        <v>1</v>
      </c>
      <c r="K11328" s="1">
        <v>0</v>
      </c>
    </row>
    <row r="11329" spans="1:11" x14ac:dyDescent="0.2">
      <c r="A11329" s="1" t="s">
        <v>1254</v>
      </c>
      <c r="B11329" s="1" t="s">
        <v>1266</v>
      </c>
      <c r="C11329" s="1" t="str">
        <f>"83183"</f>
        <v>83183</v>
      </c>
      <c r="D11329" s="1" t="str">
        <f>"83183"</f>
        <v>83183</v>
      </c>
      <c r="E11329" s="1" t="s">
        <v>4579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</row>
    <row r="11330" spans="1:11" x14ac:dyDescent="0.2">
      <c r="A11330" s="1" t="s">
        <v>1218</v>
      </c>
      <c r="B11330" s="1" t="s">
        <v>1267</v>
      </c>
      <c r="C11330" s="1" t="str">
        <f>"QF007"</f>
        <v>QF007</v>
      </c>
      <c r="D11330" s="1" t="str">
        <f>"QF007"</f>
        <v>QF007</v>
      </c>
      <c r="E11330" s="1" t="s">
        <v>4579</v>
      </c>
      <c r="F11330" s="1">
        <v>2</v>
      </c>
      <c r="G11330" s="1">
        <v>3970</v>
      </c>
      <c r="H11330" s="1">
        <v>7940</v>
      </c>
      <c r="I11330" s="1">
        <v>0</v>
      </c>
      <c r="J11330" s="1">
        <v>2</v>
      </c>
      <c r="K11330" s="1">
        <v>0</v>
      </c>
    </row>
    <row r="11331" spans="1:11" x14ac:dyDescent="0.2">
      <c r="A11331" s="1" t="s">
        <v>1254</v>
      </c>
      <c r="B11331" s="1" t="s">
        <v>1268</v>
      </c>
      <c r="C11331" s="1" t="str">
        <f>"104012-D1"</f>
        <v>104012-D1</v>
      </c>
      <c r="D11331" s="1" t="str">
        <f>"104012-D1"</f>
        <v>104012-D1</v>
      </c>
      <c r="E11331" s="1" t="s">
        <v>4579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</row>
    <row r="11332" spans="1:11" x14ac:dyDescent="0.2">
      <c r="A11332" s="1" t="s">
        <v>1254</v>
      </c>
      <c r="B11332" s="1" t="s">
        <v>1268</v>
      </c>
      <c r="C11332" s="1" t="str">
        <f>"104012-D2"</f>
        <v>104012-D2</v>
      </c>
      <c r="D11332" s="1" t="str">
        <f>"104012-D2"</f>
        <v>104012-D2</v>
      </c>
      <c r="E11332" s="1" t="s">
        <v>4579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</row>
    <row r="11333" spans="1:11" x14ac:dyDescent="0.2">
      <c r="A11333" s="1" t="s">
        <v>1254</v>
      </c>
      <c r="B11333" s="1" t="s">
        <v>1268</v>
      </c>
      <c r="C11333" s="1" t="str">
        <f>"QF001"</f>
        <v>QF001</v>
      </c>
      <c r="D11333" s="1" t="str">
        <f>"QF001"</f>
        <v>QF001</v>
      </c>
      <c r="E11333" s="1" t="s">
        <v>4579</v>
      </c>
      <c r="F11333" s="1">
        <v>2</v>
      </c>
      <c r="G11333" s="1">
        <v>3250</v>
      </c>
      <c r="H11333" s="1">
        <v>6500</v>
      </c>
      <c r="I11333" s="1">
        <v>0</v>
      </c>
      <c r="J11333" s="1">
        <v>2</v>
      </c>
      <c r="K11333" s="1">
        <v>0</v>
      </c>
    </row>
    <row r="11334" spans="1:11" x14ac:dyDescent="0.2">
      <c r="A11334" s="1" t="s">
        <v>1254</v>
      </c>
      <c r="B11334" s="1" t="s">
        <v>1268</v>
      </c>
      <c r="C11334" s="1" t="str">
        <f>"QF003"</f>
        <v>QF003</v>
      </c>
      <c r="D11334" s="1" t="str">
        <f>"QF003"</f>
        <v>QF003</v>
      </c>
      <c r="E11334" s="1" t="s">
        <v>4579</v>
      </c>
      <c r="F11334" s="1">
        <v>2</v>
      </c>
      <c r="G11334" s="1">
        <v>2790</v>
      </c>
      <c r="H11334" s="1">
        <v>5580</v>
      </c>
      <c r="I11334" s="1">
        <v>0</v>
      </c>
      <c r="J11334" s="1">
        <v>2</v>
      </c>
      <c r="K11334" s="1">
        <v>0</v>
      </c>
    </row>
    <row r="11335" spans="1:11" x14ac:dyDescent="0.2">
      <c r="A11335" s="1" t="s">
        <v>1254</v>
      </c>
      <c r="B11335" s="1" t="s">
        <v>1269</v>
      </c>
      <c r="C11335" s="1" t="str">
        <f>"66298838479165"</f>
        <v>66298838479165</v>
      </c>
      <c r="D11335" s="1" t="str">
        <f>"QF017"</f>
        <v>QF017</v>
      </c>
      <c r="E11335" s="1" t="s">
        <v>4579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</row>
    <row r="11336" spans="1:11" x14ac:dyDescent="0.2">
      <c r="A11336" s="1" t="s">
        <v>1254</v>
      </c>
      <c r="B11336" s="1" t="s">
        <v>1270</v>
      </c>
      <c r="C11336" s="1" t="str">
        <f>"66298838520272"</f>
        <v>66298838520272</v>
      </c>
      <c r="D11336" s="1" t="str">
        <f>"80964"</f>
        <v>80964</v>
      </c>
      <c r="E11336" s="1" t="s">
        <v>4579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</row>
    <row r="11337" spans="1:11" x14ac:dyDescent="0.2">
      <c r="A11337" s="1" t="s">
        <v>1254</v>
      </c>
      <c r="B11337" s="1" t="s">
        <v>1271</v>
      </c>
      <c r="C11337" s="1" t="str">
        <f>"66298838602825"</f>
        <v>66298838602825</v>
      </c>
      <c r="D11337" s="1" t="str">
        <f>"80963"</f>
        <v>80963</v>
      </c>
      <c r="E11337" s="1" t="s">
        <v>4579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</row>
    <row r="11338" spans="1:11" x14ac:dyDescent="0.2">
      <c r="A11338" s="1" t="s">
        <v>1254</v>
      </c>
      <c r="B11338" s="1" t="s">
        <v>1272</v>
      </c>
      <c r="C11338" s="1" t="str">
        <f>"66298838562557"</f>
        <v>66298838562557</v>
      </c>
      <c r="D11338" s="1" t="str">
        <f>"80965"</f>
        <v>80965</v>
      </c>
      <c r="E11338" s="1" t="s">
        <v>4579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</row>
    <row r="11339" spans="1:11" x14ac:dyDescent="0.2">
      <c r="A11339" s="1" t="s">
        <v>1254</v>
      </c>
      <c r="B11339" s="1" t="s">
        <v>1273</v>
      </c>
      <c r="C11339" s="1" t="str">
        <f>"66298838643614"</f>
        <v>66298838643614</v>
      </c>
      <c r="D11339" s="1" t="str">
        <f>"80853"</f>
        <v>80853</v>
      </c>
      <c r="E11339" s="1" t="s">
        <v>4579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</row>
    <row r="11340" spans="1:11" x14ac:dyDescent="0.2">
      <c r="A11340" s="1" t="s">
        <v>1254</v>
      </c>
      <c r="B11340" s="1" t="s">
        <v>1274</v>
      </c>
      <c r="C11340" s="1" t="str">
        <f>"66298838683576"</f>
        <v>66298838683576</v>
      </c>
      <c r="D11340" s="1" t="str">
        <f>"80959"</f>
        <v>80959</v>
      </c>
      <c r="E11340" s="1" t="s">
        <v>4579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</row>
    <row r="11341" spans="1:11" x14ac:dyDescent="0.2">
      <c r="A11341" s="1" t="s">
        <v>1254</v>
      </c>
      <c r="B11341" s="1" t="s">
        <v>1275</v>
      </c>
      <c r="C11341" s="1" t="str">
        <f>"66298838722454"</f>
        <v>66298838722454</v>
      </c>
      <c r="D11341" s="1" t="str">
        <f>"80960"</f>
        <v>80960</v>
      </c>
      <c r="E11341" s="1" t="s">
        <v>4579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</row>
    <row r="11342" spans="1:11" x14ac:dyDescent="0.2">
      <c r="A11342" s="1" t="s">
        <v>1254</v>
      </c>
      <c r="B11342" s="1" t="s">
        <v>1276</v>
      </c>
      <c r="C11342" s="1" t="str">
        <f>"66298838769049"</f>
        <v>66298838769049</v>
      </c>
      <c r="D11342" s="1" t="str">
        <f>"80859"</f>
        <v>80859</v>
      </c>
      <c r="E11342" s="1" t="s">
        <v>4579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</row>
    <row r="11343" spans="1:11" x14ac:dyDescent="0.2">
      <c r="A11343" s="1" t="s">
        <v>1254</v>
      </c>
      <c r="B11343" s="1" t="s">
        <v>1277</v>
      </c>
      <c r="C11343" s="1" t="str">
        <f>"129012-IZ1"</f>
        <v>129012-IZ1</v>
      </c>
      <c r="D11343" s="1" t="str">
        <f>"129012-IZ1"</f>
        <v>129012-IZ1</v>
      </c>
      <c r="E11343" s="1" t="s">
        <v>4579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</row>
    <row r="11344" spans="1:11" x14ac:dyDescent="0.2">
      <c r="A11344" s="1" t="s">
        <v>1254</v>
      </c>
      <c r="B11344" s="1" t="s">
        <v>1278</v>
      </c>
      <c r="C11344" s="1" t="str">
        <f>"66298838808371"</f>
        <v>66298838808371</v>
      </c>
      <c r="D11344" s="1" t="str">
        <f>"400481"</f>
        <v>400481</v>
      </c>
      <c r="E11344" s="1" t="s">
        <v>4579</v>
      </c>
      <c r="F11344" s="1">
        <v>1</v>
      </c>
      <c r="G11344" s="1">
        <v>2226</v>
      </c>
      <c r="H11344" s="1">
        <v>2226</v>
      </c>
      <c r="I11344" s="1">
        <v>0</v>
      </c>
      <c r="J11344" s="1">
        <v>1</v>
      </c>
      <c r="K11344" s="1">
        <v>0</v>
      </c>
    </row>
    <row r="11345" spans="1:11" x14ac:dyDescent="0.2">
      <c r="A11345" s="1" t="s">
        <v>1254</v>
      </c>
      <c r="B11345" s="1" t="s">
        <v>1279</v>
      </c>
      <c r="C11345" s="1" t="str">
        <f>"66298838852043"</f>
        <v>66298838852043</v>
      </c>
      <c r="D11345" s="1" t="str">
        <f>"400482-I"</f>
        <v>400482-I</v>
      </c>
      <c r="E11345" s="1" t="s">
        <v>4579</v>
      </c>
      <c r="F11345" s="1">
        <v>1</v>
      </c>
      <c r="G11345" s="1">
        <v>2385</v>
      </c>
      <c r="H11345" s="1">
        <v>2385</v>
      </c>
      <c r="I11345" s="1">
        <v>0</v>
      </c>
      <c r="J11345" s="1">
        <v>1</v>
      </c>
      <c r="K11345" s="1">
        <v>0</v>
      </c>
    </row>
    <row r="11346" spans="1:11" x14ac:dyDescent="0.2">
      <c r="A11346" s="1" t="s">
        <v>1254</v>
      </c>
      <c r="B11346" s="1" t="s">
        <v>1280</v>
      </c>
      <c r="C11346" s="1" t="str">
        <f>"QF014"</f>
        <v>QF014</v>
      </c>
      <c r="D11346" s="1" t="str">
        <f>"QF014"</f>
        <v>QF014</v>
      </c>
      <c r="E11346" s="1" t="s">
        <v>4579</v>
      </c>
      <c r="F11346" s="1">
        <v>2</v>
      </c>
      <c r="G11346" s="1">
        <v>4980</v>
      </c>
      <c r="H11346" s="1">
        <v>9960</v>
      </c>
      <c r="I11346" s="1">
        <v>0</v>
      </c>
      <c r="J11346" s="1">
        <v>2</v>
      </c>
      <c r="K11346" s="1">
        <v>0</v>
      </c>
    </row>
    <row r="11347" spans="1:11" x14ac:dyDescent="0.2">
      <c r="A11347" s="1" t="s">
        <v>1254</v>
      </c>
      <c r="B11347" s="1" t="s">
        <v>1281</v>
      </c>
      <c r="C11347" s="1" t="str">
        <f>"66298838893211"</f>
        <v>66298838893211</v>
      </c>
      <c r="D11347" s="1" t="str">
        <f>"CHA-IZQ-GS"</f>
        <v>CHA-IZQ-GS</v>
      </c>
      <c r="E11347" s="1" t="s">
        <v>4579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</row>
    <row r="11348" spans="1:11" x14ac:dyDescent="0.2">
      <c r="A11348" s="1" t="s">
        <v>1254</v>
      </c>
      <c r="B11348" s="1" t="s">
        <v>1282</v>
      </c>
      <c r="C11348" s="1" t="str">
        <f>"66298838930371"</f>
        <v>66298838930371</v>
      </c>
      <c r="D11348" s="1" t="str">
        <f>"82644"</f>
        <v>82644</v>
      </c>
      <c r="E11348" s="1" t="s">
        <v>4579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</row>
    <row r="11349" spans="1:11" x14ac:dyDescent="0.2">
      <c r="A11349" s="1" t="s">
        <v>1254</v>
      </c>
      <c r="B11349" s="1" t="s">
        <v>1283</v>
      </c>
      <c r="C11349" s="1" t="str">
        <f>"66298838973708"</f>
        <v>66298838973708</v>
      </c>
      <c r="D11349" s="1" t="str">
        <f>"JL150GY3-F3-24"</f>
        <v>JL150GY3-F3-24</v>
      </c>
      <c r="E11349" s="1" t="s">
        <v>4579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</row>
    <row r="11350" spans="1:11" x14ac:dyDescent="0.2">
      <c r="A11350" s="1" t="s">
        <v>1254</v>
      </c>
      <c r="B11350" s="1" t="s">
        <v>1284</v>
      </c>
      <c r="C11350" s="1" t="str">
        <f>"66298839018884"</f>
        <v>66298839018884</v>
      </c>
      <c r="D11350" s="1" t="str">
        <f>"JL250A-F18-4"</f>
        <v>JL250A-F18-4</v>
      </c>
      <c r="E11350" s="1" t="s">
        <v>4579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</row>
    <row r="11351" spans="1:11" x14ac:dyDescent="0.2">
      <c r="A11351" s="1" t="s">
        <v>1254</v>
      </c>
      <c r="B11351" s="1" t="s">
        <v>1285</v>
      </c>
      <c r="C11351" s="1" t="str">
        <f>"66298839059487"</f>
        <v>66298839059487</v>
      </c>
      <c r="D11351" s="1" t="str">
        <f>"37400H2A001H000"</f>
        <v>37400H2A001H000</v>
      </c>
      <c r="E11351" s="1" t="s">
        <v>4579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</row>
    <row r="11352" spans="1:11" x14ac:dyDescent="0.2">
      <c r="A11352" s="1" t="s">
        <v>1254</v>
      </c>
      <c r="B11352" s="1" t="s">
        <v>1286</v>
      </c>
      <c r="C11352" s="1" t="str">
        <f>"66298839099213"</f>
        <v>66298839099213</v>
      </c>
      <c r="D11352" s="1" t="str">
        <f>"37400H40100H000"</f>
        <v>37400H40100H000</v>
      </c>
      <c r="E11352" s="1" t="s">
        <v>4579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</row>
    <row r="11353" spans="1:11" x14ac:dyDescent="0.2">
      <c r="A11353" s="1" t="s">
        <v>1254</v>
      </c>
      <c r="B11353" s="1" t="s">
        <v>1287</v>
      </c>
      <c r="C11353" s="1" t="str">
        <f>"66298839146136"</f>
        <v>66298839146136</v>
      </c>
      <c r="D11353" s="1" t="str">
        <f>"35200-MCG-771BR"</f>
        <v>35200-MCG-771BR</v>
      </c>
      <c r="E11353" s="1" t="s">
        <v>4579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</row>
    <row r="11354" spans="1:11" x14ac:dyDescent="0.2">
      <c r="A11354" s="1" t="s">
        <v>1254</v>
      </c>
      <c r="B11354" s="1" t="s">
        <v>1288</v>
      </c>
      <c r="C11354" s="1" t="str">
        <f>"66298839184316"</f>
        <v>66298839184316</v>
      </c>
      <c r="D11354" s="1" t="str">
        <f>"80966"</f>
        <v>80966</v>
      </c>
      <c r="E11354" s="1" t="s">
        <v>4579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</row>
    <row r="11355" spans="1:11" x14ac:dyDescent="0.2">
      <c r="A11355" s="1" t="s">
        <v>1254</v>
      </c>
      <c r="B11355" s="1" t="s">
        <v>1289</v>
      </c>
      <c r="C11355" s="1" t="str">
        <f>"66298839228557"</f>
        <v>66298839228557</v>
      </c>
      <c r="D11355" s="1" t="str">
        <f>"80863"</f>
        <v>80863</v>
      </c>
      <c r="E11355" s="1" t="s">
        <v>4579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</row>
    <row r="11356" spans="1:11" x14ac:dyDescent="0.2">
      <c r="A11356" s="1" t="s">
        <v>1254</v>
      </c>
      <c r="B11356" s="1" t="s">
        <v>1290</v>
      </c>
      <c r="C11356" s="1" t="str">
        <f>"66298839267498"</f>
        <v>66298839267498</v>
      </c>
      <c r="D11356" s="1" t="str">
        <f>"401044"</f>
        <v>401044</v>
      </c>
      <c r="E11356" s="1" t="s">
        <v>4579</v>
      </c>
      <c r="F11356" s="1">
        <v>1</v>
      </c>
      <c r="G11356" s="1">
        <v>7372</v>
      </c>
      <c r="H11356" s="1">
        <v>7372</v>
      </c>
      <c r="I11356" s="1">
        <v>0</v>
      </c>
      <c r="J11356" s="1">
        <v>1</v>
      </c>
      <c r="K11356" s="1">
        <v>0</v>
      </c>
    </row>
    <row r="11357" spans="1:11" x14ac:dyDescent="0.2">
      <c r="A11357" s="1" t="s">
        <v>1254</v>
      </c>
      <c r="B11357" s="1" t="s">
        <v>1291</v>
      </c>
      <c r="C11357" s="1" t="str">
        <f>"QF008"</f>
        <v>QF008</v>
      </c>
      <c r="D11357" s="1" t="str">
        <f>"QF008"</f>
        <v>QF008</v>
      </c>
      <c r="E11357" s="1" t="s">
        <v>4579</v>
      </c>
      <c r="F11357" s="1">
        <v>2</v>
      </c>
      <c r="G11357" s="1">
        <v>4580</v>
      </c>
      <c r="H11357" s="1">
        <v>9160</v>
      </c>
      <c r="I11357" s="1">
        <v>0</v>
      </c>
      <c r="J11357" s="1">
        <v>2</v>
      </c>
      <c r="K11357" s="1">
        <v>0</v>
      </c>
    </row>
    <row r="11358" spans="1:11" x14ac:dyDescent="0.2">
      <c r="A11358" s="1" t="s">
        <v>1254</v>
      </c>
      <c r="B11358" s="1" t="s">
        <v>1292</v>
      </c>
      <c r="C11358" s="1" t="str">
        <f>"QF006"</f>
        <v>QF006</v>
      </c>
      <c r="D11358" s="1" t="str">
        <f>"QF006"</f>
        <v>QF006</v>
      </c>
      <c r="E11358" s="1" t="s">
        <v>4579</v>
      </c>
      <c r="F11358" s="1">
        <v>2</v>
      </c>
      <c r="G11358" s="1">
        <v>2980</v>
      </c>
      <c r="H11358" s="1">
        <v>5960</v>
      </c>
      <c r="I11358" s="1">
        <v>0</v>
      </c>
      <c r="J11358" s="1">
        <v>2</v>
      </c>
      <c r="K11358" s="1">
        <v>0</v>
      </c>
    </row>
    <row r="11359" spans="1:11" x14ac:dyDescent="0.2">
      <c r="A11359" s="1" t="s">
        <v>1254</v>
      </c>
      <c r="B11359" s="1" t="s">
        <v>1293</v>
      </c>
      <c r="C11359" s="1" t="str">
        <f>"66298839350248"</f>
        <v>66298839350248</v>
      </c>
      <c r="D11359" s="1" t="str">
        <f>"80856"</f>
        <v>80856</v>
      </c>
      <c r="E11359" s="1" t="s">
        <v>4579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</row>
    <row r="11360" spans="1:11" x14ac:dyDescent="0.2">
      <c r="A11360" s="1" t="s">
        <v>1254</v>
      </c>
      <c r="B11360" s="1" t="s">
        <v>1294</v>
      </c>
      <c r="C11360" s="1" t="str">
        <f>"66298839391049"</f>
        <v>66298839391049</v>
      </c>
      <c r="D11360" s="1" t="str">
        <f>"80855"</f>
        <v>80855</v>
      </c>
      <c r="E11360" s="1" t="s">
        <v>4579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</row>
    <row r="11361" spans="1:11" x14ac:dyDescent="0.2">
      <c r="A11361" s="1" t="s">
        <v>1254</v>
      </c>
      <c r="B11361" s="1" t="s">
        <v>1295</v>
      </c>
      <c r="C11361" s="1" t="str">
        <f>"66298839429114"</f>
        <v>66298839429114</v>
      </c>
      <c r="D11361" s="1" t="str">
        <f>"80862"</f>
        <v>80862</v>
      </c>
      <c r="E11361" s="1" t="s">
        <v>4579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</row>
    <row r="11362" spans="1:11" x14ac:dyDescent="0.2">
      <c r="A11362" s="1" t="s">
        <v>1254</v>
      </c>
      <c r="B11362" s="1" t="s">
        <v>1296</v>
      </c>
      <c r="C11362" s="1" t="str">
        <f>"66298839468329"</f>
        <v>66298839468329</v>
      </c>
      <c r="D11362" s="1" t="str">
        <f>"JL401400"</f>
        <v>JL401400</v>
      </c>
      <c r="E11362" s="1" t="s">
        <v>4579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</row>
    <row r="11363" spans="1:11" x14ac:dyDescent="0.2">
      <c r="A11363" s="1" t="s">
        <v>1254</v>
      </c>
      <c r="B11363" s="1" t="s">
        <v>1296</v>
      </c>
      <c r="C11363" s="1" t="str">
        <f>"104012-IZ1"</f>
        <v>104012-IZ1</v>
      </c>
      <c r="D11363" s="1" t="str">
        <f>"104012-IZ1"</f>
        <v>104012-IZ1</v>
      </c>
      <c r="E11363" s="1" t="s">
        <v>4579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</row>
    <row r="11364" spans="1:11" x14ac:dyDescent="0.2">
      <c r="A11364" s="1" t="s">
        <v>1254</v>
      </c>
      <c r="B11364" s="1" t="s">
        <v>1296</v>
      </c>
      <c r="C11364" s="1" t="str">
        <f>"104012-IZ2"</f>
        <v>104012-IZ2</v>
      </c>
      <c r="D11364" s="1" t="str">
        <f>"104012-IZ2"</f>
        <v>104012-IZ2</v>
      </c>
      <c r="E11364" s="1" t="s">
        <v>4579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</row>
    <row r="11365" spans="1:11" x14ac:dyDescent="0.2">
      <c r="A11365" s="1" t="s">
        <v>1254</v>
      </c>
      <c r="B11365" s="1" t="s">
        <v>1296</v>
      </c>
      <c r="C11365" s="1" t="str">
        <f>"QF002"</f>
        <v>QF002</v>
      </c>
      <c r="D11365" s="1" t="str">
        <f>"QF002"</f>
        <v>QF002</v>
      </c>
      <c r="E11365" s="1" t="s">
        <v>4579</v>
      </c>
      <c r="F11365" s="1">
        <v>2</v>
      </c>
      <c r="G11365" s="1">
        <v>2970</v>
      </c>
      <c r="H11365" s="1">
        <v>5940</v>
      </c>
      <c r="I11365" s="1">
        <v>0</v>
      </c>
      <c r="J11365" s="1">
        <v>2</v>
      </c>
      <c r="K11365" s="1">
        <v>0</v>
      </c>
    </row>
    <row r="11366" spans="1:11" x14ac:dyDescent="0.2">
      <c r="A11366" s="1" t="s">
        <v>1254</v>
      </c>
      <c r="B11366" s="1" t="s">
        <v>1296</v>
      </c>
      <c r="C11366" s="1" t="str">
        <f>"QF004"</f>
        <v>QF004</v>
      </c>
      <c r="D11366" s="1" t="str">
        <f>"QF004"</f>
        <v>QF004</v>
      </c>
      <c r="E11366" s="1" t="s">
        <v>4579</v>
      </c>
      <c r="F11366" s="1">
        <v>2</v>
      </c>
      <c r="G11366" s="1">
        <v>2790</v>
      </c>
      <c r="H11366" s="1">
        <v>5580</v>
      </c>
      <c r="I11366" s="1">
        <v>0</v>
      </c>
      <c r="J11366" s="1">
        <v>2</v>
      </c>
      <c r="K11366" s="1">
        <v>0</v>
      </c>
    </row>
    <row r="11367" spans="1:11" x14ac:dyDescent="0.2">
      <c r="A11367" s="1" t="s">
        <v>1254</v>
      </c>
      <c r="B11367" s="1" t="s">
        <v>1297</v>
      </c>
      <c r="C11367" s="1" t="str">
        <f>"66298839514686"</f>
        <v>66298839514686</v>
      </c>
      <c r="D11367" s="1" t="str">
        <f>"80968"</f>
        <v>80968</v>
      </c>
      <c r="E11367" s="1" t="s">
        <v>4579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</row>
    <row r="11368" spans="1:11" x14ac:dyDescent="0.2">
      <c r="A11368" s="1" t="s">
        <v>1254</v>
      </c>
      <c r="B11368" s="1" t="s">
        <v>1297</v>
      </c>
      <c r="C11368" s="1" t="str">
        <f>"66298839520419"</f>
        <v>66298839520419</v>
      </c>
      <c r="D11368" s="1" t="str">
        <f>"80864"</f>
        <v>80864</v>
      </c>
      <c r="E11368" s="1" t="s">
        <v>4579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</row>
    <row r="11369" spans="1:11" x14ac:dyDescent="0.2">
      <c r="A11369" s="1" t="s">
        <v>1254</v>
      </c>
      <c r="B11369" s="1" t="s">
        <v>1298</v>
      </c>
      <c r="C11369" s="1" t="str">
        <f>"66298839576695"</f>
        <v>66298839576695</v>
      </c>
      <c r="D11369" s="1" t="str">
        <f>"QF020"</f>
        <v>QF020</v>
      </c>
      <c r="E11369" s="1" t="s">
        <v>4579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</row>
    <row r="11370" spans="1:11" x14ac:dyDescent="0.2">
      <c r="A11370" s="1" t="s">
        <v>1254</v>
      </c>
      <c r="B11370" s="1" t="s">
        <v>1299</v>
      </c>
      <c r="C11370" s="1" t="str">
        <f>"66298839616216"</f>
        <v>66298839616216</v>
      </c>
      <c r="D11370" s="1" t="str">
        <f>"80961"</f>
        <v>80961</v>
      </c>
      <c r="E11370" s="1" t="s">
        <v>4579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</row>
    <row r="11371" spans="1:11" x14ac:dyDescent="0.2">
      <c r="A11371" s="1" t="s">
        <v>1254</v>
      </c>
      <c r="B11371" s="1" t="s">
        <v>1300</v>
      </c>
      <c r="C11371" s="1" t="str">
        <f>"66298839657215"</f>
        <v>66298839657215</v>
      </c>
      <c r="D11371" s="1" t="str">
        <f>"400480"</f>
        <v>400480</v>
      </c>
      <c r="E11371" s="1" t="s">
        <v>4579</v>
      </c>
      <c r="F11371" s="1">
        <v>1</v>
      </c>
      <c r="G11371" s="1">
        <v>2090</v>
      </c>
      <c r="H11371" s="1">
        <v>2090</v>
      </c>
      <c r="I11371" s="1">
        <v>0</v>
      </c>
      <c r="J11371" s="1">
        <v>1</v>
      </c>
      <c r="K11371" s="1">
        <v>0</v>
      </c>
    </row>
    <row r="11372" spans="1:11" x14ac:dyDescent="0.2">
      <c r="A11372" s="1" t="s">
        <v>1254</v>
      </c>
      <c r="B11372" s="1" t="s">
        <v>1301</v>
      </c>
      <c r="C11372" s="1" t="str">
        <f>"QF009-DER"</f>
        <v>QF009-DER</v>
      </c>
      <c r="D11372" s="1" t="str">
        <f>"QF009-DER"</f>
        <v>QF009-DER</v>
      </c>
      <c r="E11372" s="1" t="s">
        <v>4579</v>
      </c>
      <c r="F11372" s="1">
        <v>1</v>
      </c>
      <c r="G11372" s="1">
        <v>4938</v>
      </c>
      <c r="H11372" s="1">
        <v>4938</v>
      </c>
      <c r="I11372" s="1">
        <v>0</v>
      </c>
      <c r="J11372" s="1">
        <v>1</v>
      </c>
      <c r="K11372" s="1">
        <v>0</v>
      </c>
    </row>
    <row r="11373" spans="1:11" x14ac:dyDescent="0.2">
      <c r="A11373" s="1" t="s">
        <v>1254</v>
      </c>
      <c r="B11373" s="1" t="s">
        <v>1302</v>
      </c>
      <c r="C11373" s="1" t="str">
        <f>"QF009-IZQ"</f>
        <v>QF009-IZQ</v>
      </c>
      <c r="D11373" s="1" t="str">
        <f>"QF009-IZQ"</f>
        <v>QF009-IZQ</v>
      </c>
      <c r="E11373" s="1" t="s">
        <v>4579</v>
      </c>
      <c r="F11373" s="1">
        <v>1</v>
      </c>
      <c r="G11373" s="1">
        <v>4938</v>
      </c>
      <c r="H11373" s="1">
        <v>4938</v>
      </c>
      <c r="I11373" s="1">
        <v>0</v>
      </c>
      <c r="J11373" s="1">
        <v>1</v>
      </c>
      <c r="K11373" s="1">
        <v>0</v>
      </c>
    </row>
    <row r="11374" spans="1:11" x14ac:dyDescent="0.2">
      <c r="A11374" s="1" t="s">
        <v>1254</v>
      </c>
      <c r="B11374" s="1" t="s">
        <v>1303</v>
      </c>
      <c r="C11374" s="1" t="str">
        <f>"QF010-DER"</f>
        <v>QF010-DER</v>
      </c>
      <c r="D11374" s="1" t="str">
        <f>"QF010-DER"</f>
        <v>QF010-DER</v>
      </c>
      <c r="E11374" s="1" t="s">
        <v>4579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</row>
    <row r="11375" spans="1:11" x14ac:dyDescent="0.2">
      <c r="A11375" s="1" t="s">
        <v>1254</v>
      </c>
      <c r="B11375" s="1" t="s">
        <v>1304</v>
      </c>
      <c r="C11375" s="1" t="str">
        <f>"QF010-IZQ"</f>
        <v>QF010-IZQ</v>
      </c>
      <c r="D11375" s="1" t="str">
        <f>"QF010-IZQ"</f>
        <v>QF010-IZQ</v>
      </c>
      <c r="E11375" s="1" t="s">
        <v>4579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</row>
    <row r="11376" spans="1:11" x14ac:dyDescent="0.2">
      <c r="A11376" s="1" t="s">
        <v>1254</v>
      </c>
      <c r="B11376" s="1" t="s">
        <v>1305</v>
      </c>
      <c r="C11376" s="1" t="str">
        <f>"66298839699038"</f>
        <v>66298839699038</v>
      </c>
      <c r="D11376" s="1" t="str">
        <f>"QG010"</f>
        <v>QG010</v>
      </c>
      <c r="E11376" s="1" t="s">
        <v>4579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</row>
    <row r="11377" spans="1:11" x14ac:dyDescent="0.2">
      <c r="A11377" s="1" t="s">
        <v>1306</v>
      </c>
      <c r="B11377" s="1" t="s">
        <v>1307</v>
      </c>
      <c r="C11377" s="1" t="str">
        <f>"31800-15501JP"</f>
        <v>31800-15501JP</v>
      </c>
      <c r="D11377" s="1" t="str">
        <f>"31800-15501JP"</f>
        <v>31800-15501JP</v>
      </c>
      <c r="E11377" s="1" t="s">
        <v>4579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</row>
    <row r="11378" spans="1:11" x14ac:dyDescent="0.2">
      <c r="A11378" s="1" t="s">
        <v>1306</v>
      </c>
      <c r="B11378" s="1" t="s">
        <v>1308</v>
      </c>
      <c r="C11378" s="1" t="str">
        <f>"VC011"</f>
        <v>VC011</v>
      </c>
      <c r="D11378" s="1" t="str">
        <f>"VC011"</f>
        <v>VC011</v>
      </c>
      <c r="E11378" s="1" t="s">
        <v>4579</v>
      </c>
      <c r="F11378" s="1">
        <v>2</v>
      </c>
      <c r="G11378" s="1">
        <v>3490</v>
      </c>
      <c r="H11378" s="1">
        <v>6980</v>
      </c>
      <c r="I11378" s="1">
        <v>0</v>
      </c>
      <c r="J11378" s="1">
        <v>2</v>
      </c>
      <c r="K11378" s="1">
        <v>0</v>
      </c>
    </row>
    <row r="11379" spans="1:11" x14ac:dyDescent="0.2">
      <c r="A11379" s="1" t="s">
        <v>1306</v>
      </c>
      <c r="B11379" s="1" t="s">
        <v>1309</v>
      </c>
      <c r="C11379" s="1" t="str">
        <f>"VC001"</f>
        <v>VC001</v>
      </c>
      <c r="D11379" s="1" t="str">
        <f>"VC001"</f>
        <v>VC001</v>
      </c>
      <c r="E11379" s="1" t="s">
        <v>4579</v>
      </c>
      <c r="F11379" s="1">
        <v>3</v>
      </c>
      <c r="G11379" s="1">
        <v>3750</v>
      </c>
      <c r="H11379" s="1">
        <v>11250</v>
      </c>
      <c r="I11379" s="1">
        <v>0</v>
      </c>
      <c r="J11379" s="1">
        <v>3</v>
      </c>
      <c r="K11379" s="1">
        <v>0</v>
      </c>
    </row>
    <row r="11380" spans="1:11" x14ac:dyDescent="0.2">
      <c r="A11380" s="1" t="s">
        <v>1306</v>
      </c>
      <c r="B11380" s="1" t="s">
        <v>1310</v>
      </c>
      <c r="C11380" s="1" t="str">
        <f>"VC007"</f>
        <v>VC007</v>
      </c>
      <c r="D11380" s="1" t="str">
        <f>"VC007"</f>
        <v>VC007</v>
      </c>
      <c r="E11380" s="1" t="s">
        <v>4579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</row>
    <row r="11381" spans="1:11" x14ac:dyDescent="0.2">
      <c r="A11381" s="1" t="s">
        <v>1306</v>
      </c>
      <c r="B11381" s="1" t="s">
        <v>1311</v>
      </c>
      <c r="C11381" s="1" t="str">
        <f>"66298839735530"</f>
        <v>66298839735530</v>
      </c>
      <c r="D11381" s="1" t="str">
        <f>"83180"</f>
        <v>83180</v>
      </c>
      <c r="E11381" s="1" t="s">
        <v>4579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</row>
    <row r="11382" spans="1:11" x14ac:dyDescent="0.2">
      <c r="A11382" s="1" t="s">
        <v>1306</v>
      </c>
      <c r="B11382" s="1" t="s">
        <v>1312</v>
      </c>
      <c r="C11382" s="1" t="str">
        <f>"CHA-UNIV"</f>
        <v>CHA-UNIV</v>
      </c>
      <c r="D11382" s="1" t="str">
        <f>"CHA-UNIV"</f>
        <v>CHA-UNIV</v>
      </c>
      <c r="E11382" s="1" t="s">
        <v>4579</v>
      </c>
      <c r="F11382" s="1">
        <v>3</v>
      </c>
      <c r="G11382" s="1">
        <v>1556.71</v>
      </c>
      <c r="H11382" s="1">
        <v>4670</v>
      </c>
      <c r="I11382" s="1">
        <v>0</v>
      </c>
      <c r="J11382" s="1">
        <v>3</v>
      </c>
      <c r="K11382" s="1">
        <v>0</v>
      </c>
    </row>
    <row r="11383" spans="1:11" x14ac:dyDescent="0.2">
      <c r="A11383" s="1" t="s">
        <v>1306</v>
      </c>
      <c r="B11383" s="1" t="s">
        <v>1313</v>
      </c>
      <c r="C11383" s="1" t="str">
        <f>"2518"</f>
        <v>2518</v>
      </c>
      <c r="D11383" s="1" t="str">
        <f>"2518"</f>
        <v>2518</v>
      </c>
      <c r="E11383" s="1" t="s">
        <v>4579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</row>
    <row r="11384" spans="1:11" x14ac:dyDescent="0.2">
      <c r="A11384" s="1" t="s">
        <v>1306</v>
      </c>
      <c r="B11384" s="1" t="s">
        <v>1314</v>
      </c>
      <c r="C11384" s="1" t="str">
        <f>"66298839778166"</f>
        <v>66298839778166</v>
      </c>
      <c r="D11384" s="1" t="str">
        <f>"400071"</f>
        <v>400071</v>
      </c>
      <c r="E11384" s="1" t="s">
        <v>4579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</row>
    <row r="11385" spans="1:11" x14ac:dyDescent="0.2">
      <c r="A11385" s="1" t="s">
        <v>1306</v>
      </c>
      <c r="B11385" s="1" t="s">
        <v>1315</v>
      </c>
      <c r="C11385" s="1" t="str">
        <f>"66298839822072"</f>
        <v>66298839822072</v>
      </c>
      <c r="D11385" s="1" t="str">
        <f>"400144"</f>
        <v>400144</v>
      </c>
      <c r="E11385" s="1" t="s">
        <v>4579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</row>
    <row r="11386" spans="1:11" x14ac:dyDescent="0.2">
      <c r="A11386" s="1" t="s">
        <v>1306</v>
      </c>
      <c r="B11386" s="1" t="s">
        <v>1316</v>
      </c>
      <c r="C11386" s="1" t="str">
        <f>"66298839862328"</f>
        <v>66298839862328</v>
      </c>
      <c r="D11386" s="1" t="str">
        <f>"AP-2010-29HB"</f>
        <v>AP-2010-29HB</v>
      </c>
      <c r="E11386" s="1" t="s">
        <v>4579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</row>
    <row r="11387" spans="1:11" x14ac:dyDescent="0.2">
      <c r="A11387" s="1" t="s">
        <v>1306</v>
      </c>
      <c r="B11387" s="1" t="s">
        <v>1317</v>
      </c>
      <c r="C11387" s="1" t="str">
        <f>"1052-S"</f>
        <v>1052-S</v>
      </c>
      <c r="D11387" s="1" t="str">
        <f>"1052-S"</f>
        <v>1052-S</v>
      </c>
      <c r="E11387" s="1" t="s">
        <v>4579</v>
      </c>
      <c r="F11387" s="1">
        <v>1</v>
      </c>
      <c r="G11387" s="1">
        <v>4215.13</v>
      </c>
      <c r="H11387" s="1">
        <v>4215</v>
      </c>
      <c r="I11387" s="1">
        <v>0</v>
      </c>
      <c r="J11387" s="1">
        <v>1</v>
      </c>
      <c r="K11387" s="1">
        <v>0</v>
      </c>
    </row>
    <row r="11388" spans="1:11" x14ac:dyDescent="0.2">
      <c r="A11388" s="1" t="s">
        <v>1306</v>
      </c>
      <c r="B11388" s="1" t="s">
        <v>1318</v>
      </c>
      <c r="C11388" s="1" t="str">
        <f>"66298839903308"</f>
        <v>66298839903308</v>
      </c>
      <c r="D11388" s="1" t="str">
        <f>"80367"</f>
        <v>80367</v>
      </c>
      <c r="E11388" s="1" t="s">
        <v>4579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</row>
    <row r="11389" spans="1:11" x14ac:dyDescent="0.2">
      <c r="A11389" s="1" t="s">
        <v>1306</v>
      </c>
      <c r="B11389" s="1" t="s">
        <v>1318</v>
      </c>
      <c r="C11389" s="1" t="str">
        <f>"VC006"</f>
        <v>VC006</v>
      </c>
      <c r="D11389" s="1" t="str">
        <f>"VC006"</f>
        <v>VC006</v>
      </c>
      <c r="E11389" s="1" t="s">
        <v>4579</v>
      </c>
      <c r="F11389" s="1">
        <v>1</v>
      </c>
      <c r="G11389" s="1">
        <v>4120</v>
      </c>
      <c r="H11389" s="1">
        <v>4120</v>
      </c>
      <c r="I11389" s="1">
        <v>0</v>
      </c>
      <c r="J11389" s="1">
        <v>1</v>
      </c>
      <c r="K11389" s="1">
        <v>0</v>
      </c>
    </row>
    <row r="11390" spans="1:11" x14ac:dyDescent="0.2">
      <c r="A11390" s="1" t="s">
        <v>1218</v>
      </c>
      <c r="B11390" s="1" t="s">
        <v>1319</v>
      </c>
      <c r="C11390" s="1" t="str">
        <f>"49CC27"</f>
        <v>49CC27</v>
      </c>
      <c r="D11390" s="1" t="str">
        <f>"49CC27"</f>
        <v>49CC27</v>
      </c>
      <c r="E11390" s="1" t="s">
        <v>4579</v>
      </c>
      <c r="F11390" s="1">
        <v>1</v>
      </c>
      <c r="G11390" s="1">
        <v>5540</v>
      </c>
      <c r="H11390" s="1">
        <v>5540</v>
      </c>
      <c r="I11390" s="1">
        <v>0</v>
      </c>
      <c r="J11390" s="1">
        <v>1</v>
      </c>
      <c r="K11390" s="1">
        <v>0</v>
      </c>
    </row>
    <row r="11391" spans="1:11" x14ac:dyDescent="0.2">
      <c r="A11391" s="1" t="s">
        <v>1218</v>
      </c>
      <c r="B11391" s="1" t="s">
        <v>1320</v>
      </c>
      <c r="C11391" s="1" t="str">
        <f>"66298839985467"</f>
        <v>66298839985467</v>
      </c>
      <c r="D11391" s="1" t="str">
        <f>"11717"</f>
        <v>11717</v>
      </c>
      <c r="E11391" s="1" t="s">
        <v>4579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</row>
    <row r="11392" spans="1:11" x14ac:dyDescent="0.2">
      <c r="A11392" s="1" t="s">
        <v>1218</v>
      </c>
      <c r="B11392" s="1" t="s">
        <v>1321</v>
      </c>
      <c r="C11392" s="1" t="str">
        <f>"AC007"</f>
        <v>AC007</v>
      </c>
      <c r="D11392" s="1" t="str">
        <f>"AC007"</f>
        <v>AC007</v>
      </c>
      <c r="E11392" s="1" t="s">
        <v>4579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</row>
    <row r="11393" spans="1:11" x14ac:dyDescent="0.2">
      <c r="A11393" s="1" t="s">
        <v>1218</v>
      </c>
      <c r="B11393" s="1" t="s">
        <v>1322</v>
      </c>
      <c r="C11393" s="1" t="str">
        <f>"AC004"</f>
        <v>AC004</v>
      </c>
      <c r="D11393" s="1" t="str">
        <f>"AC004"</f>
        <v>AC004</v>
      </c>
      <c r="E11393" s="1" t="s">
        <v>4579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</row>
    <row r="11394" spans="1:11" x14ac:dyDescent="0.2">
      <c r="A11394" s="1" t="s">
        <v>1218</v>
      </c>
      <c r="B11394" s="1" t="s">
        <v>1323</v>
      </c>
      <c r="C11394" s="1" t="str">
        <f>"66298840028405"</f>
        <v>66298840028405</v>
      </c>
      <c r="D11394" s="1" t="str">
        <f>"M109"</f>
        <v>M109</v>
      </c>
      <c r="E11394" s="1" t="s">
        <v>4579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</row>
    <row r="11395" spans="1:11" x14ac:dyDescent="0.2">
      <c r="A11395" s="1" t="s">
        <v>1218</v>
      </c>
      <c r="B11395" s="1" t="s">
        <v>1324</v>
      </c>
      <c r="C11395" s="1" t="str">
        <f>"AC011"</f>
        <v>AC011</v>
      </c>
      <c r="D11395" s="1" t="str">
        <f>"AC011"</f>
        <v>AC011</v>
      </c>
      <c r="E11395" s="1" t="s">
        <v>4579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</row>
    <row r="11396" spans="1:11" x14ac:dyDescent="0.2">
      <c r="A11396" s="1" t="s">
        <v>1218</v>
      </c>
      <c r="B11396" s="1" t="s">
        <v>1325</v>
      </c>
      <c r="C11396" s="1" t="str">
        <f>"AB020"</f>
        <v>AB020</v>
      </c>
      <c r="D11396" s="1" t="str">
        <f>"AB020"</f>
        <v>AB020</v>
      </c>
      <c r="E11396" s="1" t="s">
        <v>4579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</row>
    <row r="11397" spans="1:11" x14ac:dyDescent="0.2">
      <c r="A11397" s="1" t="s">
        <v>1218</v>
      </c>
      <c r="B11397" s="1" t="s">
        <v>1326</v>
      </c>
      <c r="C11397" s="1" t="str">
        <f>"66298840067193"</f>
        <v>66298840067193</v>
      </c>
      <c r="D11397" s="1" t="str">
        <f>"37000-34860"</f>
        <v>37000-34860</v>
      </c>
      <c r="E11397" s="1" t="s">
        <v>4579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</row>
    <row r="11398" spans="1:11" x14ac:dyDescent="0.2">
      <c r="A11398" s="1" t="s">
        <v>1218</v>
      </c>
      <c r="B11398" s="1" t="s">
        <v>1327</v>
      </c>
      <c r="C11398" s="1" t="str">
        <f>"66298840105724"</f>
        <v>66298840105724</v>
      </c>
      <c r="D11398" s="1" t="str">
        <f>"AC003"</f>
        <v>AC003</v>
      </c>
      <c r="E11398" s="1" t="s">
        <v>4579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</row>
    <row r="11399" spans="1:11" x14ac:dyDescent="0.2">
      <c r="A11399" s="1" t="s">
        <v>1218</v>
      </c>
      <c r="B11399" s="1" t="s">
        <v>1328</v>
      </c>
      <c r="C11399" s="1" t="str">
        <f>"66298840144771"</f>
        <v>66298840144771</v>
      </c>
      <c r="D11399" s="1" t="str">
        <f>"37011H2F00BH000"</f>
        <v>37011H2F00BH000</v>
      </c>
      <c r="E11399" s="1" t="s">
        <v>4579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</row>
    <row r="11400" spans="1:11" x14ac:dyDescent="0.2">
      <c r="A11400" s="1" t="s">
        <v>1218</v>
      </c>
      <c r="B11400" s="1" t="s">
        <v>1329</v>
      </c>
      <c r="C11400" s="1" t="str">
        <f>"KT-2152KZ"</f>
        <v>KT-2152KZ</v>
      </c>
      <c r="D11400" s="1" t="str">
        <f>"KT-2152KZ"</f>
        <v>KT-2152KZ</v>
      </c>
      <c r="E11400" s="1" t="s">
        <v>4579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</row>
    <row r="11401" spans="1:11" x14ac:dyDescent="0.2">
      <c r="A11401" s="1" t="s">
        <v>1218</v>
      </c>
      <c r="B11401" s="1" t="s">
        <v>1330</v>
      </c>
      <c r="C11401" s="1" t="str">
        <f>"AC009"</f>
        <v>AC009</v>
      </c>
      <c r="D11401" s="1" t="str">
        <f>"AC009"</f>
        <v>AC009</v>
      </c>
      <c r="E11401" s="1" t="s">
        <v>4579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</row>
    <row r="11402" spans="1:11" x14ac:dyDescent="0.2">
      <c r="A11402" s="1" t="s">
        <v>1218</v>
      </c>
      <c r="B11402" s="1" t="s">
        <v>1331</v>
      </c>
      <c r="C11402" s="1" t="str">
        <f>"66298840222925"</f>
        <v>66298840222925</v>
      </c>
      <c r="D11402" s="1" t="str">
        <f>"84595"</f>
        <v>84595</v>
      </c>
      <c r="E11402" s="1" t="s">
        <v>4579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</row>
    <row r="11403" spans="1:11" x14ac:dyDescent="0.2">
      <c r="A11403" s="1" t="s">
        <v>1218</v>
      </c>
      <c r="B11403" s="1" t="s">
        <v>1332</v>
      </c>
      <c r="C11403" s="1" t="str">
        <f>"66298840183132"</f>
        <v>66298840183132</v>
      </c>
      <c r="D11403" s="1" t="str">
        <f>"AC005"</f>
        <v>AC005</v>
      </c>
      <c r="E11403" s="1" t="s">
        <v>4579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</row>
    <row r="11404" spans="1:11" x14ac:dyDescent="0.2">
      <c r="A11404" s="1" t="s">
        <v>1333</v>
      </c>
      <c r="B11404" s="1" t="s">
        <v>1334</v>
      </c>
      <c r="C11404" s="1" t="str">
        <f>"AC002"</f>
        <v>AC002</v>
      </c>
      <c r="D11404" s="1" t="str">
        <f>"AC002"</f>
        <v>AC002</v>
      </c>
      <c r="E11404" s="1" t="s">
        <v>4579</v>
      </c>
      <c r="F11404" s="1">
        <v>1</v>
      </c>
      <c r="G11404" s="1">
        <v>10764</v>
      </c>
      <c r="H11404" s="1">
        <v>10764</v>
      </c>
      <c r="I11404" s="1">
        <v>0</v>
      </c>
      <c r="J11404" s="1">
        <v>1</v>
      </c>
      <c r="K11404" s="1">
        <v>0</v>
      </c>
    </row>
    <row r="11405" spans="1:11" x14ac:dyDescent="0.2">
      <c r="A11405" s="1" t="s">
        <v>1218</v>
      </c>
      <c r="B11405" s="1" t="s">
        <v>1335</v>
      </c>
      <c r="C11405" s="1" t="str">
        <f>"11183"</f>
        <v>11183</v>
      </c>
      <c r="D11405" s="1" t="str">
        <f>"11183"</f>
        <v>11183</v>
      </c>
      <c r="E11405" s="1" t="s">
        <v>4579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</row>
    <row r="11406" spans="1:11" x14ac:dyDescent="0.2">
      <c r="A11406" s="1" t="s">
        <v>1218</v>
      </c>
      <c r="B11406" s="1" t="s">
        <v>1336</v>
      </c>
      <c r="C11406" s="1" t="str">
        <f>"AC010"</f>
        <v>AC010</v>
      </c>
      <c r="D11406" s="1" t="str">
        <f>"AC010"</f>
        <v>AC010</v>
      </c>
      <c r="E11406" s="1" t="s">
        <v>4579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</row>
    <row r="11407" spans="1:11" x14ac:dyDescent="0.2">
      <c r="A11407" s="1" t="s">
        <v>1337</v>
      </c>
      <c r="B11407" s="1" t="s">
        <v>1338</v>
      </c>
      <c r="C11407" s="1" t="str">
        <f>"66298840263719"</f>
        <v>66298840263719</v>
      </c>
      <c r="D11407" s="1" t="str">
        <f>"B096"</f>
        <v>B096</v>
      </c>
      <c r="E11407" s="1" t="s">
        <v>4579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</row>
    <row r="11408" spans="1:11" x14ac:dyDescent="0.2">
      <c r="A11408" s="1" t="s">
        <v>98</v>
      </c>
      <c r="B11408" s="1" t="s">
        <v>1339</v>
      </c>
      <c r="C11408" s="1" t="str">
        <f>"66298840314866"</f>
        <v>66298840314866</v>
      </c>
      <c r="D11408" s="1" t="str">
        <f>"H221"</f>
        <v>H221</v>
      </c>
      <c r="E11408" s="1" t="s">
        <v>4579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</row>
    <row r="11409" spans="1:11" x14ac:dyDescent="0.2">
      <c r="A11409" s="1" t="s">
        <v>1337</v>
      </c>
      <c r="B11409" s="1" t="s">
        <v>1340</v>
      </c>
      <c r="C11409" s="1" t="str">
        <f>"DG009"</f>
        <v>DG009</v>
      </c>
      <c r="D11409" s="1" t="str">
        <f>"DG009"</f>
        <v>DG009</v>
      </c>
      <c r="E11409" s="1" t="s">
        <v>4579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</row>
    <row r="11410" spans="1:11" x14ac:dyDescent="0.2">
      <c r="A11410" s="1" t="s">
        <v>1337</v>
      </c>
      <c r="B11410" s="1" t="s">
        <v>1341</v>
      </c>
      <c r="C11410" s="1" t="str">
        <f>"66298840352827"</f>
        <v>66298840352827</v>
      </c>
      <c r="D11410" s="1" t="str">
        <f>"DG007"</f>
        <v>DG007</v>
      </c>
      <c r="E11410" s="1" t="s">
        <v>4579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</row>
    <row r="11411" spans="1:11" x14ac:dyDescent="0.2">
      <c r="A11411" s="1" t="s">
        <v>1337</v>
      </c>
      <c r="B11411" s="1" t="s">
        <v>1342</v>
      </c>
      <c r="C11411" s="1" t="str">
        <f>"66298840391916"</f>
        <v>66298840391916</v>
      </c>
      <c r="D11411" s="1" t="str">
        <f>"83976"</f>
        <v>83976</v>
      </c>
      <c r="E11411" s="1" t="s">
        <v>4579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</row>
    <row r="11412" spans="1:11" x14ac:dyDescent="0.2">
      <c r="A11412" s="1" t="s">
        <v>1337</v>
      </c>
      <c r="B11412" s="1" t="s">
        <v>1343</v>
      </c>
      <c r="C11412" s="1" t="str">
        <f>"DG011"</f>
        <v>DG011</v>
      </c>
      <c r="D11412" s="1" t="str">
        <f>"DG011"</f>
        <v>DG011</v>
      </c>
      <c r="E11412" s="1" t="s">
        <v>4579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</row>
    <row r="11413" spans="1:11" x14ac:dyDescent="0.2">
      <c r="A11413" s="1" t="s">
        <v>1337</v>
      </c>
      <c r="B11413" s="1" t="s">
        <v>1344</v>
      </c>
      <c r="C11413" s="1" t="str">
        <f>"DG013"</f>
        <v>DG013</v>
      </c>
      <c r="D11413" s="1" t="str">
        <f>"DG013"</f>
        <v>DG013</v>
      </c>
      <c r="E11413" s="1" t="s">
        <v>4579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</row>
    <row r="11414" spans="1:11" x14ac:dyDescent="0.2">
      <c r="A11414" s="1" t="s">
        <v>1337</v>
      </c>
      <c r="B11414" s="1" t="s">
        <v>1345</v>
      </c>
      <c r="C11414" s="1" t="str">
        <f>"66298840432572"</f>
        <v>66298840432572</v>
      </c>
      <c r="D11414" s="1" t="str">
        <f>"DG003"</f>
        <v>DG003</v>
      </c>
      <c r="E11414" s="1" t="s">
        <v>4579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</row>
    <row r="11415" spans="1:11" x14ac:dyDescent="0.2">
      <c r="A11415" s="1" t="s">
        <v>1337</v>
      </c>
      <c r="B11415" s="1" t="s">
        <v>1346</v>
      </c>
      <c r="C11415" s="1" t="str">
        <f>"DG008"</f>
        <v>DG008</v>
      </c>
      <c r="D11415" s="1" t="str">
        <f>"DG008"</f>
        <v>DG008</v>
      </c>
      <c r="E11415" s="1" t="s">
        <v>4579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</row>
    <row r="11416" spans="1:11" x14ac:dyDescent="0.2">
      <c r="A11416" s="1" t="s">
        <v>1337</v>
      </c>
      <c r="B11416" s="1" t="s">
        <v>1347</v>
      </c>
      <c r="C11416" s="1" t="str">
        <f>"DG006"</f>
        <v>DG006</v>
      </c>
      <c r="D11416" s="1" t="str">
        <f>"DG006"</f>
        <v>DG006</v>
      </c>
      <c r="E11416" s="1" t="s">
        <v>4579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</row>
    <row r="11417" spans="1:11" x14ac:dyDescent="0.2">
      <c r="A11417" s="1" t="s">
        <v>1348</v>
      </c>
      <c r="B11417" s="1" t="s">
        <v>1349</v>
      </c>
      <c r="C11417" s="1" t="str">
        <f>"66298840481598"</f>
        <v>66298840481598</v>
      </c>
      <c r="D11417" s="1" t="str">
        <f>"80267"</f>
        <v>80267</v>
      </c>
      <c r="E11417" s="1" t="s">
        <v>4579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</row>
    <row r="11418" spans="1:11" x14ac:dyDescent="0.2">
      <c r="A11418" s="1" t="s">
        <v>1348</v>
      </c>
      <c r="B11418" s="1" t="s">
        <v>1350</v>
      </c>
      <c r="C11418" s="1" t="str">
        <f>"66298840520747"</f>
        <v>66298840520747</v>
      </c>
      <c r="D11418" s="1" t="str">
        <f>"80271"</f>
        <v>80271</v>
      </c>
      <c r="E11418" s="1" t="s">
        <v>4579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</row>
    <row r="11419" spans="1:11" x14ac:dyDescent="0.2">
      <c r="A11419" s="1" t="s">
        <v>1351</v>
      </c>
      <c r="B11419" s="1" t="s">
        <v>1352</v>
      </c>
      <c r="C11419" s="1" t="str">
        <f>"66298840563231"</f>
        <v>66298840563231</v>
      </c>
      <c r="D11419" s="1" t="str">
        <f>"TB004-AMARILLO"</f>
        <v>TB004-AMARILLO</v>
      </c>
      <c r="E11419" s="1" t="s">
        <v>4579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</row>
    <row r="11420" spans="1:11" x14ac:dyDescent="0.2">
      <c r="A11420" s="1" t="s">
        <v>1351</v>
      </c>
      <c r="B11420" s="1" t="s">
        <v>1353</v>
      </c>
      <c r="C11420" s="1" t="str">
        <f>"66298840602495"</f>
        <v>66298840602495</v>
      </c>
      <c r="D11420" s="1" t="str">
        <f>"TB004-AZUL"</f>
        <v>TB004-AZUL</v>
      </c>
      <c r="E11420" s="1" t="s">
        <v>4579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</row>
    <row r="11421" spans="1:11" x14ac:dyDescent="0.2">
      <c r="A11421" s="1" t="s">
        <v>1351</v>
      </c>
      <c r="B11421" s="1" t="s">
        <v>1354</v>
      </c>
      <c r="C11421" s="1" t="str">
        <f>"66298840641803"</f>
        <v>66298840641803</v>
      </c>
      <c r="D11421" s="1" t="str">
        <f>"TB001-A-BEIGE"</f>
        <v>TB001-A-BEIGE</v>
      </c>
      <c r="E11421" s="1" t="s">
        <v>4579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</row>
    <row r="11422" spans="1:11" x14ac:dyDescent="0.2">
      <c r="A11422" s="1" t="s">
        <v>1351</v>
      </c>
      <c r="B11422" s="1" t="s">
        <v>1355</v>
      </c>
      <c r="C11422" s="1" t="str">
        <f>"66298840681107"</f>
        <v>66298840681107</v>
      </c>
      <c r="D11422" s="1" t="str">
        <f>"TB004-BLANCO"</f>
        <v>TB004-BLANCO</v>
      </c>
      <c r="E11422" s="1" t="s">
        <v>4579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</row>
    <row r="11423" spans="1:11" x14ac:dyDescent="0.2">
      <c r="A11423" s="1" t="s">
        <v>1351</v>
      </c>
      <c r="B11423" s="1" t="s">
        <v>1356</v>
      </c>
      <c r="C11423" s="1" t="str">
        <f>"66298840723726"</f>
        <v>66298840723726</v>
      </c>
      <c r="D11423" s="1" t="str">
        <f>"TB004-ROJO"</f>
        <v>TB004-ROJO</v>
      </c>
      <c r="E11423" s="1" t="s">
        <v>4579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</row>
    <row r="11424" spans="1:11" x14ac:dyDescent="0.2">
      <c r="A11424" s="1" t="s">
        <v>18</v>
      </c>
      <c r="B11424" s="1" t="s">
        <v>1357</v>
      </c>
      <c r="C11424" s="1" t="str">
        <f>"TB004"</f>
        <v>TB004</v>
      </c>
      <c r="D11424" s="1" t="str">
        <f>"TB004"</f>
        <v>TB004</v>
      </c>
      <c r="E11424" s="1" t="s">
        <v>4579</v>
      </c>
      <c r="F11424" s="1">
        <v>3</v>
      </c>
      <c r="G11424" s="1">
        <v>4980</v>
      </c>
      <c r="H11424" s="1">
        <v>14940</v>
      </c>
      <c r="I11424" s="1">
        <v>0</v>
      </c>
      <c r="J11424" s="1">
        <v>3</v>
      </c>
      <c r="K11424" s="1">
        <v>0</v>
      </c>
    </row>
    <row r="11425" spans="1:11" x14ac:dyDescent="0.2">
      <c r="A11425" s="1" t="s">
        <v>1351</v>
      </c>
      <c r="B11425" s="1" t="s">
        <v>1358</v>
      </c>
      <c r="C11425" s="1" t="str">
        <f>"66298840763610"</f>
        <v>66298840763610</v>
      </c>
      <c r="D11425" s="1" t="str">
        <f>"18233-437-000BR"</f>
        <v>18233-437-000BR</v>
      </c>
      <c r="E11425" s="1" t="s">
        <v>4579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</row>
    <row r="11426" spans="1:11" x14ac:dyDescent="0.2">
      <c r="A11426" s="1" t="s">
        <v>1359</v>
      </c>
      <c r="B11426" s="1" t="s">
        <v>1360</v>
      </c>
      <c r="C11426" s="1" t="str">
        <f>"66298840804671"</f>
        <v>66298840804671</v>
      </c>
      <c r="D11426" s="1" t="str">
        <f>"BH007"</f>
        <v>BH007</v>
      </c>
      <c r="E11426" s="1" t="s">
        <v>4579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</row>
    <row r="11427" spans="1:11" x14ac:dyDescent="0.2">
      <c r="A11427" s="1" t="s">
        <v>1361</v>
      </c>
      <c r="B11427" s="1" t="s">
        <v>1362</v>
      </c>
      <c r="C11427" s="1" t="str">
        <f>"BH003"</f>
        <v>BH003</v>
      </c>
      <c r="D11427" s="1" t="str">
        <f>"BH003"</f>
        <v>BH003</v>
      </c>
      <c r="E11427" s="1" t="s">
        <v>4579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</row>
    <row r="11428" spans="1:11" x14ac:dyDescent="0.2">
      <c r="A11428" s="1" t="s">
        <v>1359</v>
      </c>
      <c r="B11428" s="1" t="s">
        <v>1363</v>
      </c>
      <c r="C11428" s="1" t="str">
        <f>"66298840844927"</f>
        <v>66298840844927</v>
      </c>
      <c r="D11428" s="1" t="str">
        <f>"BH010"</f>
        <v>BH010</v>
      </c>
      <c r="E11428" s="1" t="s">
        <v>4579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</row>
    <row r="11429" spans="1:11" x14ac:dyDescent="0.2">
      <c r="A11429" s="1" t="s">
        <v>1359</v>
      </c>
      <c r="B11429" s="1" t="s">
        <v>1364</v>
      </c>
      <c r="C11429" s="1" t="str">
        <f>"66298840887030"</f>
        <v>66298840887030</v>
      </c>
      <c r="D11429" s="1" t="str">
        <f>"BH005"</f>
        <v>BH005</v>
      </c>
      <c r="E11429" s="1" t="s">
        <v>4579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</row>
    <row r="11430" spans="1:11" x14ac:dyDescent="0.2">
      <c r="A11430" s="1" t="s">
        <v>1359</v>
      </c>
      <c r="B11430" s="1" t="s">
        <v>1365</v>
      </c>
      <c r="C11430" s="1" t="str">
        <f>"66298840928723"</f>
        <v>66298840928723</v>
      </c>
      <c r="D11430" s="1" t="str">
        <f>"HH030"</f>
        <v>HH030</v>
      </c>
      <c r="E11430" s="1" t="s">
        <v>4579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</row>
    <row r="11431" spans="1:11" x14ac:dyDescent="0.2">
      <c r="A11431" s="1" t="s">
        <v>18</v>
      </c>
      <c r="B11431" s="1" t="s">
        <v>1366</v>
      </c>
      <c r="C11431" s="1" t="str">
        <f>"2402"</f>
        <v>2402</v>
      </c>
      <c r="D11431" s="1" t="str">
        <f>"2402"</f>
        <v>2402</v>
      </c>
      <c r="E11431" s="1" t="s">
        <v>4579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</row>
    <row r="11432" spans="1:11" ht="30" x14ac:dyDescent="0.2">
      <c r="A11432" s="1" t="s">
        <v>1367</v>
      </c>
      <c r="B11432" s="1" t="s">
        <v>1368</v>
      </c>
      <c r="C11432" s="1" t="str">
        <f>"66298841010613"</f>
        <v>66298841010613</v>
      </c>
      <c r="D11432" s="1" t="str">
        <f>"400034"</f>
        <v>400034</v>
      </c>
      <c r="E11432" s="1" t="s">
        <v>4579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</row>
    <row r="11433" spans="1:11" ht="30" x14ac:dyDescent="0.2">
      <c r="A11433" s="1" t="s">
        <v>1367</v>
      </c>
      <c r="B11433" s="1" t="s">
        <v>1369</v>
      </c>
      <c r="C11433" s="1" t="str">
        <f>"66298840971812"</f>
        <v>66298840971812</v>
      </c>
      <c r="D11433" s="1" t="str">
        <f>"ND002"</f>
        <v>ND002</v>
      </c>
      <c r="E11433" s="1" t="s">
        <v>4579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</row>
    <row r="11434" spans="1:11" ht="30" x14ac:dyDescent="0.2">
      <c r="A11434" s="1" t="s">
        <v>1367</v>
      </c>
      <c r="B11434" s="1" t="s">
        <v>1369</v>
      </c>
      <c r="C11434" s="1" t="str">
        <f>"743-20-30JP"</f>
        <v>743-20-30JP</v>
      </c>
      <c r="D11434" s="1" t="str">
        <f>"743-20-30JP"</f>
        <v>743-20-30JP</v>
      </c>
      <c r="E11434" s="1" t="s">
        <v>4579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</row>
    <row r="11435" spans="1:11" ht="30" x14ac:dyDescent="0.2">
      <c r="A11435" s="1" t="s">
        <v>1367</v>
      </c>
      <c r="B11435" s="1" t="s">
        <v>1370</v>
      </c>
      <c r="C11435" s="1" t="str">
        <f>"66298841350918"</f>
        <v>66298841350918</v>
      </c>
      <c r="D11435" s="1" t="str">
        <f>"4VP-17641-00JP"</f>
        <v>4VP-17641-00JP</v>
      </c>
      <c r="E11435" s="1" t="s">
        <v>4579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</row>
    <row r="11436" spans="1:11" ht="30" x14ac:dyDescent="0.2">
      <c r="A11436" s="1" t="s">
        <v>1367</v>
      </c>
      <c r="B11436" s="1" t="s">
        <v>1371</v>
      </c>
      <c r="C11436" s="1" t="str">
        <f>"66298841055209"</f>
        <v>66298841055209</v>
      </c>
      <c r="D11436" s="1" t="str">
        <f>"23100-KEC4-900JP"</f>
        <v>23100-KEC4-900JP</v>
      </c>
      <c r="E11436" s="1" t="s">
        <v>4579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</row>
    <row r="11437" spans="1:11" ht="30" x14ac:dyDescent="0.2">
      <c r="A11437" s="1" t="s">
        <v>1367</v>
      </c>
      <c r="B11437" s="1" t="s">
        <v>1372</v>
      </c>
      <c r="C11437" s="1" t="str">
        <f>"66298841523617"</f>
        <v>66298841523617</v>
      </c>
      <c r="D11437" s="1" t="str">
        <f>"5S9-E7641-00JP"</f>
        <v>5S9-E7641-00JP</v>
      </c>
      <c r="E11437" s="1" t="s">
        <v>4579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</row>
    <row r="11438" spans="1:11" ht="30" x14ac:dyDescent="0.2">
      <c r="A11438" s="1" t="s">
        <v>1367</v>
      </c>
      <c r="B11438" s="1" t="s">
        <v>1373</v>
      </c>
      <c r="C11438" s="1" t="str">
        <f>"66298841272975"</f>
        <v>66298841272975</v>
      </c>
      <c r="D11438" s="1" t="str">
        <f>"5TL-E7641-01JP"</f>
        <v>5TL-E7641-01JP</v>
      </c>
      <c r="E11438" s="1" t="s">
        <v>4579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</row>
    <row r="11439" spans="1:11" ht="30" x14ac:dyDescent="0.2">
      <c r="A11439" s="1" t="s">
        <v>1367</v>
      </c>
      <c r="B11439" s="1" t="s">
        <v>1374</v>
      </c>
      <c r="C11439" s="1" t="str">
        <f>"66298841093672"</f>
        <v>66298841093672</v>
      </c>
      <c r="D11439" s="1" t="str">
        <f>"400035"</f>
        <v>400035</v>
      </c>
      <c r="E11439" s="1" t="s">
        <v>4579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</row>
    <row r="11440" spans="1:11" ht="30" x14ac:dyDescent="0.2">
      <c r="A11440" s="1" t="s">
        <v>1367</v>
      </c>
      <c r="B11440" s="1" t="s">
        <v>1375</v>
      </c>
      <c r="C11440" s="1" t="str">
        <f>"835-20-30JPNPC"</f>
        <v>835-20-30JPNPC</v>
      </c>
      <c r="D11440" s="1" t="str">
        <f>"835-20-30JPNPC"</f>
        <v>835-20-30JPNPC</v>
      </c>
      <c r="E11440" s="1" t="s">
        <v>4579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</row>
    <row r="11441" spans="1:11" ht="30" x14ac:dyDescent="0.2">
      <c r="A11441" s="1" t="s">
        <v>1367</v>
      </c>
      <c r="B11441" s="1" t="s">
        <v>1376</v>
      </c>
      <c r="C11441" s="1" t="str">
        <f>"66298841198249"</f>
        <v>66298841198249</v>
      </c>
      <c r="D11441" s="1" t="str">
        <f>"400036"</f>
        <v>400036</v>
      </c>
      <c r="E11441" s="1" t="s">
        <v>4579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</row>
    <row r="11442" spans="1:11" ht="30" x14ac:dyDescent="0.2">
      <c r="A11442" s="1" t="s">
        <v>1367</v>
      </c>
      <c r="B11442" s="1" t="s">
        <v>1377</v>
      </c>
      <c r="C11442" s="1" t="str">
        <f>"66298841137489"</f>
        <v>66298841137489</v>
      </c>
      <c r="D11442" s="1" t="str">
        <f>"842-20-30JP"</f>
        <v>842-20-30JP</v>
      </c>
      <c r="E11442" s="1" t="s">
        <v>4579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</row>
    <row r="11443" spans="1:11" ht="30" x14ac:dyDescent="0.2">
      <c r="A11443" s="1" t="s">
        <v>1367</v>
      </c>
      <c r="B11443" s="1" t="s">
        <v>1377</v>
      </c>
      <c r="C11443" s="1" t="str">
        <f>"66298841145150"</f>
        <v>66298841145150</v>
      </c>
      <c r="D11443" s="1" t="str">
        <f>"ND001"</f>
        <v>ND001</v>
      </c>
      <c r="E11443" s="1" t="s">
        <v>4579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</row>
    <row r="11444" spans="1:11" ht="30" x14ac:dyDescent="0.2">
      <c r="A11444" s="1" t="s">
        <v>1367</v>
      </c>
      <c r="B11444" s="1" t="s">
        <v>1378</v>
      </c>
      <c r="C11444" s="1" t="str">
        <f>"ND006"</f>
        <v>ND006</v>
      </c>
      <c r="D11444" s="1" t="str">
        <f>"ND006"</f>
        <v>ND006</v>
      </c>
      <c r="E11444" s="1" t="s">
        <v>4579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</row>
    <row r="11445" spans="1:11" ht="30" x14ac:dyDescent="0.2">
      <c r="A11445" s="1" t="s">
        <v>1367</v>
      </c>
      <c r="B11445" s="1" t="s">
        <v>1379</v>
      </c>
      <c r="C11445" s="1" t="str">
        <f>"66298841234708"</f>
        <v>66298841234708</v>
      </c>
      <c r="D11445" s="1" t="str">
        <f>"400099"</f>
        <v>400099</v>
      </c>
      <c r="E11445" s="1" t="s">
        <v>4579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</row>
    <row r="11446" spans="1:11" ht="30" x14ac:dyDescent="0.2">
      <c r="A11446" s="1" t="s">
        <v>1367</v>
      </c>
      <c r="B11446" s="1" t="s">
        <v>1380</v>
      </c>
      <c r="C11446" s="1" t="str">
        <f>"12787"</f>
        <v>12787</v>
      </c>
      <c r="D11446" s="1" t="str">
        <f>"12787"</f>
        <v>12787</v>
      </c>
      <c r="E11446" s="1" t="s">
        <v>4579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</row>
    <row r="11447" spans="1:11" ht="30" x14ac:dyDescent="0.2">
      <c r="A11447" s="1" t="s">
        <v>1367</v>
      </c>
      <c r="B11447" s="1" t="s">
        <v>1381</v>
      </c>
      <c r="C11447" s="1" t="str">
        <f>"66298841312524"</f>
        <v>66298841312524</v>
      </c>
      <c r="D11447" s="1" t="str">
        <f>"27601-21J10-000"</f>
        <v>27601-21J10-000</v>
      </c>
      <c r="E11447" s="1" t="s">
        <v>4579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</row>
    <row r="11448" spans="1:11" ht="30" x14ac:dyDescent="0.2">
      <c r="A11448" s="1" t="s">
        <v>1367</v>
      </c>
      <c r="B11448" s="1" t="s">
        <v>1382</v>
      </c>
      <c r="C11448" s="1" t="str">
        <f>"66298841470841"</f>
        <v>66298841470841</v>
      </c>
      <c r="D11448" s="1" t="str">
        <f>"400754"</f>
        <v>400754</v>
      </c>
      <c r="E11448" s="1" t="s">
        <v>4579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</row>
    <row r="11449" spans="1:11" ht="30" x14ac:dyDescent="0.2">
      <c r="A11449" s="1" t="s">
        <v>1367</v>
      </c>
      <c r="B11449" s="1" t="s">
        <v>1383</v>
      </c>
      <c r="C11449" s="1" t="str">
        <f>"66298841397852"</f>
        <v>66298841397852</v>
      </c>
      <c r="D11449" s="1" t="str">
        <f>"ND005"</f>
        <v>ND005</v>
      </c>
      <c r="E11449" s="1" t="s">
        <v>4579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</row>
    <row r="11450" spans="1:11" x14ac:dyDescent="0.2">
      <c r="A11450" s="1" t="s">
        <v>1384</v>
      </c>
      <c r="B11450" s="1" t="s">
        <v>1385</v>
      </c>
      <c r="C11450" s="1" t="str">
        <f>"2354"</f>
        <v>2354</v>
      </c>
      <c r="D11450" s="1" t="str">
        <f>"2354"</f>
        <v>2354</v>
      </c>
      <c r="E11450" s="1" t="s">
        <v>4579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</row>
    <row r="11451" spans="1:11" x14ac:dyDescent="0.2">
      <c r="A11451" s="1" t="s">
        <v>1384</v>
      </c>
      <c r="B11451" s="1" t="s">
        <v>1386</v>
      </c>
      <c r="C11451" s="1" t="str">
        <f>"66298841562461"</f>
        <v>66298841562461</v>
      </c>
      <c r="D11451" s="1" t="str">
        <f>"400649"</f>
        <v>400649</v>
      </c>
      <c r="E11451" s="1" t="s">
        <v>4579</v>
      </c>
      <c r="F11451" s="1">
        <v>2</v>
      </c>
      <c r="G11451" s="1">
        <v>1270</v>
      </c>
      <c r="H11451" s="1">
        <v>2540</v>
      </c>
      <c r="I11451" s="1">
        <v>0</v>
      </c>
      <c r="J11451" s="1">
        <v>2</v>
      </c>
      <c r="K11451" s="1">
        <v>0</v>
      </c>
    </row>
    <row r="11452" spans="1:11" x14ac:dyDescent="0.2">
      <c r="A11452" s="1" t="s">
        <v>1384</v>
      </c>
      <c r="B11452" s="1" t="s">
        <v>1387</v>
      </c>
      <c r="C11452" s="1" t="str">
        <f>"CE012"</f>
        <v>CE012</v>
      </c>
      <c r="D11452" s="1" t="str">
        <f>"CE012"</f>
        <v>CE012</v>
      </c>
      <c r="E11452" s="1" t="s">
        <v>4579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</row>
    <row r="11453" spans="1:11" x14ac:dyDescent="0.2">
      <c r="A11453" s="1" t="s">
        <v>1384</v>
      </c>
      <c r="B11453" s="1" t="s">
        <v>1388</v>
      </c>
      <c r="C11453" s="1" t="str">
        <f>"BR050.07"</f>
        <v>BR050.07</v>
      </c>
      <c r="D11453" s="1" t="str">
        <f>"BR050.07"</f>
        <v>BR050.07</v>
      </c>
      <c r="E11453" s="1" t="s">
        <v>4579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</row>
    <row r="11454" spans="1:11" x14ac:dyDescent="0.2">
      <c r="A11454" s="1" t="s">
        <v>1384</v>
      </c>
      <c r="B11454" s="1" t="s">
        <v>1388</v>
      </c>
      <c r="C11454" s="1" t="str">
        <f>"25K170S"</f>
        <v>25K170S</v>
      </c>
      <c r="D11454" s="1" t="str">
        <f>"25K170S"</f>
        <v>25K170S</v>
      </c>
      <c r="E11454" s="1" t="s">
        <v>4579</v>
      </c>
      <c r="F11454" s="1">
        <v>2</v>
      </c>
      <c r="G11454" s="1">
        <v>7165</v>
      </c>
      <c r="H11454" s="1">
        <v>14330</v>
      </c>
      <c r="I11454" s="1">
        <v>0</v>
      </c>
      <c r="J11454" s="1">
        <v>2</v>
      </c>
      <c r="K11454" s="1">
        <v>0</v>
      </c>
    </row>
    <row r="11455" spans="1:11" ht="30" x14ac:dyDescent="0.2">
      <c r="A11455" s="1" t="s">
        <v>1384</v>
      </c>
      <c r="B11455" s="1" t="s">
        <v>1389</v>
      </c>
      <c r="C11455" s="1" t="str">
        <f>"66298841614379"</f>
        <v>66298841614379</v>
      </c>
      <c r="D11455" s="1" t="str">
        <f>"400650"</f>
        <v>400650</v>
      </c>
      <c r="E11455" s="1" t="s">
        <v>4579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</row>
    <row r="11456" spans="1:11" x14ac:dyDescent="0.2">
      <c r="A11456" s="1" t="s">
        <v>1384</v>
      </c>
      <c r="B11456" s="1" t="s">
        <v>1390</v>
      </c>
      <c r="C11456" s="1" t="str">
        <f>"66298841654643"</f>
        <v>66298841654643</v>
      </c>
      <c r="D11456" s="1" t="str">
        <f>"BR0101-4531WGK"</f>
        <v>BR0101-4531WGK</v>
      </c>
      <c r="E11456" s="1" t="s">
        <v>4579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</row>
    <row r="11457" spans="1:11" x14ac:dyDescent="0.2">
      <c r="A11457" s="1" t="s">
        <v>1384</v>
      </c>
      <c r="B11457" s="1" t="s">
        <v>1390</v>
      </c>
      <c r="C11457" s="1" t="str">
        <f>"CE016"</f>
        <v>CE016</v>
      </c>
      <c r="D11457" s="1" t="str">
        <f>"CE016"</f>
        <v>CE016</v>
      </c>
      <c r="E11457" s="1" t="s">
        <v>4579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</row>
    <row r="11458" spans="1:11" x14ac:dyDescent="0.2">
      <c r="A11458" s="1" t="s">
        <v>1384</v>
      </c>
      <c r="B11458" s="1" t="s">
        <v>1391</v>
      </c>
      <c r="C11458" s="1" t="str">
        <f>"66298841693814"</f>
        <v>66298841693814</v>
      </c>
      <c r="D11458" s="1" t="str">
        <f>"CE011"</f>
        <v>CE011</v>
      </c>
      <c r="E11458" s="1" t="s">
        <v>4579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</row>
    <row r="11459" spans="1:11" x14ac:dyDescent="0.2">
      <c r="A11459" s="1" t="s">
        <v>1384</v>
      </c>
      <c r="B11459" s="1" t="s">
        <v>1392</v>
      </c>
      <c r="C11459" s="1" t="str">
        <f>"66298841732937"</f>
        <v>66298841732937</v>
      </c>
      <c r="D11459" s="1" t="str">
        <f>"CE002"</f>
        <v>CE002</v>
      </c>
      <c r="E11459" s="1" t="s">
        <v>4579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</row>
    <row r="11460" spans="1:11" x14ac:dyDescent="0.2">
      <c r="A11460" s="1" t="s">
        <v>1384</v>
      </c>
      <c r="B11460" s="1" t="s">
        <v>1393</v>
      </c>
      <c r="C11460" s="1" t="str">
        <f>"CE013"</f>
        <v>CE013</v>
      </c>
      <c r="D11460" s="1" t="str">
        <f>"CE013"</f>
        <v>CE013</v>
      </c>
      <c r="E11460" s="1" t="s">
        <v>4579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</row>
    <row r="11461" spans="1:11" x14ac:dyDescent="0.2">
      <c r="A11461" s="1" t="s">
        <v>1384</v>
      </c>
      <c r="B11461" s="1" t="s">
        <v>1394</v>
      </c>
      <c r="C11461" s="1" t="str">
        <f>"CE015"</f>
        <v>CE015</v>
      </c>
      <c r="D11461" s="1" t="str">
        <f>"CE015"</f>
        <v>CE015</v>
      </c>
      <c r="E11461" s="1" t="s">
        <v>4579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</row>
    <row r="11462" spans="1:11" x14ac:dyDescent="0.2">
      <c r="A11462" s="1" t="s">
        <v>1384</v>
      </c>
      <c r="B11462" s="1" t="s">
        <v>1395</v>
      </c>
      <c r="C11462" s="1" t="str">
        <f>"CE004"</f>
        <v>CE004</v>
      </c>
      <c r="D11462" s="1" t="str">
        <f>"CE004"</f>
        <v>CE004</v>
      </c>
      <c r="E11462" s="1" t="s">
        <v>4579</v>
      </c>
      <c r="F11462" s="1">
        <v>2</v>
      </c>
      <c r="G11462" s="1">
        <v>1990</v>
      </c>
      <c r="H11462" s="1">
        <v>3980</v>
      </c>
      <c r="I11462" s="1">
        <v>0</v>
      </c>
      <c r="J11462" s="1">
        <v>2</v>
      </c>
      <c r="K11462" s="1">
        <v>0</v>
      </c>
    </row>
    <row r="11463" spans="1:11" ht="30" x14ac:dyDescent="0.2">
      <c r="A11463" s="1" t="s">
        <v>1384</v>
      </c>
      <c r="B11463" s="1" t="s">
        <v>1396</v>
      </c>
      <c r="C11463" s="1" t="str">
        <f>"66298841772454"</f>
        <v>66298841772454</v>
      </c>
      <c r="D11463" s="1" t="str">
        <f>"400916"</f>
        <v>400916</v>
      </c>
      <c r="E11463" s="1" t="s">
        <v>4579</v>
      </c>
      <c r="F11463" s="1">
        <v>2</v>
      </c>
      <c r="G11463" s="1">
        <v>1149</v>
      </c>
      <c r="H11463" s="1">
        <v>2298</v>
      </c>
      <c r="I11463" s="1">
        <v>0</v>
      </c>
      <c r="J11463" s="1">
        <v>2</v>
      </c>
      <c r="K11463" s="1">
        <v>0</v>
      </c>
    </row>
    <row r="11464" spans="1:11" x14ac:dyDescent="0.2">
      <c r="A11464" s="1" t="s">
        <v>1384</v>
      </c>
      <c r="B11464" s="1" t="s">
        <v>1397</v>
      </c>
      <c r="C11464" s="1" t="str">
        <f>"66298841815997"</f>
        <v>66298841815997</v>
      </c>
      <c r="D11464" s="1" t="str">
        <f>"51643-25010-K"</f>
        <v>51643-25010-K</v>
      </c>
      <c r="E11464" s="1" t="s">
        <v>4579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</row>
    <row r="11465" spans="1:11" ht="30" x14ac:dyDescent="0.2">
      <c r="A11465" s="1" t="s">
        <v>1384</v>
      </c>
      <c r="B11465" s="1" t="s">
        <v>1398</v>
      </c>
      <c r="C11465" s="1" t="str">
        <f>"66298940746551"</f>
        <v>66298940746551</v>
      </c>
      <c r="D11465" s="1" t="str">
        <f>"CE010"</f>
        <v>CE010</v>
      </c>
      <c r="E11465" s="1" t="s">
        <v>4579</v>
      </c>
      <c r="F11465" s="1">
        <v>2</v>
      </c>
      <c r="G11465" s="1">
        <v>4140</v>
      </c>
      <c r="H11465" s="1">
        <v>8280</v>
      </c>
      <c r="I11465" s="1">
        <v>0</v>
      </c>
      <c r="J11465" s="1">
        <v>2</v>
      </c>
      <c r="K11465" s="1">
        <v>0</v>
      </c>
    </row>
    <row r="11466" spans="1:11" x14ac:dyDescent="0.2">
      <c r="A11466" s="1" t="s">
        <v>1384</v>
      </c>
      <c r="B11466" s="1" t="s">
        <v>1399</v>
      </c>
      <c r="C11466" s="1" t="str">
        <f>"CE018"</f>
        <v>CE018</v>
      </c>
      <c r="D11466" s="1" t="str">
        <f>"CE018"</f>
        <v>CE018</v>
      </c>
      <c r="E11466" s="1" t="s">
        <v>4579</v>
      </c>
      <c r="F11466" s="1">
        <v>2</v>
      </c>
      <c r="G11466" s="1">
        <v>3270</v>
      </c>
      <c r="H11466" s="1">
        <v>6540</v>
      </c>
      <c r="I11466" s="1">
        <v>0</v>
      </c>
      <c r="J11466" s="1">
        <v>2</v>
      </c>
      <c r="K11466" s="1">
        <v>0</v>
      </c>
    </row>
    <row r="11467" spans="1:11" ht="30" x14ac:dyDescent="0.2">
      <c r="A11467" s="1" t="s">
        <v>1384</v>
      </c>
      <c r="B11467" s="1" t="s">
        <v>1400</v>
      </c>
      <c r="C11467" s="1" t="str">
        <f>"100712"</f>
        <v>100712</v>
      </c>
      <c r="D11467" s="1" t="str">
        <f>"100712"</f>
        <v>100712</v>
      </c>
      <c r="E11467" s="1" t="s">
        <v>4579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</row>
    <row r="11468" spans="1:11" x14ac:dyDescent="0.2">
      <c r="A11468" s="1" t="s">
        <v>1384</v>
      </c>
      <c r="B11468" s="1" t="s">
        <v>1401</v>
      </c>
      <c r="C11468" s="1" t="str">
        <f>"66298841892129"</f>
        <v>66298841892129</v>
      </c>
      <c r="D11468" s="1" t="str">
        <f>"400648"</f>
        <v>400648</v>
      </c>
      <c r="E11468" s="1" t="s">
        <v>4579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</row>
    <row r="11469" spans="1:11" x14ac:dyDescent="0.2">
      <c r="A11469" s="1" t="s">
        <v>1384</v>
      </c>
      <c r="B11469" s="1" t="s">
        <v>1402</v>
      </c>
      <c r="C11469" s="1" t="str">
        <f>"66298841853471"</f>
        <v>66298841853471</v>
      </c>
      <c r="D11469" s="1" t="str">
        <f>"BR1011-0041WGK"</f>
        <v>BR1011-0041WGK</v>
      </c>
      <c r="E11469" s="1" t="s">
        <v>4579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</row>
    <row r="11470" spans="1:11" x14ac:dyDescent="0.2">
      <c r="A11470" s="1" t="s">
        <v>1384</v>
      </c>
      <c r="B11470" s="1" t="s">
        <v>1402</v>
      </c>
      <c r="C11470" s="1" t="str">
        <f>"CE017"</f>
        <v>CE017</v>
      </c>
      <c r="D11470" s="1" t="str">
        <f>"CE017"</f>
        <v>CE017</v>
      </c>
      <c r="E11470" s="1" t="s">
        <v>4579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</row>
    <row r="11471" spans="1:11" x14ac:dyDescent="0.2">
      <c r="A11471" s="1" t="s">
        <v>1384</v>
      </c>
      <c r="B11471" s="1" t="s">
        <v>1403</v>
      </c>
      <c r="C11471" s="1" t="str">
        <f>"100743"</f>
        <v>100743</v>
      </c>
      <c r="D11471" s="1" t="str">
        <f>"100743"</f>
        <v>100743</v>
      </c>
      <c r="E11471" s="1" t="s">
        <v>4579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</row>
    <row r="11472" spans="1:11" x14ac:dyDescent="0.2">
      <c r="A11472" s="1" t="s">
        <v>1384</v>
      </c>
      <c r="B11472" s="1" t="s">
        <v>1404</v>
      </c>
      <c r="C11472" s="1" t="str">
        <f>"5KA-F3411-00-K"</f>
        <v>5KA-F3411-00-K</v>
      </c>
      <c r="D11472" s="1" t="str">
        <f>"5KA-F3411-00-K"</f>
        <v>5KA-F3411-00-K</v>
      </c>
      <c r="E11472" s="1" t="s">
        <v>4579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</row>
    <row r="11473" spans="1:11" ht="30" x14ac:dyDescent="0.2">
      <c r="A11473" s="1" t="s">
        <v>1384</v>
      </c>
      <c r="B11473" s="1" t="s">
        <v>1405</v>
      </c>
      <c r="C11473" s="1" t="str">
        <f>"66298841971346"</f>
        <v>66298841971346</v>
      </c>
      <c r="D11473" s="1" t="str">
        <f>"400918"</f>
        <v>400918</v>
      </c>
      <c r="E11473" s="1" t="s">
        <v>4579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</row>
    <row r="11474" spans="1:11" x14ac:dyDescent="0.2">
      <c r="A11474" s="1" t="s">
        <v>1384</v>
      </c>
      <c r="B11474" s="1" t="s">
        <v>1406</v>
      </c>
      <c r="C11474" s="1" t="str">
        <f>"66298842013066"</f>
        <v>66298842013066</v>
      </c>
      <c r="D11474" s="1" t="str">
        <f>"400915"</f>
        <v>400915</v>
      </c>
      <c r="E11474" s="1" t="s">
        <v>4579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</row>
    <row r="11475" spans="1:11" x14ac:dyDescent="0.2">
      <c r="A11475" s="1" t="s">
        <v>1384</v>
      </c>
      <c r="B11475" s="1" t="s">
        <v>1407</v>
      </c>
      <c r="C11475" s="1" t="str">
        <f>"5BP-F3873-01-K"</f>
        <v>5BP-F3873-01-K</v>
      </c>
      <c r="D11475" s="1" t="str">
        <f>"5BP-F3873-01-K"</f>
        <v>5BP-F3873-01-K</v>
      </c>
      <c r="E11475" s="1" t="s">
        <v>4579</v>
      </c>
      <c r="F11475" s="1">
        <v>2</v>
      </c>
      <c r="G11475" s="1">
        <v>7333</v>
      </c>
      <c r="H11475" s="1">
        <v>14666</v>
      </c>
      <c r="I11475" s="1">
        <v>0</v>
      </c>
      <c r="J11475" s="1">
        <v>2</v>
      </c>
      <c r="K11475" s="1">
        <v>0</v>
      </c>
    </row>
    <row r="11476" spans="1:11" x14ac:dyDescent="0.2">
      <c r="A11476" s="1" t="s">
        <v>18</v>
      </c>
      <c r="B11476" s="1" t="s">
        <v>1408</v>
      </c>
      <c r="C11476" s="1" t="str">
        <f>"66298842053856"</f>
        <v>66298842053856</v>
      </c>
      <c r="D11476" s="1" t="str">
        <f>"ZZE010"</f>
        <v>ZZE010</v>
      </c>
      <c r="E11476" s="1" t="s">
        <v>4579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</row>
    <row r="11477" spans="1:11" x14ac:dyDescent="0.2">
      <c r="A11477" s="1" t="s">
        <v>1359</v>
      </c>
      <c r="B11477" s="1" t="s">
        <v>1409</v>
      </c>
      <c r="C11477" s="1" t="str">
        <f>"66298842093477"</f>
        <v>66298842093477</v>
      </c>
      <c r="D11477" s="1" t="str">
        <f>"H137"</f>
        <v>H137</v>
      </c>
      <c r="E11477" s="1" t="s">
        <v>4579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</row>
    <row r="11478" spans="1:11" x14ac:dyDescent="0.2">
      <c r="A11478" s="1" t="s">
        <v>1359</v>
      </c>
      <c r="B11478" s="1" t="s">
        <v>1409</v>
      </c>
      <c r="C11478" s="1" t="str">
        <f>"66298842136499"</f>
        <v>66298842136499</v>
      </c>
      <c r="D11478" s="1" t="str">
        <f>"HH045"</f>
        <v>HH045</v>
      </c>
      <c r="E11478" s="1" t="s">
        <v>4579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</row>
    <row r="11479" spans="1:11" x14ac:dyDescent="0.2">
      <c r="A11479" s="1" t="s">
        <v>1359</v>
      </c>
      <c r="B11479" s="1" t="s">
        <v>1410</v>
      </c>
      <c r="C11479" s="1" t="str">
        <f>"66298842180875"</f>
        <v>66298842180875</v>
      </c>
      <c r="D11479" s="1" t="str">
        <f>"H139"</f>
        <v>H139</v>
      </c>
      <c r="E11479" s="1" t="s">
        <v>4579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</row>
    <row r="11480" spans="1:11" x14ac:dyDescent="0.2">
      <c r="A11480" s="1" t="s">
        <v>1359</v>
      </c>
      <c r="B11480" s="1" t="s">
        <v>1411</v>
      </c>
      <c r="C11480" s="1" t="str">
        <f>"66298842226962"</f>
        <v>66298842226962</v>
      </c>
      <c r="D11480" s="1" t="str">
        <f>"HH041"</f>
        <v>HH041</v>
      </c>
      <c r="E11480" s="1" t="s">
        <v>4579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</row>
    <row r="11481" spans="1:11" x14ac:dyDescent="0.2">
      <c r="A11481" s="1" t="s">
        <v>1359</v>
      </c>
      <c r="B11481" s="1" t="s">
        <v>1412</v>
      </c>
      <c r="C11481" s="1" t="str">
        <f>"66298842267034"</f>
        <v>66298842267034</v>
      </c>
      <c r="D11481" s="1" t="str">
        <f>"HH044"</f>
        <v>HH044</v>
      </c>
      <c r="E11481" s="1" t="s">
        <v>4579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</row>
    <row r="11482" spans="1:11" x14ac:dyDescent="0.2">
      <c r="A11482" s="1" t="s">
        <v>1413</v>
      </c>
      <c r="B11482" s="1" t="s">
        <v>1414</v>
      </c>
      <c r="C11482" s="1" t="str">
        <f>"66298842306565"</f>
        <v>66298842306565</v>
      </c>
      <c r="D11482" s="1" t="str">
        <f>"21C-F1650-00"</f>
        <v>21C-F1650-00</v>
      </c>
      <c r="E11482" s="1" t="s">
        <v>4579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</row>
    <row r="11483" spans="1:11" x14ac:dyDescent="0.2">
      <c r="A11483" s="1" t="s">
        <v>18</v>
      </c>
      <c r="B11483" s="1" t="s">
        <v>1415</v>
      </c>
      <c r="C11483" s="1" t="str">
        <f>"66298842348316"</f>
        <v>66298842348316</v>
      </c>
      <c r="D11483" s="1" t="str">
        <f>"2787-L"</f>
        <v>2787-L</v>
      </c>
      <c r="E11483" s="1" t="s">
        <v>4579</v>
      </c>
      <c r="F11483" s="1">
        <v>1</v>
      </c>
      <c r="G11483" s="1">
        <v>3782</v>
      </c>
      <c r="H11483" s="1">
        <v>3782</v>
      </c>
      <c r="I11483" s="1">
        <v>0</v>
      </c>
      <c r="J11483" s="1">
        <v>1</v>
      </c>
      <c r="K11483" s="1">
        <v>0</v>
      </c>
    </row>
    <row r="11484" spans="1:11" x14ac:dyDescent="0.2">
      <c r="A11484" s="1" t="s">
        <v>18</v>
      </c>
      <c r="B11484" s="1" t="s">
        <v>1416</v>
      </c>
      <c r="C11484" s="1" t="str">
        <f>"66298842391840"</f>
        <v>66298842391840</v>
      </c>
      <c r="D11484" s="1" t="str">
        <f>"2787-XL"</f>
        <v>2787-XL</v>
      </c>
      <c r="E11484" s="1" t="s">
        <v>4579</v>
      </c>
      <c r="F11484" s="1">
        <v>1</v>
      </c>
      <c r="G11484" s="1">
        <v>3782</v>
      </c>
      <c r="H11484" s="1">
        <v>3782</v>
      </c>
      <c r="I11484" s="1">
        <v>0</v>
      </c>
      <c r="J11484" s="1">
        <v>1</v>
      </c>
      <c r="K11484" s="1">
        <v>0</v>
      </c>
    </row>
    <row r="11485" spans="1:11" x14ac:dyDescent="0.2">
      <c r="A11485" s="1" t="s">
        <v>18</v>
      </c>
      <c r="B11485" s="1" t="s">
        <v>1417</v>
      </c>
      <c r="C11485" s="1" t="str">
        <f>"66298842431647"</f>
        <v>66298842431647</v>
      </c>
      <c r="D11485" s="1" t="str">
        <f>"WC017"</f>
        <v>WC017</v>
      </c>
      <c r="E11485" s="1" t="s">
        <v>4579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</row>
    <row r="11486" spans="1:11" x14ac:dyDescent="0.2">
      <c r="A11486" s="1" t="s">
        <v>18</v>
      </c>
      <c r="B11486" s="1" t="s">
        <v>1418</v>
      </c>
      <c r="C11486" s="1" t="str">
        <f>"66298842553335"</f>
        <v>66298842553335</v>
      </c>
      <c r="D11486" s="1" t="str">
        <f>"CU-MANI-MORADO"</f>
        <v>CU-MANI-MORADO</v>
      </c>
      <c r="E11486" s="1" t="s">
        <v>4579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</row>
    <row r="11487" spans="1:11" x14ac:dyDescent="0.2">
      <c r="A11487" s="1" t="s">
        <v>18</v>
      </c>
      <c r="B11487" s="1" t="s">
        <v>1419</v>
      </c>
      <c r="C11487" s="1" t="str">
        <f>"66298842595410"</f>
        <v>66298842595410</v>
      </c>
      <c r="D11487" s="1" t="str">
        <f>"CU-MANI-NARANJA"</f>
        <v>CU-MANI-NARANJA</v>
      </c>
      <c r="E11487" s="1" t="s">
        <v>4579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</row>
    <row r="11488" spans="1:11" x14ac:dyDescent="0.2">
      <c r="A11488" s="1" t="s">
        <v>18</v>
      </c>
      <c r="B11488" s="1" t="s">
        <v>1420</v>
      </c>
      <c r="C11488" s="1" t="str">
        <f>"66298842636974"</f>
        <v>66298842636974</v>
      </c>
      <c r="D11488" s="1" t="str">
        <f>"R032"</f>
        <v>R032</v>
      </c>
      <c r="E11488" s="1" t="s">
        <v>4579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</row>
    <row r="11489" spans="1:11" x14ac:dyDescent="0.2">
      <c r="A11489" s="1" t="s">
        <v>18</v>
      </c>
      <c r="B11489" s="1" t="s">
        <v>1421</v>
      </c>
      <c r="C11489" s="1" t="str">
        <f>"66298842681437"</f>
        <v>66298842681437</v>
      </c>
      <c r="D11489" s="1" t="str">
        <f>"1267"</f>
        <v>1267</v>
      </c>
      <c r="E11489" s="1" t="s">
        <v>4579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</row>
    <row r="11490" spans="1:11" x14ac:dyDescent="0.2">
      <c r="A11490" s="1" t="s">
        <v>18</v>
      </c>
      <c r="B11490" s="1" t="s">
        <v>1422</v>
      </c>
      <c r="C11490" s="1" t="str">
        <f>"CUBRE-P"</f>
        <v>CUBRE-P</v>
      </c>
      <c r="D11490" s="1" t="str">
        <f>"CUBRE-P"</f>
        <v>CUBRE-P</v>
      </c>
      <c r="E11490" s="1" t="s">
        <v>4579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0</v>
      </c>
    </row>
    <row r="11491" spans="1:11" x14ac:dyDescent="0.2">
      <c r="A11491" s="1" t="s">
        <v>18</v>
      </c>
      <c r="B11491" s="1" t="s">
        <v>1422</v>
      </c>
      <c r="C11491" s="1" t="str">
        <f>"2653"</f>
        <v>2653</v>
      </c>
      <c r="D11491" s="1" t="str">
        <f>"2653"</f>
        <v>2653</v>
      </c>
      <c r="E11491" s="1" t="s">
        <v>4579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</row>
    <row r="11492" spans="1:11" x14ac:dyDescent="0.2">
      <c r="A11492" s="1" t="s">
        <v>18</v>
      </c>
      <c r="B11492" s="1" t="s">
        <v>1423</v>
      </c>
      <c r="C11492" s="1" t="str">
        <f>"66298842725932"</f>
        <v>66298842725932</v>
      </c>
      <c r="D11492" s="1" t="str">
        <f>"R027-VERDE"</f>
        <v>R027-VERDE</v>
      </c>
      <c r="E11492" s="1" t="s">
        <v>4579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</row>
    <row r="11493" spans="1:11" x14ac:dyDescent="0.2">
      <c r="A11493" s="1" t="s">
        <v>18</v>
      </c>
      <c r="B11493" s="1" t="s">
        <v>1423</v>
      </c>
      <c r="C11493" s="1" t="str">
        <f>"66298842731316"</f>
        <v>66298842731316</v>
      </c>
      <c r="D11493" s="1" t="str">
        <f>"R027-AMARILLO"</f>
        <v>R027-AMARILLO</v>
      </c>
      <c r="E11493" s="1" t="s">
        <v>4579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</row>
    <row r="11494" spans="1:11" x14ac:dyDescent="0.2">
      <c r="A11494" s="1" t="s">
        <v>18</v>
      </c>
      <c r="B11494" s="1" t="s">
        <v>1424</v>
      </c>
      <c r="C11494" s="1" t="str">
        <f>"66298842790284"</f>
        <v>66298842790284</v>
      </c>
      <c r="D11494" s="1" t="str">
        <f>"1155"</f>
        <v>1155</v>
      </c>
      <c r="E11494" s="1" t="s">
        <v>4579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</row>
    <row r="11495" spans="1:11" x14ac:dyDescent="0.2">
      <c r="A11495" s="1" t="s">
        <v>1425</v>
      </c>
      <c r="B11495" s="1" t="s">
        <v>1426</v>
      </c>
      <c r="C11495" s="1" t="str">
        <f>"D010"</f>
        <v>D010</v>
      </c>
      <c r="D11495" s="1" t="str">
        <f>"D010"</f>
        <v>D010</v>
      </c>
      <c r="E11495" s="1" t="s">
        <v>4579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</row>
    <row r="11496" spans="1:11" x14ac:dyDescent="0.2">
      <c r="A11496" s="1" t="s">
        <v>1425</v>
      </c>
      <c r="B11496" s="1" t="s">
        <v>1427</v>
      </c>
      <c r="C11496" s="1" t="str">
        <f>"D001-A"</f>
        <v>D001-A</v>
      </c>
      <c r="D11496" s="1" t="str">
        <f>"D001-A"</f>
        <v>D001-A</v>
      </c>
      <c r="E11496" s="1" t="s">
        <v>4579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</row>
    <row r="11497" spans="1:11" x14ac:dyDescent="0.2">
      <c r="A11497" s="1" t="s">
        <v>1425</v>
      </c>
      <c r="B11497" s="1" t="s">
        <v>1428</v>
      </c>
      <c r="C11497" s="1" t="str">
        <f>"D012"</f>
        <v>D012</v>
      </c>
      <c r="D11497" s="1" t="str">
        <f>"D012"</f>
        <v>D012</v>
      </c>
      <c r="E11497" s="1" t="s">
        <v>4579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</row>
    <row r="11498" spans="1:11" ht="30" x14ac:dyDescent="0.2">
      <c r="A11498" s="1" t="s">
        <v>15</v>
      </c>
      <c r="B11498" s="1" t="s">
        <v>1429</v>
      </c>
      <c r="C11498" s="1" t="str">
        <f>"1563"</f>
        <v>1563</v>
      </c>
      <c r="D11498" s="1" t="str">
        <f>"1563"</f>
        <v>1563</v>
      </c>
      <c r="E11498" s="1" t="s">
        <v>4579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</row>
    <row r="11499" spans="1:11" ht="30" x14ac:dyDescent="0.2">
      <c r="A11499" s="1" t="s">
        <v>15</v>
      </c>
      <c r="B11499" s="1" t="s">
        <v>1430</v>
      </c>
      <c r="C11499" s="1" t="str">
        <f>"1561"</f>
        <v>1561</v>
      </c>
      <c r="D11499" s="1" t="str">
        <f>"1561"</f>
        <v>1561</v>
      </c>
      <c r="E11499" s="1" t="s">
        <v>4579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</row>
    <row r="11500" spans="1:11" x14ac:dyDescent="0.2">
      <c r="A11500" s="1" t="s">
        <v>98</v>
      </c>
      <c r="B11500" s="1" t="s">
        <v>1431</v>
      </c>
      <c r="C11500" s="1" t="str">
        <f>"66298842835467"</f>
        <v>66298842835467</v>
      </c>
      <c r="D11500" s="1" t="str">
        <f>"H125"</f>
        <v>H125</v>
      </c>
      <c r="E11500" s="1" t="s">
        <v>4579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</row>
    <row r="11501" spans="1:11" x14ac:dyDescent="0.2">
      <c r="A11501" s="1" t="s">
        <v>1432</v>
      </c>
      <c r="B11501" s="1" t="s">
        <v>1433</v>
      </c>
      <c r="C11501" s="1" t="str">
        <f>"66298842874642"</f>
        <v>66298842874642</v>
      </c>
      <c r="D11501" s="1" t="str">
        <f>"30151076"</f>
        <v>30151076</v>
      </c>
      <c r="E11501" s="1" t="s">
        <v>4579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</row>
    <row r="11502" spans="1:11" ht="30" x14ac:dyDescent="0.2">
      <c r="A11502" s="1" t="s">
        <v>1432</v>
      </c>
      <c r="B11502" s="1" t="s">
        <v>1434</v>
      </c>
      <c r="C11502" s="1" t="str">
        <f>"66298843051257"</f>
        <v>66298843051257</v>
      </c>
      <c r="D11502" s="1" t="str">
        <f>"83155"</f>
        <v>83155</v>
      </c>
      <c r="E11502" s="1" t="s">
        <v>4579</v>
      </c>
      <c r="F11502" s="1">
        <v>1</v>
      </c>
      <c r="G11502" s="1">
        <v>647</v>
      </c>
      <c r="H11502" s="1">
        <v>647</v>
      </c>
      <c r="I11502" s="1">
        <v>0</v>
      </c>
      <c r="J11502" s="1">
        <v>1</v>
      </c>
      <c r="K11502" s="1">
        <v>0</v>
      </c>
    </row>
    <row r="11503" spans="1:11" ht="30" x14ac:dyDescent="0.2">
      <c r="A11503" s="1" t="s">
        <v>1432</v>
      </c>
      <c r="B11503" s="1" t="s">
        <v>1435</v>
      </c>
      <c r="C11503" s="1" t="str">
        <f>"66298843044975"</f>
        <v>66298843044975</v>
      </c>
      <c r="D11503" s="1" t="str">
        <f>"400017"</f>
        <v>400017</v>
      </c>
      <c r="E11503" s="1" t="s">
        <v>4579</v>
      </c>
      <c r="F11503" s="1">
        <v>2</v>
      </c>
      <c r="G11503" s="1">
        <v>634</v>
      </c>
      <c r="H11503" s="1">
        <v>1268</v>
      </c>
      <c r="I11503" s="1">
        <v>0</v>
      </c>
      <c r="J11503" s="1">
        <v>2</v>
      </c>
      <c r="K11503" s="1">
        <v>0</v>
      </c>
    </row>
    <row r="11504" spans="1:11" ht="30" x14ac:dyDescent="0.2">
      <c r="A11504" s="1" t="s">
        <v>1432</v>
      </c>
      <c r="B11504" s="1" t="s">
        <v>1436</v>
      </c>
      <c r="C11504" s="1" t="str">
        <f>"06410-KSP-900JP"</f>
        <v>06410-KSP-900JP</v>
      </c>
      <c r="D11504" s="1" t="str">
        <f>"06410-KSP-900JP"</f>
        <v>06410-KSP-900JP</v>
      </c>
      <c r="E11504" s="1" t="s">
        <v>4579</v>
      </c>
      <c r="F11504" s="1">
        <v>2</v>
      </c>
      <c r="G11504" s="1">
        <v>5280</v>
      </c>
      <c r="H11504" s="1">
        <v>10560</v>
      </c>
      <c r="I11504" s="1">
        <v>0</v>
      </c>
      <c r="J11504" s="1">
        <v>2</v>
      </c>
      <c r="K11504" s="1">
        <v>0</v>
      </c>
    </row>
    <row r="11505" spans="1:11" ht="30" x14ac:dyDescent="0.2">
      <c r="A11505" s="1" t="s">
        <v>1432</v>
      </c>
      <c r="B11505" s="1" t="s">
        <v>1436</v>
      </c>
      <c r="C11505" s="1" t="str">
        <f>"66298843107227"</f>
        <v>66298843107227</v>
      </c>
      <c r="D11505" s="1" t="str">
        <f>"NE009"</f>
        <v>NE009</v>
      </c>
      <c r="E11505" s="1" t="s">
        <v>4579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</row>
    <row r="11506" spans="1:11" ht="30" x14ac:dyDescent="0.2">
      <c r="A11506" s="1" t="s">
        <v>1432</v>
      </c>
      <c r="B11506" s="1" t="s">
        <v>1436</v>
      </c>
      <c r="C11506" s="1" t="str">
        <f>"06410-KTE-910HB"</f>
        <v>06410-KTE-910HB</v>
      </c>
      <c r="D11506" s="1" t="str">
        <f>"06410-KTE-910HB"</f>
        <v>06410-KTE-910HB</v>
      </c>
      <c r="E11506" s="1" t="s">
        <v>4579</v>
      </c>
      <c r="F11506" s="1">
        <v>2</v>
      </c>
      <c r="G11506" s="1">
        <v>5597</v>
      </c>
      <c r="H11506" s="1">
        <v>11194</v>
      </c>
      <c r="I11506" s="1">
        <v>0</v>
      </c>
      <c r="J11506" s="1">
        <v>2</v>
      </c>
      <c r="K11506" s="1">
        <v>0</v>
      </c>
    </row>
    <row r="11507" spans="1:11" x14ac:dyDescent="0.2">
      <c r="A11507" s="1" t="s">
        <v>1432</v>
      </c>
      <c r="B11507" s="1" t="s">
        <v>1437</v>
      </c>
      <c r="C11507" s="1" t="str">
        <f>"B119"</f>
        <v>B119</v>
      </c>
      <c r="D11507" s="1" t="str">
        <f>"B119"</f>
        <v>B119</v>
      </c>
      <c r="E11507" s="1" t="s">
        <v>4579</v>
      </c>
      <c r="F11507" s="1">
        <v>1</v>
      </c>
      <c r="G11507" s="1">
        <v>1320</v>
      </c>
      <c r="H11507" s="1">
        <v>1320</v>
      </c>
      <c r="I11507" s="1">
        <v>0</v>
      </c>
      <c r="J11507" s="1">
        <v>1</v>
      </c>
      <c r="K11507" s="1">
        <v>0</v>
      </c>
    </row>
    <row r="11508" spans="1:11" x14ac:dyDescent="0.2">
      <c r="A11508" s="1" t="s">
        <v>1432</v>
      </c>
      <c r="B11508" s="1" t="s">
        <v>1438</v>
      </c>
      <c r="C11508" s="1" t="str">
        <f>"DAM-CG125"</f>
        <v>DAM-CG125</v>
      </c>
      <c r="D11508" s="1" t="str">
        <f>"DAM-CG125"</f>
        <v>DAM-CG125</v>
      </c>
      <c r="E11508" s="1" t="s">
        <v>4579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</row>
    <row r="11509" spans="1:11" x14ac:dyDescent="0.2">
      <c r="A11509" s="1" t="s">
        <v>1432</v>
      </c>
      <c r="B11509" s="1" t="s">
        <v>1439</v>
      </c>
      <c r="C11509" s="1" t="str">
        <f>"66298843147772"</f>
        <v>66298843147772</v>
      </c>
      <c r="D11509" s="1" t="str">
        <f>"06410-KRF-S00ICH"</f>
        <v>06410-KRF-S00ICH</v>
      </c>
      <c r="E11509" s="1" t="s">
        <v>4579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</row>
    <row r="11510" spans="1:11" x14ac:dyDescent="0.2">
      <c r="A11510" s="1" t="s">
        <v>1432</v>
      </c>
      <c r="B11510" s="1" t="s">
        <v>1440</v>
      </c>
      <c r="C11510" s="1" t="str">
        <f>"66298843192149"</f>
        <v>66298843192149</v>
      </c>
      <c r="D11510" s="1" t="str">
        <f>"400018"</f>
        <v>400018</v>
      </c>
      <c r="E11510" s="1" t="s">
        <v>4579</v>
      </c>
      <c r="F11510" s="1">
        <v>1</v>
      </c>
      <c r="G11510" s="1">
        <v>652</v>
      </c>
      <c r="H11510" s="1">
        <v>652</v>
      </c>
      <c r="I11510" s="1">
        <v>0</v>
      </c>
      <c r="J11510" s="1">
        <v>1</v>
      </c>
      <c r="K11510" s="1">
        <v>0</v>
      </c>
    </row>
    <row r="11511" spans="1:11" x14ac:dyDescent="0.2">
      <c r="A11511" s="1" t="s">
        <v>1432</v>
      </c>
      <c r="B11511" s="1" t="s">
        <v>1441</v>
      </c>
      <c r="C11511" s="1" t="str">
        <f>"2836"</f>
        <v>2836</v>
      </c>
      <c r="D11511" s="1" t="str">
        <f>"2836"</f>
        <v>2836</v>
      </c>
      <c r="E11511" s="1" t="s">
        <v>4579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</row>
    <row r="11512" spans="1:11" x14ac:dyDescent="0.2">
      <c r="A11512" s="1" t="s">
        <v>1432</v>
      </c>
      <c r="B11512" s="1" t="s">
        <v>1442</v>
      </c>
      <c r="C11512" s="1" t="str">
        <f>"C012"</f>
        <v>C012</v>
      </c>
      <c r="D11512" s="1" t="str">
        <f>"C012"</f>
        <v>C012</v>
      </c>
      <c r="E11512" s="1" t="s">
        <v>4579</v>
      </c>
      <c r="F11512" s="1">
        <v>2</v>
      </c>
      <c r="G11512" s="1">
        <v>1050</v>
      </c>
      <c r="H11512" s="1">
        <v>2100</v>
      </c>
      <c r="I11512" s="1">
        <v>0</v>
      </c>
      <c r="J11512" s="1">
        <v>2</v>
      </c>
      <c r="K11512" s="1">
        <v>0</v>
      </c>
    </row>
    <row r="11513" spans="1:11" x14ac:dyDescent="0.2">
      <c r="A11513" s="1" t="s">
        <v>1432</v>
      </c>
      <c r="B11513" s="1" t="s">
        <v>1443</v>
      </c>
      <c r="C11513" s="1" t="str">
        <f>"NE003"</f>
        <v>NE003</v>
      </c>
      <c r="D11513" s="1" t="str">
        <f>"NE003"</f>
        <v>NE003</v>
      </c>
      <c r="E11513" s="1" t="s">
        <v>4579</v>
      </c>
      <c r="F11513" s="1">
        <v>2</v>
      </c>
      <c r="G11513" s="1">
        <v>1620</v>
      </c>
      <c r="H11513" s="1">
        <v>3240</v>
      </c>
      <c r="I11513" s="1">
        <v>0</v>
      </c>
      <c r="J11513" s="1">
        <v>2</v>
      </c>
      <c r="K11513" s="1">
        <v>0</v>
      </c>
    </row>
    <row r="11514" spans="1:11" x14ac:dyDescent="0.2">
      <c r="A11514" s="1" t="s">
        <v>1432</v>
      </c>
      <c r="B11514" s="1" t="s">
        <v>1443</v>
      </c>
      <c r="C11514" s="1" t="str">
        <f>"64651-45F00"</f>
        <v>64651-45F00</v>
      </c>
      <c r="D11514" s="1" t="str">
        <f>"64651-45F00"</f>
        <v>64651-45F00</v>
      </c>
      <c r="E11514" s="1" t="s">
        <v>4579</v>
      </c>
      <c r="F11514" s="1">
        <v>2</v>
      </c>
      <c r="G11514" s="1">
        <v>2401</v>
      </c>
      <c r="H11514" s="1">
        <v>4802</v>
      </c>
      <c r="I11514" s="1">
        <v>0</v>
      </c>
      <c r="J11514" s="1">
        <v>2</v>
      </c>
      <c r="K11514" s="1">
        <v>0</v>
      </c>
    </row>
    <row r="11515" spans="1:11" x14ac:dyDescent="0.2">
      <c r="A11515" s="1" t="s">
        <v>1432</v>
      </c>
      <c r="B11515" s="1" t="s">
        <v>1444</v>
      </c>
      <c r="C11515" s="1" t="str">
        <f>"NE001"</f>
        <v>NE001</v>
      </c>
      <c r="D11515" s="1" t="str">
        <f>"NE001"</f>
        <v>NE001</v>
      </c>
      <c r="E11515" s="1" t="s">
        <v>4579</v>
      </c>
      <c r="F11515" s="1">
        <v>7</v>
      </c>
      <c r="G11515" s="1">
        <v>1720</v>
      </c>
      <c r="H11515" s="1">
        <v>12040</v>
      </c>
      <c r="I11515" s="1">
        <v>0</v>
      </c>
      <c r="J11515" s="1">
        <v>7</v>
      </c>
      <c r="K11515" s="1">
        <v>0</v>
      </c>
    </row>
    <row r="11516" spans="1:11" x14ac:dyDescent="0.2">
      <c r="A11516" s="1" t="s">
        <v>1432</v>
      </c>
      <c r="B11516" s="1" t="s">
        <v>1444</v>
      </c>
      <c r="C11516" s="1" t="str">
        <f>"82444"</f>
        <v>82444</v>
      </c>
      <c r="D11516" s="1" t="str">
        <f>"82444"</f>
        <v>82444</v>
      </c>
      <c r="E11516" s="1" t="s">
        <v>4579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</row>
    <row r="11517" spans="1:11" x14ac:dyDescent="0.2">
      <c r="A11517" s="1" t="s">
        <v>1432</v>
      </c>
      <c r="B11517" s="1" t="s">
        <v>1445</v>
      </c>
      <c r="C11517" s="1" t="str">
        <f>"12881"</f>
        <v>12881</v>
      </c>
      <c r="D11517" s="1" t="str">
        <f>"12881"</f>
        <v>12881</v>
      </c>
      <c r="E11517" s="1" t="s">
        <v>4579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</row>
    <row r="11518" spans="1:11" x14ac:dyDescent="0.2">
      <c r="A11518" s="1" t="s">
        <v>1432</v>
      </c>
      <c r="B11518" s="1" t="s">
        <v>1446</v>
      </c>
      <c r="C11518" s="1" t="str">
        <f>"11704"</f>
        <v>11704</v>
      </c>
      <c r="D11518" s="1" t="str">
        <f>"11704"</f>
        <v>11704</v>
      </c>
      <c r="E11518" s="1" t="s">
        <v>4579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</row>
    <row r="11519" spans="1:11" ht="30" x14ac:dyDescent="0.2">
      <c r="A11519" s="1" t="s">
        <v>1432</v>
      </c>
      <c r="B11519" s="1" t="s">
        <v>1447</v>
      </c>
      <c r="C11519" s="1" t="str">
        <f>"66298843233925"</f>
        <v>66298843233925</v>
      </c>
      <c r="D11519" s="1" t="str">
        <f>"400019"</f>
        <v>400019</v>
      </c>
      <c r="E11519" s="1" t="s">
        <v>4579</v>
      </c>
      <c r="F11519" s="1">
        <v>1</v>
      </c>
      <c r="G11519" s="1">
        <v>601</v>
      </c>
      <c r="H11519" s="1">
        <v>601</v>
      </c>
      <c r="I11519" s="1">
        <v>0</v>
      </c>
      <c r="J11519" s="1">
        <v>1</v>
      </c>
      <c r="K11519" s="1">
        <v>0</v>
      </c>
    </row>
    <row r="11520" spans="1:11" x14ac:dyDescent="0.2">
      <c r="A11520" s="1" t="s">
        <v>1432</v>
      </c>
      <c r="B11520" s="1" t="s">
        <v>1448</v>
      </c>
      <c r="C11520" s="1" t="str">
        <f>"18CC002"</f>
        <v>18CC002</v>
      </c>
      <c r="D11520" s="1" t="str">
        <f>"18CC002"</f>
        <v>18CC002</v>
      </c>
      <c r="E11520" s="1" t="s">
        <v>4579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</row>
    <row r="11521" spans="1:11" x14ac:dyDescent="0.2">
      <c r="A11521" s="1" t="s">
        <v>1432</v>
      </c>
      <c r="B11521" s="1" t="s">
        <v>1449</v>
      </c>
      <c r="C11521" s="1" t="str">
        <f>"66298843276252"</f>
        <v>66298843276252</v>
      </c>
      <c r="D11521" s="1" t="str">
        <f>"82327"</f>
        <v>82327</v>
      </c>
      <c r="E11521" s="1" t="s">
        <v>4579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</row>
    <row r="11522" spans="1:11" x14ac:dyDescent="0.2">
      <c r="A11522" s="1" t="s">
        <v>1432</v>
      </c>
      <c r="B11522" s="1" t="s">
        <v>1450</v>
      </c>
      <c r="C11522" s="1" t="str">
        <f>"66298843320234"</f>
        <v>66298843320234</v>
      </c>
      <c r="D11522" s="1" t="str">
        <f>"400016"</f>
        <v>400016</v>
      </c>
      <c r="E11522" s="1" t="s">
        <v>4579</v>
      </c>
      <c r="F11522" s="1">
        <v>2</v>
      </c>
      <c r="G11522" s="1">
        <v>812</v>
      </c>
      <c r="H11522" s="1">
        <v>1624</v>
      </c>
      <c r="I11522" s="1">
        <v>0</v>
      </c>
      <c r="J11522" s="1">
        <v>2</v>
      </c>
      <c r="K11522" s="1">
        <v>0</v>
      </c>
    </row>
    <row r="11523" spans="1:11" x14ac:dyDescent="0.2">
      <c r="A11523" s="1" t="s">
        <v>1432</v>
      </c>
      <c r="B11523" s="1" t="s">
        <v>1451</v>
      </c>
      <c r="C11523" s="1" t="str">
        <f>"NE002"</f>
        <v>NE002</v>
      </c>
      <c r="D11523" s="1" t="str">
        <f>"NE002"</f>
        <v>NE002</v>
      </c>
      <c r="E11523" s="1" t="s">
        <v>4579</v>
      </c>
      <c r="F11523" s="1">
        <v>3</v>
      </c>
      <c r="G11523" s="1">
        <v>1780</v>
      </c>
      <c r="H11523" s="1">
        <v>5340</v>
      </c>
      <c r="I11523" s="1">
        <v>0</v>
      </c>
      <c r="J11523" s="1">
        <v>3</v>
      </c>
      <c r="K11523" s="1">
        <v>0</v>
      </c>
    </row>
    <row r="11524" spans="1:11" x14ac:dyDescent="0.2">
      <c r="A11524" s="1" t="s">
        <v>1432</v>
      </c>
      <c r="B11524" s="1" t="s">
        <v>1452</v>
      </c>
      <c r="C11524" s="1" t="str">
        <f>"66298842913216"</f>
        <v>66298842913216</v>
      </c>
      <c r="D11524" s="1" t="str">
        <f>"64651H2C000H000"</f>
        <v>64651H2C000H000</v>
      </c>
      <c r="E11524" s="1" t="s">
        <v>4579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</row>
    <row r="11525" spans="1:11" x14ac:dyDescent="0.2">
      <c r="A11525" s="1" t="s">
        <v>1432</v>
      </c>
      <c r="B11525" s="1" t="s">
        <v>1453</v>
      </c>
      <c r="C11525" s="1" t="str">
        <f>"66298842954620"</f>
        <v>66298842954620</v>
      </c>
      <c r="D11525" s="1" t="str">
        <f>"41241-307-010"</f>
        <v>41241-307-010</v>
      </c>
      <c r="E11525" s="1" t="s">
        <v>4579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</row>
    <row r="11526" spans="1:11" x14ac:dyDescent="0.2">
      <c r="A11526" s="1" t="s">
        <v>1454</v>
      </c>
      <c r="B11526" s="1" t="s">
        <v>1455</v>
      </c>
      <c r="C11526" s="1" t="str">
        <f>"66298843359182"</f>
        <v>66298843359182</v>
      </c>
      <c r="D11526" s="1" t="str">
        <f>"R030-AZUL"</f>
        <v>R030-AZUL</v>
      </c>
      <c r="E11526" s="1" t="s">
        <v>4579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</row>
    <row r="11527" spans="1:11" x14ac:dyDescent="0.2">
      <c r="A11527" s="1" t="s">
        <v>1454</v>
      </c>
      <c r="B11527" s="1" t="s">
        <v>1456</v>
      </c>
      <c r="C11527" s="1" t="str">
        <f>"66298843401870"</f>
        <v>66298843401870</v>
      </c>
      <c r="D11527" s="1" t="str">
        <f>"R030-NEGRO"</f>
        <v>R030-NEGRO</v>
      </c>
      <c r="E11527" s="1" t="s">
        <v>4579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</row>
    <row r="11528" spans="1:11" x14ac:dyDescent="0.2">
      <c r="A11528" s="1" t="s">
        <v>1454</v>
      </c>
      <c r="B11528" s="1" t="s">
        <v>1457</v>
      </c>
      <c r="C11528" s="1" t="str">
        <f>"66298843445263"</f>
        <v>66298843445263</v>
      </c>
      <c r="D11528" s="1" t="str">
        <f>"R030-ROJO"</f>
        <v>R030-ROJO</v>
      </c>
      <c r="E11528" s="1" t="s">
        <v>4579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</row>
    <row r="11529" spans="1:11" x14ac:dyDescent="0.2">
      <c r="A11529" s="1" t="s">
        <v>1454</v>
      </c>
      <c r="B11529" s="1" t="s">
        <v>1458</v>
      </c>
      <c r="C11529" s="1" t="str">
        <f>"66298843487229"</f>
        <v>66298843487229</v>
      </c>
      <c r="D11529" s="1" t="str">
        <f>"Q026"</f>
        <v>Q026</v>
      </c>
      <c r="E11529" s="1" t="s">
        <v>4579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</row>
    <row r="11530" spans="1:11" x14ac:dyDescent="0.2">
      <c r="A11530" s="1" t="s">
        <v>98</v>
      </c>
      <c r="B11530" s="1" t="s">
        <v>1459</v>
      </c>
      <c r="C11530" s="1" t="str">
        <f>"NE011"</f>
        <v>NE011</v>
      </c>
      <c r="D11530" s="1" t="str">
        <f>"NE011"</f>
        <v>NE011</v>
      </c>
      <c r="E11530" s="1" t="s">
        <v>4579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</row>
    <row r="11531" spans="1:11" x14ac:dyDescent="0.2">
      <c r="A11531" s="1" t="s">
        <v>98</v>
      </c>
      <c r="B11531" s="1" t="s">
        <v>1460</v>
      </c>
      <c r="C11531" s="1" t="str">
        <f>"66298843531660"</f>
        <v>66298843531660</v>
      </c>
      <c r="D11531" s="1" t="str">
        <f>"NE005"</f>
        <v>NE005</v>
      </c>
      <c r="E11531" s="1" t="s">
        <v>4579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</row>
    <row r="11532" spans="1:11" x14ac:dyDescent="0.2">
      <c r="A11532" s="1" t="s">
        <v>1461</v>
      </c>
      <c r="B11532" s="1" t="s">
        <v>1462</v>
      </c>
      <c r="C11532" s="1" t="str">
        <f>"53004J110000"</f>
        <v>53004J110000</v>
      </c>
      <c r="D11532" s="1" t="str">
        <f>"53004J110000"</f>
        <v>53004J110000</v>
      </c>
      <c r="E11532" s="1" t="s">
        <v>4579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</row>
    <row r="11533" spans="1:11" x14ac:dyDescent="0.2">
      <c r="A11533" s="1" t="s">
        <v>98</v>
      </c>
      <c r="B11533" s="1" t="s">
        <v>1463</v>
      </c>
      <c r="C11533" s="1" t="str">
        <f>"66298843575103"</f>
        <v>66298843575103</v>
      </c>
      <c r="D11533" s="1" t="str">
        <f>"JC057-VERDE"</f>
        <v>JC057-VERDE</v>
      </c>
      <c r="E11533" s="1" t="s">
        <v>4579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</row>
    <row r="11534" spans="1:11" x14ac:dyDescent="0.2">
      <c r="A11534" s="1" t="s">
        <v>98</v>
      </c>
      <c r="B11534" s="1" t="s">
        <v>1464</v>
      </c>
      <c r="C11534" s="1" t="str">
        <f>"66298843618173"</f>
        <v>66298843618173</v>
      </c>
      <c r="D11534" s="1" t="str">
        <f>"400795"</f>
        <v>400795</v>
      </c>
      <c r="E11534" s="1" t="s">
        <v>4579</v>
      </c>
      <c r="F11534" s="1">
        <v>2</v>
      </c>
      <c r="G11534" s="1">
        <v>1029</v>
      </c>
      <c r="H11534" s="1">
        <v>2058</v>
      </c>
      <c r="I11534" s="1">
        <v>0</v>
      </c>
      <c r="J11534" s="1">
        <v>2</v>
      </c>
      <c r="K11534" s="1">
        <v>0</v>
      </c>
    </row>
    <row r="11535" spans="1:11" x14ac:dyDescent="0.2">
      <c r="A11535" s="1" t="s">
        <v>1465</v>
      </c>
      <c r="B11535" s="1" t="s">
        <v>1466</v>
      </c>
      <c r="C11535" s="1" t="str">
        <f>"H104"</f>
        <v>H104</v>
      </c>
      <c r="D11535" s="1" t="str">
        <f>"H104"</f>
        <v>H104</v>
      </c>
      <c r="E11535" s="1" t="s">
        <v>4579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</row>
    <row r="11536" spans="1:11" x14ac:dyDescent="0.2">
      <c r="A11536" s="1" t="s">
        <v>102</v>
      </c>
      <c r="B11536" s="1" t="s">
        <v>1467</v>
      </c>
      <c r="C11536" s="1" t="str">
        <f>"66298843659694"</f>
        <v>66298843659694</v>
      </c>
      <c r="D11536" s="1" t="str">
        <f>"H010"</f>
        <v>H010</v>
      </c>
      <c r="E11536" s="1" t="s">
        <v>4579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</row>
    <row r="11537" spans="1:11" x14ac:dyDescent="0.2">
      <c r="A11537" s="1" t="s">
        <v>1468</v>
      </c>
      <c r="B11537" s="1" t="s">
        <v>1469</v>
      </c>
      <c r="C11537" s="1" t="str">
        <f>"66298843699745"</f>
        <v>66298843699745</v>
      </c>
      <c r="D11537" s="1" t="str">
        <f>"537-16321-00"</f>
        <v>537-16321-00</v>
      </c>
      <c r="E11537" s="1" t="s">
        <v>4579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</row>
    <row r="11538" spans="1:11" x14ac:dyDescent="0.2">
      <c r="A11538" s="1" t="s">
        <v>1468</v>
      </c>
      <c r="B11538" s="1" t="s">
        <v>1470</v>
      </c>
      <c r="C11538" s="1" t="str">
        <f>"66298843739955"</f>
        <v>66298843739955</v>
      </c>
      <c r="D11538" s="1" t="str">
        <f>"22201-KWS-901JP"</f>
        <v>22201-KWS-901JP</v>
      </c>
      <c r="E11538" s="1" t="s">
        <v>4579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</row>
    <row r="11539" spans="1:11" x14ac:dyDescent="0.2">
      <c r="A11539" s="1" t="s">
        <v>1468</v>
      </c>
      <c r="B11539" s="1" t="s">
        <v>1471</v>
      </c>
      <c r="C11539" s="1" t="str">
        <f>"22201-KPM-850JP"</f>
        <v>22201-KPM-850JP</v>
      </c>
      <c r="D11539" s="1" t="str">
        <f>"22201-KPM-850JP"</f>
        <v>22201-KPM-850JP</v>
      </c>
      <c r="E11539" s="1" t="s">
        <v>4579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</row>
    <row r="11540" spans="1:11" x14ac:dyDescent="0.2">
      <c r="A11540" s="1" t="s">
        <v>1468</v>
      </c>
      <c r="B11540" s="1" t="s">
        <v>1472</v>
      </c>
      <c r="C11540" s="1" t="str">
        <f>"66298843781215"</f>
        <v>66298843781215</v>
      </c>
      <c r="D11540" s="1" t="str">
        <f>"21V-16321-00JP"</f>
        <v>21V-16321-00JP</v>
      </c>
      <c r="E11540" s="1" t="s">
        <v>4579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</row>
    <row r="11541" spans="1:11" x14ac:dyDescent="0.2">
      <c r="A11541" s="1" t="s">
        <v>1468</v>
      </c>
      <c r="B11541" s="1" t="s">
        <v>1473</v>
      </c>
      <c r="C11541" s="1" t="str">
        <f>"66298843822934"</f>
        <v>66298843822934</v>
      </c>
      <c r="D11541" s="1" t="str">
        <f>"21C-E6321-00"</f>
        <v>21C-E6321-00</v>
      </c>
      <c r="E11541" s="1" t="s">
        <v>4579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</row>
    <row r="11542" spans="1:11" x14ac:dyDescent="0.2">
      <c r="A11542" s="1" t="s">
        <v>1468</v>
      </c>
      <c r="B11542" s="1" t="s">
        <v>1474</v>
      </c>
      <c r="C11542" s="1" t="str">
        <f>"66298843874765"</f>
        <v>66298843874765</v>
      </c>
      <c r="D11542" s="1" t="str">
        <f>"CD001"</f>
        <v>CD001</v>
      </c>
      <c r="E11542" s="1" t="s">
        <v>4579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</row>
    <row r="11543" spans="1:11" x14ac:dyDescent="0.2">
      <c r="A11543" s="1" t="s">
        <v>1468</v>
      </c>
      <c r="B11543" s="1" t="s">
        <v>1475</v>
      </c>
      <c r="C11543" s="1" t="str">
        <f>"66298843916781"</f>
        <v>66298843916781</v>
      </c>
      <c r="D11543" s="1" t="str">
        <f>"21441-13A01JP"</f>
        <v>21441-13A01JP</v>
      </c>
      <c r="E11543" s="1" t="s">
        <v>4579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</row>
    <row r="11544" spans="1:11" x14ac:dyDescent="0.2">
      <c r="A11544" s="1" t="s">
        <v>1468</v>
      </c>
      <c r="B11544" s="1" t="s">
        <v>1476</v>
      </c>
      <c r="C11544" s="1" t="str">
        <f>"13088-040JP"</f>
        <v>13088-040JP</v>
      </c>
      <c r="D11544" s="1" t="str">
        <f>"13088-040JP"</f>
        <v>13088-040JP</v>
      </c>
      <c r="E11544" s="1" t="s">
        <v>4579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</row>
    <row r="11545" spans="1:11" x14ac:dyDescent="0.2">
      <c r="A11545" s="1" t="s">
        <v>1468</v>
      </c>
      <c r="B11545" s="1" t="s">
        <v>1477</v>
      </c>
      <c r="C11545" s="1" t="str">
        <f>"66298843960464"</f>
        <v>66298843960464</v>
      </c>
      <c r="D11545" s="1" t="str">
        <f>"DH-1014-99"</f>
        <v>DH-1014-99</v>
      </c>
      <c r="E11545" s="1" t="s">
        <v>4579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</row>
    <row r="11546" spans="1:11" x14ac:dyDescent="0.2">
      <c r="A11546" s="1" t="s">
        <v>1468</v>
      </c>
      <c r="B11546" s="1" t="s">
        <v>1478</v>
      </c>
      <c r="C11546" s="1" t="str">
        <f>"66298844002791"</f>
        <v>66298844002791</v>
      </c>
      <c r="D11546" s="1" t="str">
        <f>"22201-MAE-000"</f>
        <v>22201-MAE-000</v>
      </c>
      <c r="E11546" s="1" t="s">
        <v>4579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</row>
    <row r="11547" spans="1:11" x14ac:dyDescent="0.2">
      <c r="A11547" s="1" t="s">
        <v>1468</v>
      </c>
      <c r="B11547" s="1" t="s">
        <v>1479</v>
      </c>
      <c r="C11547" s="1" t="str">
        <f>"66298844055158"</f>
        <v>66298844055158</v>
      </c>
      <c r="D11547" s="1" t="str">
        <f>"22201-302-000"</f>
        <v>22201-302-000</v>
      </c>
      <c r="E11547" s="1" t="s">
        <v>4579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</row>
    <row r="11548" spans="1:11" x14ac:dyDescent="0.2">
      <c r="A11548" s="1" t="s">
        <v>1480</v>
      </c>
      <c r="B11548" s="1" t="s">
        <v>1481</v>
      </c>
      <c r="C11548" s="1" t="str">
        <f>"66298844101542"</f>
        <v>66298844101542</v>
      </c>
      <c r="D11548" s="1" t="str">
        <f>"45121-LGB5-E80JP"</f>
        <v>45121-LGB5-E80JP</v>
      </c>
      <c r="E11548" s="1" t="s">
        <v>4579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</row>
    <row r="11549" spans="1:11" x14ac:dyDescent="0.2">
      <c r="A11549" s="1" t="s">
        <v>1480</v>
      </c>
      <c r="B11549" s="1" t="s">
        <v>1482</v>
      </c>
      <c r="C11549" s="1" t="str">
        <f>"66298844149237"</f>
        <v>66298844149237</v>
      </c>
      <c r="D11549" s="1" t="str">
        <f>"XN-12000-000JP"</f>
        <v>XN-12000-000JP</v>
      </c>
      <c r="E11549" s="1" t="s">
        <v>4579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</row>
    <row r="11550" spans="1:11" x14ac:dyDescent="0.2">
      <c r="A11550" s="1" t="s">
        <v>1480</v>
      </c>
      <c r="B11550" s="1" t="s">
        <v>1483</v>
      </c>
      <c r="C11550" s="1" t="str">
        <f>"66298844202134"</f>
        <v>66298844202134</v>
      </c>
      <c r="D11550" s="1" t="str">
        <f>"XM-12000-000"</f>
        <v>XM-12000-000</v>
      </c>
      <c r="E11550" s="1" t="s">
        <v>4579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</row>
    <row r="11551" spans="1:11" x14ac:dyDescent="0.2">
      <c r="A11551" s="1" t="s">
        <v>1480</v>
      </c>
      <c r="B11551" s="1" t="s">
        <v>1484</v>
      </c>
      <c r="C11551" s="1" t="str">
        <f>"66298844353852"</f>
        <v>66298844353852</v>
      </c>
      <c r="D11551" s="1" t="str">
        <f>"PP-12000-000JP"</f>
        <v>PP-12000-000JP</v>
      </c>
      <c r="E11551" s="1" t="s">
        <v>4579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</row>
    <row r="11552" spans="1:11" x14ac:dyDescent="0.2">
      <c r="A11552" s="1" t="s">
        <v>1480</v>
      </c>
      <c r="B11552" s="1" t="s">
        <v>1485</v>
      </c>
      <c r="C11552" s="1" t="str">
        <f>"2395"</f>
        <v>2395</v>
      </c>
      <c r="D11552" s="1" t="str">
        <f>"2395"</f>
        <v>2395</v>
      </c>
      <c r="E11552" s="1" t="s">
        <v>4579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</row>
    <row r="11553" spans="1:11" ht="30" x14ac:dyDescent="0.2">
      <c r="A11553" s="1" t="s">
        <v>1480</v>
      </c>
      <c r="B11553" s="1" t="s">
        <v>1486</v>
      </c>
      <c r="C11553" s="1" t="str">
        <f>"66298844535747"</f>
        <v>66298844535747</v>
      </c>
      <c r="D11553" s="1" t="str">
        <f>"JW-1318-06"</f>
        <v>JW-1318-06</v>
      </c>
      <c r="E11553" s="1" t="s">
        <v>4579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</row>
    <row r="11554" spans="1:11" x14ac:dyDescent="0.2">
      <c r="A11554" s="1" t="s">
        <v>1480</v>
      </c>
      <c r="B11554" s="1" t="s">
        <v>1487</v>
      </c>
      <c r="C11554" s="1" t="str">
        <f>"5S9-F582U-00JP"</f>
        <v>5S9-F582U-00JP</v>
      </c>
      <c r="D11554" s="1" t="str">
        <f>"5S9-F582U-00JP"</f>
        <v>5S9-F582U-00JP</v>
      </c>
      <c r="E11554" s="1" t="s">
        <v>4579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</row>
    <row r="11555" spans="1:11" ht="30" x14ac:dyDescent="0.2">
      <c r="A11555" s="1" t="s">
        <v>1480</v>
      </c>
      <c r="B11555" s="1" t="s">
        <v>1488</v>
      </c>
      <c r="C11555" s="1" t="str">
        <f>"NA047"</f>
        <v>NA047</v>
      </c>
      <c r="D11555" s="1" t="str">
        <f>"NA047"</f>
        <v>NA047</v>
      </c>
      <c r="E11555" s="1" t="s">
        <v>4579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</row>
    <row r="11556" spans="1:11" x14ac:dyDescent="0.2">
      <c r="A11556" s="1" t="s">
        <v>1480</v>
      </c>
      <c r="B11556" s="1" t="s">
        <v>1489</v>
      </c>
      <c r="C11556" s="1" t="str">
        <f>"66298844396713"</f>
        <v>66298844396713</v>
      </c>
      <c r="D11556" s="1" t="str">
        <f>"45251-K43-901JP"</f>
        <v>45251-K43-901JP</v>
      </c>
      <c r="E11556" s="1" t="s">
        <v>4579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</row>
    <row r="11557" spans="1:11" x14ac:dyDescent="0.2">
      <c r="A11557" s="1" t="s">
        <v>1480</v>
      </c>
      <c r="B11557" s="1" t="s">
        <v>1490</v>
      </c>
      <c r="C11557" s="1" t="str">
        <f>"2950"</f>
        <v>2950</v>
      </c>
      <c r="D11557" s="1" t="str">
        <f>"2950"</f>
        <v>2950</v>
      </c>
      <c r="E11557" s="1" t="s">
        <v>4579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</row>
    <row r="11558" spans="1:11" x14ac:dyDescent="0.2">
      <c r="A11558" s="1" t="s">
        <v>1480</v>
      </c>
      <c r="B11558" s="1" t="s">
        <v>1491</v>
      </c>
      <c r="C11558" s="1" t="str">
        <f>"66298844442947"</f>
        <v>66298844442947</v>
      </c>
      <c r="D11558" s="1" t="str">
        <f>"45251-K70-601JP"</f>
        <v>45251-K70-601JP</v>
      </c>
      <c r="E11558" s="1" t="s">
        <v>4579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</row>
    <row r="11559" spans="1:11" ht="30" x14ac:dyDescent="0.2">
      <c r="A11559" s="1" t="s">
        <v>1480</v>
      </c>
      <c r="B11559" s="1" t="s">
        <v>1492</v>
      </c>
      <c r="C11559" s="1" t="str">
        <f>"45251-KSP-861JP"</f>
        <v>45251-KSP-861JP</v>
      </c>
      <c r="D11559" s="1" t="str">
        <f>"45251-KSP-861JP"</f>
        <v>45251-KSP-861JP</v>
      </c>
      <c r="E11559" s="1" t="s">
        <v>4579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</row>
    <row r="11560" spans="1:11" x14ac:dyDescent="0.2">
      <c r="A11560" s="1" t="s">
        <v>1480</v>
      </c>
      <c r="B11560" s="1" t="s">
        <v>1493</v>
      </c>
      <c r="C11560" s="1" t="str">
        <f>"66298844486648"</f>
        <v>66298844486648</v>
      </c>
      <c r="D11560" s="1" t="str">
        <f>"45120-KYJ-711JP"</f>
        <v>45120-KYJ-711JP</v>
      </c>
      <c r="E11560" s="1" t="s">
        <v>4579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</row>
    <row r="11561" spans="1:11" x14ac:dyDescent="0.2">
      <c r="A11561" s="1" t="s">
        <v>1480</v>
      </c>
      <c r="B11561" s="1" t="s">
        <v>1494</v>
      </c>
      <c r="C11561" s="1" t="str">
        <f>"66298844581629"</f>
        <v>66298844581629</v>
      </c>
      <c r="D11561" s="1" t="str">
        <f>"59221-13A01JP"</f>
        <v>59221-13A01JP</v>
      </c>
      <c r="E11561" s="1" t="s">
        <v>4579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</row>
    <row r="11562" spans="1:11" x14ac:dyDescent="0.2">
      <c r="A11562" s="1" t="s">
        <v>1480</v>
      </c>
      <c r="B11562" s="1" t="s">
        <v>1495</v>
      </c>
      <c r="C11562" s="1" t="str">
        <f>"66298844624475"</f>
        <v>66298844624475</v>
      </c>
      <c r="D11562" s="1" t="str">
        <f>"59220-32E00JP"</f>
        <v>59220-32E00JP</v>
      </c>
      <c r="E11562" s="1" t="s">
        <v>4579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</row>
    <row r="11563" spans="1:11" x14ac:dyDescent="0.2">
      <c r="A11563" s="1" t="s">
        <v>1480</v>
      </c>
      <c r="B11563" s="1" t="s">
        <v>1496</v>
      </c>
      <c r="C11563" s="1" t="str">
        <f>"66298844662074"</f>
        <v>66298844662074</v>
      </c>
      <c r="D11563" s="1" t="str">
        <f>"B06080001"</f>
        <v>B06080001</v>
      </c>
      <c r="E11563" s="1" t="s">
        <v>4579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</row>
    <row r="11564" spans="1:11" x14ac:dyDescent="0.2">
      <c r="A11564" s="1" t="s">
        <v>1480</v>
      </c>
      <c r="B11564" s="1" t="s">
        <v>1497</v>
      </c>
      <c r="C11564" s="1" t="str">
        <f>"66298844700789"</f>
        <v>66298844700789</v>
      </c>
      <c r="D11564" s="1" t="str">
        <f>"90109060000"</f>
        <v>90109060000</v>
      </c>
      <c r="E11564" s="1" t="s">
        <v>4579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</row>
    <row r="11565" spans="1:11" x14ac:dyDescent="0.2">
      <c r="A11565" s="1" t="s">
        <v>1480</v>
      </c>
      <c r="B11565" s="1" t="s">
        <v>1498</v>
      </c>
      <c r="C11565" s="1" t="str">
        <f>"66298844742649"</f>
        <v>66298844742649</v>
      </c>
      <c r="D11565" s="1" t="str">
        <f>"NA002"</f>
        <v>NA002</v>
      </c>
      <c r="E11565" s="1" t="s">
        <v>4579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</row>
    <row r="11566" spans="1:11" x14ac:dyDescent="0.2">
      <c r="A11566" s="1" t="s">
        <v>1480</v>
      </c>
      <c r="B11566" s="1" t="s">
        <v>1499</v>
      </c>
      <c r="C11566" s="1" t="str">
        <f>"21C-F582U-00JP"</f>
        <v>21C-F582U-00JP</v>
      </c>
      <c r="D11566" s="1" t="str">
        <f>"21C-F582U-00JP"</f>
        <v>21C-F582U-00JP</v>
      </c>
      <c r="E11566" s="1" t="s">
        <v>4579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</row>
    <row r="11567" spans="1:11" x14ac:dyDescent="0.2">
      <c r="A11567" s="1" t="s">
        <v>1480</v>
      </c>
      <c r="B11567" s="1" t="s">
        <v>1500</v>
      </c>
      <c r="C11567" s="1" t="str">
        <f>"66298844782407"</f>
        <v>66298844782407</v>
      </c>
      <c r="D11567" s="1" t="str">
        <f>"400520"</f>
        <v>400520</v>
      </c>
      <c r="E11567" s="1" t="s">
        <v>4579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</row>
    <row r="11568" spans="1:11" x14ac:dyDescent="0.2">
      <c r="A11568" s="1" t="s">
        <v>1480</v>
      </c>
      <c r="B11568" s="1" t="s">
        <v>1501</v>
      </c>
      <c r="C11568" s="1" t="str">
        <f>"66298844823320"</f>
        <v>66298844823320</v>
      </c>
      <c r="D11568" s="1" t="str">
        <f>"85023"</f>
        <v>85023</v>
      </c>
      <c r="E11568" s="1" t="s">
        <v>4579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</row>
    <row r="11569" spans="1:11" x14ac:dyDescent="0.2">
      <c r="A11569" s="1" t="s">
        <v>1480</v>
      </c>
      <c r="B11569" s="1" t="s">
        <v>1502</v>
      </c>
      <c r="C11569" s="1" t="str">
        <f>"B20501528O"</f>
        <v>B20501528O</v>
      </c>
      <c r="D11569" s="1" t="str">
        <f>"B20501528O"</f>
        <v>B20501528O</v>
      </c>
      <c r="E11569" s="1" t="s">
        <v>4579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</row>
    <row r="11570" spans="1:11" x14ac:dyDescent="0.2">
      <c r="A11570" s="1" t="s">
        <v>1480</v>
      </c>
      <c r="B11570" s="1" t="s">
        <v>1502</v>
      </c>
      <c r="C11570" s="1" t="str">
        <f>"12187"</f>
        <v>12187</v>
      </c>
      <c r="D11570" s="1" t="str">
        <f>"12187"</f>
        <v>12187</v>
      </c>
      <c r="E11570" s="1" t="s">
        <v>4579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</row>
    <row r="11571" spans="1:11" x14ac:dyDescent="0.2">
      <c r="A11571" s="1" t="s">
        <v>1480</v>
      </c>
      <c r="B11571" s="1" t="s">
        <v>1503</v>
      </c>
      <c r="C11571" s="1" t="str">
        <f>"59211-34J20-000"</f>
        <v>59211-34J20-000</v>
      </c>
      <c r="D11571" s="1" t="str">
        <f>"59211-34J20-000"</f>
        <v>59211-34J20-000</v>
      </c>
      <c r="E11571" s="1" t="s">
        <v>4579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</row>
    <row r="11572" spans="1:11" x14ac:dyDescent="0.2">
      <c r="A11572" s="1" t="s">
        <v>1480</v>
      </c>
      <c r="B11572" s="1" t="s">
        <v>1504</v>
      </c>
      <c r="C11572" s="1" t="str">
        <f>"66298844865149"</f>
        <v>66298844865149</v>
      </c>
      <c r="D11572" s="1" t="str">
        <f>"NA003"</f>
        <v>NA003</v>
      </c>
      <c r="E11572" s="1" t="s">
        <v>4579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</row>
    <row r="11573" spans="1:11" x14ac:dyDescent="0.2">
      <c r="A11573" s="1" t="s">
        <v>1480</v>
      </c>
      <c r="B11573" s="1" t="s">
        <v>1505</v>
      </c>
      <c r="C11573" s="1" t="str">
        <f>"66298844909234"</f>
        <v>66298844909234</v>
      </c>
      <c r="D11573" s="1" t="str">
        <f>"59211-05500JP"</f>
        <v>59211-05500JP</v>
      </c>
      <c r="E11573" s="1" t="s">
        <v>4579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</row>
    <row r="11574" spans="1:11" x14ac:dyDescent="0.2">
      <c r="A11574" s="1" t="s">
        <v>1480</v>
      </c>
      <c r="B11574" s="1" t="s">
        <v>1505</v>
      </c>
      <c r="C11574" s="1" t="str">
        <f>"66298844914847"</f>
        <v>66298844914847</v>
      </c>
      <c r="D11574" s="1" t="str">
        <f>"EVO-12000-000JP"</f>
        <v>EVO-12000-000JP</v>
      </c>
      <c r="E11574" s="1" t="s">
        <v>4579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</row>
    <row r="11575" spans="1:11" ht="30" x14ac:dyDescent="0.2">
      <c r="A11575" s="1" t="s">
        <v>1480</v>
      </c>
      <c r="B11575" s="1" t="s">
        <v>1506</v>
      </c>
      <c r="C11575" s="1" t="str">
        <f>"66298844968472"</f>
        <v>66298844968472</v>
      </c>
      <c r="D11575" s="1" t="str">
        <f>"400523"</f>
        <v>400523</v>
      </c>
      <c r="E11575" s="1" t="s">
        <v>4579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</row>
    <row r="11576" spans="1:11" x14ac:dyDescent="0.2">
      <c r="A11576" s="1" t="s">
        <v>1480</v>
      </c>
      <c r="B11576" s="1" t="s">
        <v>1507</v>
      </c>
      <c r="C11576" s="1" t="str">
        <f>"66298845007697"</f>
        <v>66298845007697</v>
      </c>
      <c r="D11576" s="1" t="str">
        <f>"400554"</f>
        <v>400554</v>
      </c>
      <c r="E11576" s="1" t="s">
        <v>4579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</row>
    <row r="11577" spans="1:11" x14ac:dyDescent="0.2">
      <c r="A11577" s="1" t="s">
        <v>1480</v>
      </c>
      <c r="B11577" s="1" t="s">
        <v>1508</v>
      </c>
      <c r="C11577" s="1" t="str">
        <f>"66298845049938"</f>
        <v>66298845049938</v>
      </c>
      <c r="D11577" s="1" t="str">
        <f>"E200"</f>
        <v>E200</v>
      </c>
      <c r="E11577" s="1" t="s">
        <v>4579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</row>
    <row r="11578" spans="1:11" x14ac:dyDescent="0.2">
      <c r="A11578" s="1" t="s">
        <v>1480</v>
      </c>
      <c r="B11578" s="1" t="s">
        <v>1509</v>
      </c>
      <c r="C11578" s="1" t="str">
        <f>"66298845091496"</f>
        <v>66298845091496</v>
      </c>
      <c r="D11578" s="1" t="str">
        <f>"NE-12000-000JP"</f>
        <v>NE-12000-000JP</v>
      </c>
      <c r="E11578" s="1" t="s">
        <v>4579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</row>
    <row r="11579" spans="1:11" x14ac:dyDescent="0.2">
      <c r="A11579" s="1" t="s">
        <v>1480</v>
      </c>
      <c r="B11579" s="1" t="s">
        <v>1510</v>
      </c>
      <c r="C11579" s="1" t="str">
        <f>"59211H2C000H504"</f>
        <v>59211H2C000H504</v>
      </c>
      <c r="D11579" s="1" t="str">
        <f>"59211H2C000H504"</f>
        <v>59211H2C000H504</v>
      </c>
      <c r="E11579" s="1" t="s">
        <v>4579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</row>
    <row r="11580" spans="1:11" x14ac:dyDescent="0.2">
      <c r="A11580" s="1" t="s">
        <v>1480</v>
      </c>
      <c r="B11580" s="1" t="s">
        <v>1511</v>
      </c>
      <c r="C11580" s="1" t="str">
        <f>"66298844312197"</f>
        <v>66298844312197</v>
      </c>
      <c r="D11580" s="1" t="str">
        <f>"291420165-0001JP"</f>
        <v>291420165-0001JP</v>
      </c>
      <c r="E11580" s="1" t="s">
        <v>4579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</row>
    <row r="11581" spans="1:11" x14ac:dyDescent="0.2">
      <c r="A11581" s="1" t="s">
        <v>1480</v>
      </c>
      <c r="B11581" s="1" t="s">
        <v>1512</v>
      </c>
      <c r="C11581" s="1" t="str">
        <f>"66298844266518"</f>
        <v>66298844266518</v>
      </c>
      <c r="D11581" s="1" t="str">
        <f>"SM-12000-000"</f>
        <v>SM-12000-000</v>
      </c>
      <c r="E11581" s="1" t="s">
        <v>4579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</row>
    <row r="11582" spans="1:11" ht="30" x14ac:dyDescent="0.2">
      <c r="A11582" s="1" t="s">
        <v>1480</v>
      </c>
      <c r="B11582" s="1" t="s">
        <v>1513</v>
      </c>
      <c r="C11582" s="1" t="str">
        <f>"66298845395898"</f>
        <v>66298845395898</v>
      </c>
      <c r="D11582" s="1" t="str">
        <f>"N9111890"</f>
        <v>N9111890</v>
      </c>
      <c r="E11582" s="1" t="s">
        <v>4579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</row>
    <row r="11583" spans="1:11" x14ac:dyDescent="0.2">
      <c r="A11583" s="1" t="s">
        <v>1480</v>
      </c>
      <c r="B11583" s="1" t="s">
        <v>1514</v>
      </c>
      <c r="C11583" s="1" t="str">
        <f>"66298845127841"</f>
        <v>66298845127841</v>
      </c>
      <c r="D11583" s="1" t="str">
        <f>"45121-LBA8-C11JP"</f>
        <v>45121-LBA8-C11JP</v>
      </c>
      <c r="E11583" s="1" t="s">
        <v>4579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</row>
    <row r="11584" spans="1:11" x14ac:dyDescent="0.2">
      <c r="A11584" s="1" t="s">
        <v>1480</v>
      </c>
      <c r="B11584" s="1" t="s">
        <v>1515</v>
      </c>
      <c r="C11584" s="1" t="str">
        <f>"66298845165438"</f>
        <v>66298845165438</v>
      </c>
      <c r="D11584" s="1" t="str">
        <f>"41080-0578-11H"</f>
        <v>41080-0578-11H</v>
      </c>
      <c r="E11584" s="1" t="s">
        <v>4579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</row>
    <row r="11585" spans="1:11" ht="30" x14ac:dyDescent="0.2">
      <c r="A11585" s="1" t="s">
        <v>1480</v>
      </c>
      <c r="B11585" s="1" t="s">
        <v>1516</v>
      </c>
      <c r="C11585" s="1" t="str">
        <f>"66298845210181"</f>
        <v>66298845210181</v>
      </c>
      <c r="D11585" s="1" t="str">
        <f>"400517"</f>
        <v>400517</v>
      </c>
      <c r="E11585" s="1" t="s">
        <v>4579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</row>
    <row r="11586" spans="1:11" x14ac:dyDescent="0.2">
      <c r="A11586" s="1" t="s">
        <v>1480</v>
      </c>
      <c r="B11586" s="1" t="s">
        <v>1517</v>
      </c>
      <c r="C11586" s="1" t="str">
        <f>"66298845251643"</f>
        <v>66298845251643</v>
      </c>
      <c r="D11586" s="1" t="str">
        <f>"NA007"</f>
        <v>NA007</v>
      </c>
      <c r="E11586" s="1" t="s">
        <v>4579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</row>
    <row r="11587" spans="1:11" ht="30" x14ac:dyDescent="0.2">
      <c r="A11587" s="1" t="s">
        <v>1480</v>
      </c>
      <c r="B11587" s="1" t="s">
        <v>1518</v>
      </c>
      <c r="C11587" s="1" t="str">
        <f>"JD-1318-10"</f>
        <v>JD-1318-10</v>
      </c>
      <c r="D11587" s="1" t="str">
        <f>"JD-1318-10"</f>
        <v>JD-1318-10</v>
      </c>
      <c r="E11587" s="1" t="s">
        <v>4579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</row>
    <row r="11588" spans="1:11" x14ac:dyDescent="0.2">
      <c r="A11588" s="1" t="s">
        <v>1480</v>
      </c>
      <c r="B11588" s="1" t="s">
        <v>1519</v>
      </c>
      <c r="C11588" s="1" t="str">
        <f>"12666"</f>
        <v>12666</v>
      </c>
      <c r="D11588" s="1" t="str">
        <f>"12666"</f>
        <v>12666</v>
      </c>
      <c r="E11588" s="1" t="s">
        <v>4579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</row>
    <row r="11589" spans="1:11" x14ac:dyDescent="0.2">
      <c r="A11589" s="1" t="s">
        <v>1480</v>
      </c>
      <c r="B11589" s="1" t="s">
        <v>1520</v>
      </c>
      <c r="C11589" s="1" t="str">
        <f>"66298845295132"</f>
        <v>66298845295132</v>
      </c>
      <c r="D11589" s="1" t="str">
        <f>"DK-1510-27"</f>
        <v>DK-1510-27</v>
      </c>
      <c r="E11589" s="1" t="s">
        <v>4579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</row>
    <row r="11590" spans="1:11" x14ac:dyDescent="0.2">
      <c r="A11590" s="1" t="s">
        <v>1480</v>
      </c>
      <c r="B11590" s="1" t="s">
        <v>1521</v>
      </c>
      <c r="C11590" s="1" t="str">
        <f>"2551"</f>
        <v>2551</v>
      </c>
      <c r="D11590" s="1" t="str">
        <f>"2551"</f>
        <v>2551</v>
      </c>
      <c r="E11590" s="1" t="s">
        <v>4579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</row>
    <row r="11591" spans="1:11" x14ac:dyDescent="0.2">
      <c r="A11591" s="1" t="s">
        <v>1480</v>
      </c>
      <c r="B11591" s="1" t="s">
        <v>1522</v>
      </c>
      <c r="C11591" s="1" t="str">
        <f>"66298845345066"</f>
        <v>66298845345066</v>
      </c>
      <c r="D11591" s="1" t="str">
        <f>"81788"</f>
        <v>81788</v>
      </c>
      <c r="E11591" s="1" t="s">
        <v>4579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</row>
    <row r="11592" spans="1:11" x14ac:dyDescent="0.2">
      <c r="A11592" s="1" t="s">
        <v>1480</v>
      </c>
      <c r="B11592" s="1" t="s">
        <v>1523</v>
      </c>
      <c r="C11592" s="1" t="str">
        <f>"66298845435664"</f>
        <v>66298845435664</v>
      </c>
      <c r="D11592" s="1" t="str">
        <f>"NA010"</f>
        <v>NA010</v>
      </c>
      <c r="E11592" s="1" t="s">
        <v>4579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</row>
    <row r="11593" spans="1:11" x14ac:dyDescent="0.2">
      <c r="A11593" s="1" t="s">
        <v>1480</v>
      </c>
      <c r="B11593" s="1" t="s">
        <v>1524</v>
      </c>
      <c r="C11593" s="1" t="str">
        <f>"59221-33GB0-000"</f>
        <v>59221-33GB0-000</v>
      </c>
      <c r="D11593" s="1" t="str">
        <f>"59221-33GB0-000"</f>
        <v>59221-33GB0-000</v>
      </c>
      <c r="E11593" s="1" t="s">
        <v>4579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</row>
    <row r="11594" spans="1:11" x14ac:dyDescent="0.2">
      <c r="A11594" s="1" t="s">
        <v>1480</v>
      </c>
      <c r="B11594" s="1" t="s">
        <v>1525</v>
      </c>
      <c r="C11594" s="1" t="str">
        <f>"59211-05350-000"</f>
        <v>59211-05350-000</v>
      </c>
      <c r="D11594" s="1" t="str">
        <f>"59211-05350-000"</f>
        <v>59211-05350-000</v>
      </c>
      <c r="E11594" s="1" t="s">
        <v>4579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</row>
    <row r="11595" spans="1:11" x14ac:dyDescent="0.2">
      <c r="A11595" s="1" t="s">
        <v>1480</v>
      </c>
      <c r="B11595" s="1" t="s">
        <v>1526</v>
      </c>
      <c r="C11595" s="1" t="str">
        <f>"NA017"</f>
        <v>NA017</v>
      </c>
      <c r="D11595" s="1" t="str">
        <f>"NA017"</f>
        <v>NA017</v>
      </c>
      <c r="E11595" s="1" t="s">
        <v>4579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</row>
    <row r="11596" spans="1:11" x14ac:dyDescent="0.2">
      <c r="A11596" s="1" t="s">
        <v>1480</v>
      </c>
      <c r="B11596" s="1" t="s">
        <v>1527</v>
      </c>
      <c r="C11596" s="1" t="str">
        <f>"45351-KPE-900JP"</f>
        <v>45351-KPE-900JP</v>
      </c>
      <c r="D11596" s="1" t="str">
        <f>"45351-KPE-900JP"</f>
        <v>45351-KPE-900JP</v>
      </c>
      <c r="E11596" s="1" t="s">
        <v>4579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</row>
    <row r="11597" spans="1:11" x14ac:dyDescent="0.2">
      <c r="A11597" s="1" t="s">
        <v>1480</v>
      </c>
      <c r="B11597" s="1" t="s">
        <v>1528</v>
      </c>
      <c r="C11597" s="1" t="str">
        <f>"45351-KWT-900JP"</f>
        <v>45351-KWT-900JP</v>
      </c>
      <c r="D11597" s="1" t="str">
        <f>"45351-KWT-900JP"</f>
        <v>45351-KWT-900JP</v>
      </c>
      <c r="E11597" s="1" t="s">
        <v>4579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</row>
    <row r="11598" spans="1:11" x14ac:dyDescent="0.2">
      <c r="A11598" s="1" t="s">
        <v>1480</v>
      </c>
      <c r="B11598" s="1" t="s">
        <v>1529</v>
      </c>
      <c r="C11598" s="1" t="str">
        <f>"NA014"</f>
        <v>NA014</v>
      </c>
      <c r="D11598" s="1" t="str">
        <f>"NA014"</f>
        <v>NA014</v>
      </c>
      <c r="E11598" s="1" t="s">
        <v>4579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</row>
    <row r="11599" spans="1:11" x14ac:dyDescent="0.2">
      <c r="A11599" s="1" t="s">
        <v>1480</v>
      </c>
      <c r="B11599" s="1" t="s">
        <v>1530</v>
      </c>
      <c r="C11599" s="1" t="str">
        <f>"4B4-F582T-01"</f>
        <v>4B4-F582T-01</v>
      </c>
      <c r="D11599" s="1" t="str">
        <f>"4B4-F582T-01"</f>
        <v>4B4-F582T-01</v>
      </c>
      <c r="E11599" s="1" t="s">
        <v>4579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</row>
    <row r="11600" spans="1:11" x14ac:dyDescent="0.2">
      <c r="A11600" s="1" t="s">
        <v>1480</v>
      </c>
      <c r="B11600" s="1" t="s">
        <v>1531</v>
      </c>
      <c r="C11600" s="1" t="str">
        <f>"66298845594731"</f>
        <v>66298845594731</v>
      </c>
      <c r="D11600" s="1" t="str">
        <f>"400526"</f>
        <v>400526</v>
      </c>
      <c r="E11600" s="1" t="s">
        <v>4579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</row>
    <row r="11601" spans="1:11" x14ac:dyDescent="0.2">
      <c r="A11601" s="1" t="s">
        <v>1480</v>
      </c>
      <c r="B11601" s="1" t="s">
        <v>1532</v>
      </c>
      <c r="C11601" s="1" t="str">
        <f>"66298845557887"</f>
        <v>66298845557887</v>
      </c>
      <c r="D11601" s="1" t="str">
        <f>"5YY-F582U-00JP"</f>
        <v>5YY-F582U-00JP</v>
      </c>
      <c r="E11601" s="1" t="s">
        <v>4579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</row>
    <row r="11602" spans="1:11" x14ac:dyDescent="0.2">
      <c r="A11602" s="1" t="s">
        <v>1480</v>
      </c>
      <c r="B11602" s="1" t="s">
        <v>1533</v>
      </c>
      <c r="C11602" s="1" t="str">
        <f>"66298845674502"</f>
        <v>66298845674502</v>
      </c>
      <c r="D11602" s="1" t="str">
        <f>"400551"</f>
        <v>400551</v>
      </c>
      <c r="E11602" s="1" t="s">
        <v>4579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</row>
    <row r="11603" spans="1:11" x14ac:dyDescent="0.2">
      <c r="A11603" s="1" t="s">
        <v>1480</v>
      </c>
      <c r="B11603" s="1" t="s">
        <v>1534</v>
      </c>
      <c r="C11603" s="1" t="str">
        <f>"66298845633385"</f>
        <v>66298845633385</v>
      </c>
      <c r="D11603" s="1" t="str">
        <f>"5SU-F582T-00JP"</f>
        <v>5SU-F582T-00JP</v>
      </c>
      <c r="E11603" s="1" t="s">
        <v>4579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</row>
    <row r="11604" spans="1:11" x14ac:dyDescent="0.2">
      <c r="A11604" s="1" t="s">
        <v>1480</v>
      </c>
      <c r="B11604" s="1" t="s">
        <v>1535</v>
      </c>
      <c r="C11604" s="1" t="str">
        <f>"66298845713836"</f>
        <v>66298845713836</v>
      </c>
      <c r="D11604" s="1" t="str">
        <f>"400563"</f>
        <v>400563</v>
      </c>
      <c r="E11604" s="1" t="s">
        <v>4579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</row>
    <row r="11605" spans="1:11" x14ac:dyDescent="0.2">
      <c r="A11605" s="1" t="s">
        <v>1480</v>
      </c>
      <c r="B11605" s="1" t="s">
        <v>1536</v>
      </c>
      <c r="C11605" s="1" t="str">
        <f>"66298845756596"</f>
        <v>66298845756596</v>
      </c>
      <c r="D11605" s="1" t="str">
        <f>"46P-F582T-00"</f>
        <v>46P-F582T-00</v>
      </c>
      <c r="E11605" s="1" t="s">
        <v>4579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</row>
    <row r="11606" spans="1:11" x14ac:dyDescent="0.2">
      <c r="A11606" s="1" t="s">
        <v>1480</v>
      </c>
      <c r="B11606" s="1" t="s">
        <v>1537</v>
      </c>
      <c r="C11606" s="1" t="str">
        <f>"66298845799524"</f>
        <v>66298845799524</v>
      </c>
      <c r="D11606" s="1" t="str">
        <f>"41080-0597-11HJP"</f>
        <v>41080-0597-11HJP</v>
      </c>
      <c r="E11606" s="1" t="s">
        <v>4579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</row>
    <row r="11607" spans="1:11" x14ac:dyDescent="0.2">
      <c r="A11607" s="1" t="s">
        <v>1480</v>
      </c>
      <c r="B11607" s="1" t="s">
        <v>1538</v>
      </c>
      <c r="C11607" s="1" t="str">
        <f>"66298845847580"</f>
        <v>66298845847580</v>
      </c>
      <c r="D11607" s="1" t="str">
        <f>"XM-12001-000"</f>
        <v>XM-12001-000</v>
      </c>
      <c r="E11607" s="1" t="s">
        <v>4579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</row>
    <row r="11608" spans="1:11" x14ac:dyDescent="0.2">
      <c r="A11608" s="1" t="s">
        <v>1480</v>
      </c>
      <c r="B11608" s="1" t="s">
        <v>1539</v>
      </c>
      <c r="C11608" s="1" t="str">
        <f>"43251-K70-601JP"</f>
        <v>43251-K70-601JP</v>
      </c>
      <c r="D11608" s="1" t="str">
        <f>"43251-K70-601JP"</f>
        <v>43251-K70-601JP</v>
      </c>
      <c r="E11608" s="1" t="s">
        <v>4579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</row>
    <row r="11609" spans="1:11" x14ac:dyDescent="0.2">
      <c r="A11609" s="1" t="s">
        <v>1480</v>
      </c>
      <c r="B11609" s="1" t="s">
        <v>1540</v>
      </c>
      <c r="C11609" s="1" t="str">
        <f>"NA020"</f>
        <v>NA020</v>
      </c>
      <c r="D11609" s="1" t="str">
        <f>"NA020"</f>
        <v>NA020</v>
      </c>
      <c r="E11609" s="1" t="s">
        <v>4579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</row>
    <row r="11610" spans="1:11" x14ac:dyDescent="0.2">
      <c r="A11610" s="1" t="s">
        <v>1480</v>
      </c>
      <c r="B11610" s="1" t="s">
        <v>1541</v>
      </c>
      <c r="C11610" s="1" t="str">
        <f>"66298845887800"</f>
        <v>66298845887800</v>
      </c>
      <c r="D11610" s="1" t="str">
        <f>"400519"</f>
        <v>400519</v>
      </c>
      <c r="E11610" s="1" t="s">
        <v>4579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</row>
    <row r="11611" spans="1:11" x14ac:dyDescent="0.2">
      <c r="A11611" s="1" t="s">
        <v>1480</v>
      </c>
      <c r="B11611" s="1" t="s">
        <v>1542</v>
      </c>
      <c r="C11611" s="1" t="str">
        <f>"43251-KSP-B01ZA"</f>
        <v>43251-KSP-B01ZA</v>
      </c>
      <c r="D11611" s="1" t="str">
        <f>"43251-KSP-B01ZA"</f>
        <v>43251-KSP-B01ZA</v>
      </c>
      <c r="E11611" s="1" t="s">
        <v>4579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</row>
    <row r="11612" spans="1:11" x14ac:dyDescent="0.2">
      <c r="A11612" s="1" t="s">
        <v>1480</v>
      </c>
      <c r="B11612" s="1" t="s">
        <v>1543</v>
      </c>
      <c r="C11612" s="1" t="str">
        <f>"69211-32E01JP"</f>
        <v>69211-32E01JP</v>
      </c>
      <c r="D11612" s="1" t="str">
        <f>"69211-32E01JP"</f>
        <v>69211-32E01JP</v>
      </c>
      <c r="E11612" s="1" t="s">
        <v>4579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</row>
    <row r="11613" spans="1:11" x14ac:dyDescent="0.2">
      <c r="A11613" s="1" t="s">
        <v>1480</v>
      </c>
      <c r="B11613" s="1" t="s">
        <v>1544</v>
      </c>
      <c r="C11613" s="1" t="str">
        <f>"66298845925952"</f>
        <v>66298845925952</v>
      </c>
      <c r="D11613" s="1" t="str">
        <f>"90110060000"</f>
        <v>90110060000</v>
      </c>
      <c r="E11613" s="1" t="s">
        <v>4579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</row>
    <row r="11614" spans="1:11" x14ac:dyDescent="0.2">
      <c r="A11614" s="1" t="s">
        <v>1480</v>
      </c>
      <c r="B11614" s="1" t="s">
        <v>1545</v>
      </c>
      <c r="C11614" s="1" t="str">
        <f>"12188"</f>
        <v>12188</v>
      </c>
      <c r="D11614" s="1" t="str">
        <f>"12188"</f>
        <v>12188</v>
      </c>
      <c r="E11614" s="1" t="s">
        <v>4579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</row>
    <row r="11615" spans="1:11" x14ac:dyDescent="0.2">
      <c r="A11615" s="1" t="s">
        <v>1480</v>
      </c>
      <c r="B11615" s="1" t="s">
        <v>1546</v>
      </c>
      <c r="C11615" s="1" t="str">
        <f>"NA018"</f>
        <v>NA018</v>
      </c>
      <c r="D11615" s="1" t="str">
        <f>"NA018"</f>
        <v>NA018</v>
      </c>
      <c r="E11615" s="1" t="s">
        <v>4579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</row>
    <row r="11616" spans="1:11" x14ac:dyDescent="0.2">
      <c r="A11616" s="1" t="s">
        <v>1480</v>
      </c>
      <c r="B11616" s="1" t="s">
        <v>1547</v>
      </c>
      <c r="C11616" s="1" t="str">
        <f>"JL131930"</f>
        <v>JL131930</v>
      </c>
      <c r="D11616" s="1" t="str">
        <f>"JL131930"</f>
        <v>JL131930</v>
      </c>
      <c r="E11616" s="1" t="s">
        <v>4579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</row>
    <row r="11617" spans="1:11" x14ac:dyDescent="0.2">
      <c r="A11617" s="1" t="s">
        <v>1480</v>
      </c>
      <c r="B11617" s="1" t="s">
        <v>1548</v>
      </c>
      <c r="C11617" s="1" t="str">
        <f>"12667"</f>
        <v>12667</v>
      </c>
      <c r="D11617" s="1" t="str">
        <f>"12667"</f>
        <v>12667</v>
      </c>
      <c r="E11617" s="1" t="s">
        <v>4579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</row>
    <row r="11618" spans="1:11" x14ac:dyDescent="0.2">
      <c r="A11618" s="1" t="s">
        <v>1480</v>
      </c>
      <c r="B11618" s="1" t="s">
        <v>1549</v>
      </c>
      <c r="C11618" s="1" t="str">
        <f>"DK-1510-24"</f>
        <v>DK-1510-24</v>
      </c>
      <c r="D11618" s="1" t="str">
        <f>"DK-1510-24"</f>
        <v>DK-1510-24</v>
      </c>
      <c r="E11618" s="1" t="s">
        <v>4579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</row>
    <row r="11619" spans="1:11" ht="30" x14ac:dyDescent="0.2">
      <c r="A11619" s="1" t="s">
        <v>1480</v>
      </c>
      <c r="B11619" s="1" t="s">
        <v>1550</v>
      </c>
      <c r="C11619" s="1" t="str">
        <f>"66298845967348"</f>
        <v>66298845967348</v>
      </c>
      <c r="D11619" s="1" t="str">
        <f>"NA011"</f>
        <v>NA011</v>
      </c>
      <c r="E11619" s="1" t="s">
        <v>4579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</row>
    <row r="11620" spans="1:11" x14ac:dyDescent="0.2">
      <c r="A11620" s="1" t="s">
        <v>1480</v>
      </c>
      <c r="B11620" s="1" t="s">
        <v>1551</v>
      </c>
      <c r="C11620" s="1" t="str">
        <f>"66298846012247"</f>
        <v>66298846012247</v>
      </c>
      <c r="D11620" s="1" t="str">
        <f>"43251-KWT-900JP"</f>
        <v>43251-KWT-900JP</v>
      </c>
      <c r="E11620" s="1" t="s">
        <v>4579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</row>
    <row r="11621" spans="1:11" x14ac:dyDescent="0.2">
      <c r="A11621" s="1" t="s">
        <v>1480</v>
      </c>
      <c r="B11621" s="1" t="s">
        <v>1552</v>
      </c>
      <c r="C11621" s="1" t="str">
        <f>"66298846052407"</f>
        <v>66298846052407</v>
      </c>
      <c r="D11621" s="1" t="str">
        <f>"400561"</f>
        <v>400561</v>
      </c>
      <c r="E11621" s="1" t="s">
        <v>4579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</row>
    <row r="11622" spans="1:11" x14ac:dyDescent="0.2">
      <c r="A11622" s="1" t="s">
        <v>1480</v>
      </c>
      <c r="B11622" s="1" t="s">
        <v>1553</v>
      </c>
      <c r="C11622" s="1" t="str">
        <f>"5XT-2582W-00JP"</f>
        <v>5XT-2582W-00JP</v>
      </c>
      <c r="D11622" s="1" t="str">
        <f>"5XT-2582W-00JP"</f>
        <v>5XT-2582W-00JP</v>
      </c>
      <c r="E11622" s="1" t="s">
        <v>4579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</row>
    <row r="11623" spans="1:11" x14ac:dyDescent="0.2">
      <c r="A11623" s="1" t="s">
        <v>1480</v>
      </c>
      <c r="B11623" s="1" t="s">
        <v>1554</v>
      </c>
      <c r="C11623" s="1" t="str">
        <f>"1WD-F582W-00"</f>
        <v>1WD-F582W-00</v>
      </c>
      <c r="D11623" s="1" t="str">
        <f>"1WD-F582W-00"</f>
        <v>1WD-F582W-00</v>
      </c>
      <c r="E11623" s="1" t="s">
        <v>4579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</row>
    <row r="11624" spans="1:11" x14ac:dyDescent="0.2">
      <c r="A11624" s="1" t="s">
        <v>1480</v>
      </c>
      <c r="B11624" s="1" t="s">
        <v>1554</v>
      </c>
      <c r="C11624" s="1" t="str">
        <f>"1WD-F582W-00JP"</f>
        <v>1WD-F582W-00JP</v>
      </c>
      <c r="D11624" s="1" t="str">
        <f>"1WD-F582W-00JP"</f>
        <v>1WD-F582W-00JP</v>
      </c>
      <c r="E11624" s="1" t="s">
        <v>4579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</row>
    <row r="11625" spans="1:11" x14ac:dyDescent="0.2">
      <c r="A11625" s="1" t="s">
        <v>1480</v>
      </c>
      <c r="B11625" s="1" t="s">
        <v>1555</v>
      </c>
      <c r="C11625" s="1" t="str">
        <f>"66298846096075"</f>
        <v>66298846096075</v>
      </c>
      <c r="D11625" s="1" t="str">
        <f>"41080-0598-11H"</f>
        <v>41080-0598-11H</v>
      </c>
      <c r="E11625" s="1" t="s">
        <v>4579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</row>
    <row r="11626" spans="1:11" ht="30" x14ac:dyDescent="0.2">
      <c r="A11626" s="1" t="s">
        <v>1468</v>
      </c>
      <c r="B11626" s="1" t="s">
        <v>1556</v>
      </c>
      <c r="C11626" s="1" t="str">
        <f>"66298846140657"</f>
        <v>66298846140657</v>
      </c>
      <c r="D11626" s="1" t="str">
        <f>"CD014"</f>
        <v>CD014</v>
      </c>
      <c r="E11626" s="1" t="s">
        <v>4579</v>
      </c>
      <c r="F11626" s="1">
        <v>2</v>
      </c>
      <c r="G11626" s="1">
        <v>3573</v>
      </c>
      <c r="H11626" s="1">
        <v>7146</v>
      </c>
      <c r="I11626" s="1">
        <v>0</v>
      </c>
      <c r="J11626" s="1">
        <v>2</v>
      </c>
      <c r="K11626" s="1">
        <v>0</v>
      </c>
    </row>
    <row r="11627" spans="1:11" x14ac:dyDescent="0.2">
      <c r="A11627" s="1" t="s">
        <v>1468</v>
      </c>
      <c r="B11627" s="1" t="s">
        <v>1557</v>
      </c>
      <c r="C11627" s="1" t="str">
        <f>"66298846182767"</f>
        <v>66298846182767</v>
      </c>
      <c r="D11627" s="1" t="str">
        <f>"CD011"</f>
        <v>CD011</v>
      </c>
      <c r="E11627" s="1" t="s">
        <v>4579</v>
      </c>
      <c r="F11627" s="1">
        <v>2</v>
      </c>
      <c r="G11627" s="1">
        <v>2565</v>
      </c>
      <c r="H11627" s="1">
        <v>5130</v>
      </c>
      <c r="I11627" s="1">
        <v>0</v>
      </c>
      <c r="J11627" s="1">
        <v>2</v>
      </c>
      <c r="K11627" s="1">
        <v>0</v>
      </c>
    </row>
    <row r="11628" spans="1:11" x14ac:dyDescent="0.2">
      <c r="A11628" s="1" t="s">
        <v>1468</v>
      </c>
      <c r="B11628" s="1" t="s">
        <v>1558</v>
      </c>
      <c r="C11628" s="1" t="str">
        <f>"CD004"</f>
        <v>CD004</v>
      </c>
      <c r="D11628" s="1" t="str">
        <f>"CD004"</f>
        <v>CD004</v>
      </c>
      <c r="E11628" s="1" t="s">
        <v>4579</v>
      </c>
      <c r="F11628" s="1">
        <v>2</v>
      </c>
      <c r="G11628" s="1">
        <v>2210</v>
      </c>
      <c r="H11628" s="1">
        <v>4420</v>
      </c>
      <c r="I11628" s="1">
        <v>0</v>
      </c>
      <c r="J11628" s="1">
        <v>2</v>
      </c>
      <c r="K11628" s="1">
        <v>0</v>
      </c>
    </row>
    <row r="11629" spans="1:11" ht="30" x14ac:dyDescent="0.2">
      <c r="A11629" s="1" t="s">
        <v>1468</v>
      </c>
      <c r="B11629" s="1" t="s">
        <v>1559</v>
      </c>
      <c r="C11629" s="1" t="str">
        <f>"66298846225496"</f>
        <v>66298846225496</v>
      </c>
      <c r="D11629" s="1" t="str">
        <f>"400029"</f>
        <v>400029</v>
      </c>
      <c r="E11629" s="1" t="s">
        <v>4579</v>
      </c>
      <c r="F11629" s="1">
        <v>2</v>
      </c>
      <c r="G11629" s="1">
        <v>904</v>
      </c>
      <c r="H11629" s="1">
        <v>1808</v>
      </c>
      <c r="I11629" s="1">
        <v>0</v>
      </c>
      <c r="J11629" s="1">
        <v>2</v>
      </c>
      <c r="K11629" s="1">
        <v>0</v>
      </c>
    </row>
    <row r="11630" spans="1:11" ht="30" x14ac:dyDescent="0.2">
      <c r="A11630" s="1" t="s">
        <v>1468</v>
      </c>
      <c r="B11630" s="1" t="s">
        <v>1560</v>
      </c>
      <c r="C11630" s="1" t="str">
        <f>"66298846267226"</f>
        <v>66298846267226</v>
      </c>
      <c r="D11630" s="1" t="str">
        <f>"400030"</f>
        <v>400030</v>
      </c>
      <c r="E11630" s="1" t="s">
        <v>4579</v>
      </c>
      <c r="F11630" s="1">
        <v>2</v>
      </c>
      <c r="G11630" s="1">
        <v>1745</v>
      </c>
      <c r="H11630" s="1">
        <v>3490</v>
      </c>
      <c r="I11630" s="1">
        <v>0</v>
      </c>
      <c r="J11630" s="1">
        <v>2</v>
      </c>
      <c r="K11630" s="1">
        <v>0</v>
      </c>
    </row>
    <row r="11631" spans="1:11" x14ac:dyDescent="0.2">
      <c r="A11631" s="1" t="s">
        <v>1468</v>
      </c>
      <c r="B11631" s="1" t="s">
        <v>1561</v>
      </c>
      <c r="C11631" s="1" t="str">
        <f>"7747"</f>
        <v>7747</v>
      </c>
      <c r="D11631" s="1" t="str">
        <f>"7747"</f>
        <v>7747</v>
      </c>
      <c r="E11631" s="1" t="s">
        <v>4579</v>
      </c>
      <c r="F11631" s="1">
        <v>1</v>
      </c>
      <c r="G11631" s="1">
        <v>4636</v>
      </c>
      <c r="H11631" s="1">
        <v>4636</v>
      </c>
      <c r="I11631" s="1">
        <v>0</v>
      </c>
      <c r="J11631" s="1">
        <v>1</v>
      </c>
      <c r="K11631" s="1">
        <v>0</v>
      </c>
    </row>
    <row r="11632" spans="1:11" x14ac:dyDescent="0.2">
      <c r="A11632" s="1" t="s">
        <v>1468</v>
      </c>
      <c r="B11632" s="1" t="s">
        <v>1562</v>
      </c>
      <c r="C11632" s="1" t="str">
        <f>"66298846311626"</f>
        <v>66298846311626</v>
      </c>
      <c r="D11632" s="1" t="str">
        <f>"80996"</f>
        <v>80996</v>
      </c>
      <c r="E11632" s="1" t="s">
        <v>4579</v>
      </c>
      <c r="F11632" s="1">
        <v>1</v>
      </c>
      <c r="G11632" s="1">
        <v>1087</v>
      </c>
      <c r="H11632" s="1">
        <v>1087</v>
      </c>
      <c r="I11632" s="1">
        <v>0</v>
      </c>
      <c r="J11632" s="1">
        <v>1</v>
      </c>
      <c r="K11632" s="1">
        <v>0</v>
      </c>
    </row>
    <row r="11633" spans="1:11" x14ac:dyDescent="0.2">
      <c r="A11633" s="1" t="s">
        <v>1468</v>
      </c>
      <c r="B11633" s="1" t="s">
        <v>1562</v>
      </c>
      <c r="C11633" s="1" t="str">
        <f>"66298846318477"</f>
        <v>66298846318477</v>
      </c>
      <c r="D11633" s="1" t="str">
        <f>"DISCOS-GN"</f>
        <v>DISCOS-GN</v>
      </c>
      <c r="E11633" s="1" t="s">
        <v>4579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</row>
    <row r="11634" spans="1:11" ht="30" x14ac:dyDescent="0.2">
      <c r="A11634" s="1" t="s">
        <v>1468</v>
      </c>
      <c r="B11634" s="1" t="s">
        <v>1563</v>
      </c>
      <c r="C11634" s="1" t="str">
        <f>"66298846405251"</f>
        <v>66298846405251</v>
      </c>
      <c r="D11634" s="1" t="str">
        <f>"400031"</f>
        <v>400031</v>
      </c>
      <c r="E11634" s="1" t="s">
        <v>4579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</row>
    <row r="11635" spans="1:11" x14ac:dyDescent="0.2">
      <c r="A11635" s="1" t="s">
        <v>1468</v>
      </c>
      <c r="B11635" s="1" t="s">
        <v>1564</v>
      </c>
      <c r="C11635" s="1" t="str">
        <f>"CD005"</f>
        <v>CD005</v>
      </c>
      <c r="D11635" s="1" t="str">
        <f>"CD005"</f>
        <v>CD005</v>
      </c>
      <c r="E11635" s="1" t="s">
        <v>4579</v>
      </c>
      <c r="F11635" s="1">
        <v>2</v>
      </c>
      <c r="G11635" s="1">
        <v>2748</v>
      </c>
      <c r="H11635" s="1">
        <v>5496</v>
      </c>
      <c r="I11635" s="1">
        <v>0</v>
      </c>
      <c r="J11635" s="1">
        <v>2</v>
      </c>
      <c r="K11635" s="1">
        <v>0</v>
      </c>
    </row>
    <row r="11636" spans="1:11" x14ac:dyDescent="0.2">
      <c r="A11636" s="1" t="s">
        <v>1468</v>
      </c>
      <c r="B11636" s="1" t="s">
        <v>1565</v>
      </c>
      <c r="C11636" s="1" t="str">
        <f>"66298846455109"</f>
        <v>66298846455109</v>
      </c>
      <c r="D11636" s="1" t="str">
        <f>"E110"</f>
        <v>E110</v>
      </c>
      <c r="E11636" s="1" t="s">
        <v>4579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</row>
    <row r="11637" spans="1:11" x14ac:dyDescent="0.2">
      <c r="A11637" s="1" t="s">
        <v>1468</v>
      </c>
      <c r="B11637" s="1" t="s">
        <v>1565</v>
      </c>
      <c r="C11637" s="1" t="str">
        <f>"CD007"</f>
        <v>CD007</v>
      </c>
      <c r="D11637" s="1" t="str">
        <f>"CD007"</f>
        <v>CD007</v>
      </c>
      <c r="E11637" s="1" t="s">
        <v>4579</v>
      </c>
      <c r="F11637" s="1">
        <v>2</v>
      </c>
      <c r="G11637" s="1">
        <v>1520</v>
      </c>
      <c r="H11637" s="1">
        <v>3040</v>
      </c>
      <c r="I11637" s="1">
        <v>0</v>
      </c>
      <c r="J11637" s="1">
        <v>2</v>
      </c>
      <c r="K11637" s="1">
        <v>0</v>
      </c>
    </row>
    <row r="11638" spans="1:11" x14ac:dyDescent="0.2">
      <c r="A11638" s="1" t="s">
        <v>1468</v>
      </c>
      <c r="B11638" s="1" t="s">
        <v>1566</v>
      </c>
      <c r="C11638" s="1" t="str">
        <f>"80325"</f>
        <v>80325</v>
      </c>
      <c r="D11638" s="1" t="str">
        <f>"80325"</f>
        <v>80325</v>
      </c>
      <c r="E11638" s="1" t="s">
        <v>4579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</row>
    <row r="11639" spans="1:11" x14ac:dyDescent="0.2">
      <c r="A11639" s="1" t="s">
        <v>1567</v>
      </c>
      <c r="B11639" s="1" t="s">
        <v>1568</v>
      </c>
      <c r="C11639" s="1" t="str">
        <f>"RO-3181"</f>
        <v>RO-3181</v>
      </c>
      <c r="D11639" s="1" t="str">
        <f>"RO-3181"</f>
        <v>RO-3181</v>
      </c>
      <c r="E11639" s="1" t="s">
        <v>4579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</row>
    <row r="11640" spans="1:11" x14ac:dyDescent="0.2">
      <c r="B11640" s="1" t="s">
        <v>1569</v>
      </c>
    </row>
    <row r="11641" spans="1:11" x14ac:dyDescent="0.2">
      <c r="B11641" s="1" t="s">
        <v>1570</v>
      </c>
    </row>
    <row r="11642" spans="1:11" x14ac:dyDescent="0.2">
      <c r="B11642" s="1" t="s">
        <v>1571</v>
      </c>
    </row>
    <row r="11643" spans="1:11" x14ac:dyDescent="0.2">
      <c r="B11643" s="1" t="s">
        <v>1572</v>
      </c>
    </row>
    <row r="11644" spans="1:11" x14ac:dyDescent="0.2">
      <c r="B11644" s="1" t="s">
        <v>1573</v>
      </c>
    </row>
    <row r="11645" spans="1:11" x14ac:dyDescent="0.2">
      <c r="B11645" s="1" t="s">
        <v>1574</v>
      </c>
    </row>
    <row r="11646" spans="1:11" x14ac:dyDescent="0.2">
      <c r="B11646" s="1" t="s">
        <v>1575</v>
      </c>
    </row>
    <row r="11647" spans="1:11" x14ac:dyDescent="0.2">
      <c r="B11647" s="1" t="s">
        <v>1576</v>
      </c>
    </row>
    <row r="11648" spans="1:11" x14ac:dyDescent="0.2">
      <c r="B11648" s="1" t="s">
        <v>1577</v>
      </c>
    </row>
    <row r="11649" spans="1:11" x14ac:dyDescent="0.2">
      <c r="A11649" s="1" t="s">
        <v>1578</v>
      </c>
      <c r="B11649" s="1" t="s">
        <v>1579</v>
      </c>
      <c r="C11649" s="1" t="str">
        <f>"66298848948462"</f>
        <v>66298848948462</v>
      </c>
      <c r="D11649" s="1" t="str">
        <f>"400464"</f>
        <v>400464</v>
      </c>
      <c r="E11649" s="1" t="s">
        <v>4579</v>
      </c>
      <c r="F11649" s="1">
        <v>2</v>
      </c>
      <c r="G11649" s="1">
        <v>2619</v>
      </c>
      <c r="H11649" s="1">
        <v>5238</v>
      </c>
      <c r="I11649" s="1">
        <v>0</v>
      </c>
      <c r="J11649" s="1">
        <v>2</v>
      </c>
      <c r="K11649" s="1">
        <v>0</v>
      </c>
    </row>
    <row r="11650" spans="1:11" x14ac:dyDescent="0.2">
      <c r="A11650" s="1" t="s">
        <v>1578</v>
      </c>
      <c r="B11650" s="1" t="s">
        <v>1580</v>
      </c>
      <c r="C11650" s="1" t="str">
        <f>"66298848909102"</f>
        <v>66298848909102</v>
      </c>
      <c r="D11650" s="1" t="str">
        <f>"400467"</f>
        <v>400467</v>
      </c>
      <c r="E11650" s="1" t="s">
        <v>4579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</row>
    <row r="11651" spans="1:11" x14ac:dyDescent="0.2">
      <c r="A11651" s="1" t="s">
        <v>1578</v>
      </c>
      <c r="B11651" s="1" t="s">
        <v>1581</v>
      </c>
      <c r="C11651" s="1" t="str">
        <f>"66298849068247"</f>
        <v>66298849068247</v>
      </c>
      <c r="D11651" s="1" t="str">
        <f>"400465"</f>
        <v>400465</v>
      </c>
      <c r="E11651" s="1" t="s">
        <v>4579</v>
      </c>
      <c r="F11651" s="1">
        <v>2</v>
      </c>
      <c r="G11651" s="1">
        <v>2691</v>
      </c>
      <c r="H11651" s="1">
        <v>5382</v>
      </c>
      <c r="I11651" s="1">
        <v>0</v>
      </c>
      <c r="J11651" s="1">
        <v>2</v>
      </c>
      <c r="K11651" s="1">
        <v>0</v>
      </c>
    </row>
    <row r="11652" spans="1:11" x14ac:dyDescent="0.2">
      <c r="A11652" s="1" t="s">
        <v>1578</v>
      </c>
      <c r="B11652" s="1" t="s">
        <v>1582</v>
      </c>
      <c r="C11652" s="1" t="str">
        <f>"66298849105910"</f>
        <v>66298849105910</v>
      </c>
      <c r="D11652" s="1" t="str">
        <f>"400468"</f>
        <v>400468</v>
      </c>
      <c r="E11652" s="1" t="s">
        <v>4579</v>
      </c>
      <c r="F11652" s="1">
        <v>2</v>
      </c>
      <c r="G11652" s="1">
        <v>2337</v>
      </c>
      <c r="H11652" s="1">
        <v>4674</v>
      </c>
      <c r="I11652" s="1">
        <v>0</v>
      </c>
      <c r="J11652" s="1">
        <v>2</v>
      </c>
      <c r="K11652" s="1">
        <v>0</v>
      </c>
    </row>
    <row r="11653" spans="1:11" x14ac:dyDescent="0.2">
      <c r="A11653" s="1" t="s">
        <v>1578</v>
      </c>
      <c r="B11653" s="1" t="s">
        <v>1583</v>
      </c>
      <c r="C11653" s="1" t="str">
        <f>"66298849148441"</f>
        <v>66298849148441</v>
      </c>
      <c r="D11653" s="1" t="str">
        <f>"400466"</f>
        <v>400466</v>
      </c>
      <c r="E11653" s="1" t="s">
        <v>4579</v>
      </c>
      <c r="F11653" s="1">
        <v>2</v>
      </c>
      <c r="G11653" s="1">
        <v>1957</v>
      </c>
      <c r="H11653" s="1">
        <v>3914</v>
      </c>
      <c r="I11653" s="1">
        <v>0</v>
      </c>
      <c r="J11653" s="1">
        <v>2</v>
      </c>
      <c r="K11653" s="1">
        <v>0</v>
      </c>
    </row>
    <row r="11654" spans="1:11" x14ac:dyDescent="0.2">
      <c r="A11654" s="1" t="s">
        <v>1578</v>
      </c>
      <c r="B11654" s="1" t="s">
        <v>1584</v>
      </c>
      <c r="C11654" s="1" t="str">
        <f>"GJ010"</f>
        <v>GJ010</v>
      </c>
      <c r="D11654" s="1" t="str">
        <f>"GJ010"</f>
        <v>GJ010</v>
      </c>
      <c r="E11654" s="1" t="s">
        <v>4579</v>
      </c>
      <c r="F11654" s="1">
        <v>2</v>
      </c>
      <c r="G11654" s="1">
        <v>850</v>
      </c>
      <c r="H11654" s="1">
        <v>1700</v>
      </c>
      <c r="I11654" s="1">
        <v>0</v>
      </c>
      <c r="J11654" s="1">
        <v>2</v>
      </c>
      <c r="K11654" s="1">
        <v>0</v>
      </c>
    </row>
    <row r="11655" spans="1:11" ht="30" x14ac:dyDescent="0.2">
      <c r="A11655" s="1" t="s">
        <v>1578</v>
      </c>
      <c r="B11655" s="1" t="s">
        <v>1585</v>
      </c>
      <c r="C11655" s="1" t="str">
        <f>"66298846550885"</f>
        <v>66298846550885</v>
      </c>
      <c r="D11655" s="1" t="str">
        <f>"80952"</f>
        <v>80952</v>
      </c>
      <c r="E11655" s="1" t="s">
        <v>4579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</row>
    <row r="11656" spans="1:11" x14ac:dyDescent="0.2">
      <c r="A11656" s="1" t="s">
        <v>1578</v>
      </c>
      <c r="B11656" s="1" t="s">
        <v>1586</v>
      </c>
      <c r="C11656" s="1" t="str">
        <f>"GJ004"</f>
        <v>GJ004</v>
      </c>
      <c r="D11656" s="1" t="str">
        <f>"GJ004"</f>
        <v>GJ004</v>
      </c>
      <c r="E11656" s="1" t="s">
        <v>4579</v>
      </c>
      <c r="F11656" s="1">
        <v>1</v>
      </c>
      <c r="G11656" s="1">
        <v>1320</v>
      </c>
      <c r="H11656" s="1">
        <v>1320</v>
      </c>
      <c r="I11656" s="1">
        <v>0</v>
      </c>
      <c r="J11656" s="1">
        <v>1</v>
      </c>
      <c r="K11656" s="1">
        <v>0</v>
      </c>
    </row>
    <row r="11657" spans="1:11" x14ac:dyDescent="0.2">
      <c r="A11657" s="1" t="s">
        <v>1578</v>
      </c>
      <c r="B11657" s="1" t="s">
        <v>1587</v>
      </c>
      <c r="C11657" s="1" t="str">
        <f>"GJ001"</f>
        <v>GJ001</v>
      </c>
      <c r="D11657" s="1" t="str">
        <f>"GJ001"</f>
        <v>GJ001</v>
      </c>
      <c r="E11657" s="1" t="s">
        <v>4579</v>
      </c>
      <c r="F11657" s="1">
        <v>2</v>
      </c>
      <c r="G11657" s="1">
        <v>930</v>
      </c>
      <c r="H11657" s="1">
        <v>1860</v>
      </c>
      <c r="I11657" s="1">
        <v>0</v>
      </c>
      <c r="J11657" s="1">
        <v>2</v>
      </c>
      <c r="K11657" s="1">
        <v>0</v>
      </c>
    </row>
    <row r="11658" spans="1:11" x14ac:dyDescent="0.2">
      <c r="A11658" s="1" t="s">
        <v>1588</v>
      </c>
      <c r="B11658" s="1" t="s">
        <v>1589</v>
      </c>
      <c r="C11658" s="1" t="str">
        <f>"1593"</f>
        <v>1593</v>
      </c>
      <c r="D11658" s="1" t="str">
        <f>"1593"</f>
        <v>1593</v>
      </c>
      <c r="E11658" s="1" t="s">
        <v>4579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</row>
    <row r="11659" spans="1:11" x14ac:dyDescent="0.2">
      <c r="A11659" s="1" t="s">
        <v>1588</v>
      </c>
      <c r="B11659" s="1" t="s">
        <v>1590</v>
      </c>
      <c r="C11659" s="1" t="str">
        <f>"66298846770060"</f>
        <v>66298846770060</v>
      </c>
      <c r="D11659" s="1" t="str">
        <f>"401018"</f>
        <v>401018</v>
      </c>
      <c r="E11659" s="1" t="s">
        <v>4579</v>
      </c>
      <c r="F11659" s="1">
        <v>1</v>
      </c>
      <c r="G11659" s="1">
        <v>4100</v>
      </c>
      <c r="H11659" s="1">
        <v>4100</v>
      </c>
      <c r="I11659" s="1">
        <v>0</v>
      </c>
      <c r="J11659" s="1">
        <v>1</v>
      </c>
      <c r="K11659" s="1">
        <v>0</v>
      </c>
    </row>
    <row r="11660" spans="1:11" x14ac:dyDescent="0.2">
      <c r="A11660" s="1" t="s">
        <v>1588</v>
      </c>
      <c r="B11660" s="1" t="s">
        <v>1591</v>
      </c>
      <c r="C11660" s="1" t="str">
        <f>"66298846817714"</f>
        <v>66298846817714</v>
      </c>
      <c r="D11660" s="1" t="str">
        <f>"401017"</f>
        <v>401017</v>
      </c>
      <c r="E11660" s="1" t="s">
        <v>4579</v>
      </c>
      <c r="F11660" s="1">
        <v>1</v>
      </c>
      <c r="G11660" s="1">
        <v>4579</v>
      </c>
      <c r="H11660" s="1">
        <v>4579</v>
      </c>
      <c r="I11660" s="1">
        <v>0</v>
      </c>
      <c r="J11660" s="1">
        <v>1</v>
      </c>
      <c r="K11660" s="1">
        <v>0</v>
      </c>
    </row>
    <row r="11661" spans="1:11" x14ac:dyDescent="0.2">
      <c r="A11661" s="1" t="s">
        <v>1588</v>
      </c>
      <c r="B11661" s="1" t="s">
        <v>1592</v>
      </c>
      <c r="C11661" s="1" t="str">
        <f>"66298846719666"</f>
        <v>66298846719666</v>
      </c>
      <c r="D11661" s="1" t="str">
        <f>"401012"</f>
        <v>401012</v>
      </c>
      <c r="E11661" s="1" t="s">
        <v>4579</v>
      </c>
      <c r="F11661" s="1">
        <v>1</v>
      </c>
      <c r="G11661" s="1">
        <v>3544</v>
      </c>
      <c r="H11661" s="1">
        <v>3544</v>
      </c>
      <c r="I11661" s="1">
        <v>0</v>
      </c>
      <c r="J11661" s="1">
        <v>1</v>
      </c>
      <c r="K11661" s="1">
        <v>0</v>
      </c>
    </row>
    <row r="11662" spans="1:11" x14ac:dyDescent="0.2">
      <c r="A11662" s="1" t="s">
        <v>1588</v>
      </c>
      <c r="B11662" s="1" t="s">
        <v>1593</v>
      </c>
      <c r="C11662" s="1" t="str">
        <f>"DE008"</f>
        <v>DE008</v>
      </c>
      <c r="D11662" s="1" t="str">
        <f>"DE008"</f>
        <v>DE008</v>
      </c>
      <c r="E11662" s="1" t="s">
        <v>4579</v>
      </c>
      <c r="F11662" s="1">
        <v>1</v>
      </c>
      <c r="G11662" s="1">
        <v>8180</v>
      </c>
      <c r="H11662" s="1">
        <v>8180</v>
      </c>
      <c r="I11662" s="1">
        <v>0</v>
      </c>
      <c r="J11662" s="1">
        <v>1</v>
      </c>
      <c r="K11662" s="1">
        <v>0</v>
      </c>
    </row>
    <row r="11663" spans="1:11" x14ac:dyDescent="0.2">
      <c r="A11663" s="1" t="s">
        <v>1588</v>
      </c>
      <c r="B11663" s="1" t="s">
        <v>1594</v>
      </c>
      <c r="C11663" s="1" t="str">
        <f>"3223"</f>
        <v>3223</v>
      </c>
      <c r="D11663" s="1" t="str">
        <f>"3223"</f>
        <v>3223</v>
      </c>
      <c r="E11663" s="1" t="s">
        <v>4579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</row>
    <row r="11664" spans="1:11" x14ac:dyDescent="0.2">
      <c r="A11664" s="1" t="s">
        <v>1588</v>
      </c>
      <c r="B11664" s="1" t="s">
        <v>1595</v>
      </c>
      <c r="C11664" s="1" t="str">
        <f>"66298846856317"</f>
        <v>66298846856317</v>
      </c>
      <c r="D11664" s="1" t="str">
        <f>"11514"</f>
        <v>11514</v>
      </c>
      <c r="E11664" s="1" t="s">
        <v>4579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</row>
    <row r="11665" spans="1:11" x14ac:dyDescent="0.2">
      <c r="A11665" s="1" t="s">
        <v>1588</v>
      </c>
      <c r="B11665" s="1" t="s">
        <v>1596</v>
      </c>
      <c r="C11665" s="1" t="str">
        <f>"66298846942633"</f>
        <v>66298846942633</v>
      </c>
      <c r="D11665" s="1" t="str">
        <f>"400098"</f>
        <v>400098</v>
      </c>
      <c r="E11665" s="1" t="s">
        <v>4579</v>
      </c>
      <c r="F11665" s="1">
        <v>1</v>
      </c>
      <c r="G11665" s="1">
        <v>7482</v>
      </c>
      <c r="H11665" s="1">
        <v>7482</v>
      </c>
      <c r="I11665" s="1">
        <v>0</v>
      </c>
      <c r="J11665" s="1">
        <v>1</v>
      </c>
      <c r="K11665" s="1">
        <v>0</v>
      </c>
    </row>
    <row r="11666" spans="1:11" x14ac:dyDescent="0.2">
      <c r="A11666" s="1" t="s">
        <v>1588</v>
      </c>
      <c r="B11666" s="1" t="s">
        <v>1597</v>
      </c>
      <c r="C11666" s="1" t="str">
        <f>"66298846998501"</f>
        <v>66298846998501</v>
      </c>
      <c r="D11666" s="1" t="str">
        <f>"401010"</f>
        <v>401010</v>
      </c>
      <c r="E11666" s="1" t="s">
        <v>4579</v>
      </c>
      <c r="F11666" s="1">
        <v>1</v>
      </c>
      <c r="G11666" s="1">
        <v>5072</v>
      </c>
      <c r="H11666" s="1">
        <v>5072</v>
      </c>
      <c r="I11666" s="1">
        <v>0</v>
      </c>
      <c r="J11666" s="1">
        <v>1</v>
      </c>
      <c r="K11666" s="1">
        <v>0</v>
      </c>
    </row>
    <row r="11667" spans="1:11" x14ac:dyDescent="0.2">
      <c r="A11667" s="1" t="s">
        <v>1588</v>
      </c>
      <c r="B11667" s="1" t="s">
        <v>1598</v>
      </c>
      <c r="C11667" s="1" t="str">
        <f>"66298846896255"</f>
        <v>66298846896255</v>
      </c>
      <c r="D11667" s="1" t="str">
        <f>"21C-E2170-00JP"</f>
        <v>21C-E2170-00JP</v>
      </c>
      <c r="E11667" s="1" t="s">
        <v>4579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</row>
    <row r="11668" spans="1:11" x14ac:dyDescent="0.2">
      <c r="A11668" s="1" t="s">
        <v>1588</v>
      </c>
      <c r="B11668" s="1" t="s">
        <v>1599</v>
      </c>
      <c r="C11668" s="1" t="str">
        <f>"66298847040504"</f>
        <v>66298847040504</v>
      </c>
      <c r="D11668" s="1" t="str">
        <f>"401109"</f>
        <v>401109</v>
      </c>
      <c r="E11668" s="1" t="s">
        <v>4579</v>
      </c>
      <c r="F11668" s="1">
        <v>1</v>
      </c>
      <c r="G11668" s="1">
        <v>7008</v>
      </c>
      <c r="H11668" s="1">
        <v>7008</v>
      </c>
      <c r="I11668" s="1">
        <v>0</v>
      </c>
      <c r="J11668" s="1">
        <v>1</v>
      </c>
      <c r="K11668" s="1">
        <v>0</v>
      </c>
    </row>
    <row r="11669" spans="1:11" x14ac:dyDescent="0.2">
      <c r="A11669" s="1" t="s">
        <v>1588</v>
      </c>
      <c r="B11669" s="1" t="s">
        <v>1600</v>
      </c>
      <c r="C11669" s="1" t="str">
        <f>"66298847079059"</f>
        <v>66298847079059</v>
      </c>
      <c r="D11669" s="1" t="str">
        <f>"401013"</f>
        <v>401013</v>
      </c>
      <c r="E11669" s="1" t="s">
        <v>4579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</row>
    <row r="11670" spans="1:11" x14ac:dyDescent="0.2">
      <c r="A11670" s="1" t="s">
        <v>1588</v>
      </c>
      <c r="B11670" s="1" t="s">
        <v>1601</v>
      </c>
      <c r="C11670" s="1" t="str">
        <f>"66298847121632"</f>
        <v>66298847121632</v>
      </c>
      <c r="D11670" s="1" t="str">
        <f>"400093"</f>
        <v>400093</v>
      </c>
      <c r="E11670" s="1" t="s">
        <v>4579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</row>
    <row r="11671" spans="1:11" x14ac:dyDescent="0.2">
      <c r="A11671" s="1" t="s">
        <v>1588</v>
      </c>
      <c r="B11671" s="1" t="s">
        <v>1602</v>
      </c>
      <c r="C11671" s="1" t="str">
        <f>"12710-12F50JP"</f>
        <v>12710-12F50JP</v>
      </c>
      <c r="D11671" s="1" t="str">
        <f>"12710-12F50JP"</f>
        <v>12710-12F50JP</v>
      </c>
      <c r="E11671" s="1" t="s">
        <v>4579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</row>
    <row r="11672" spans="1:11" x14ac:dyDescent="0.2">
      <c r="A11672" s="1" t="s">
        <v>1588</v>
      </c>
      <c r="B11672" s="1" t="s">
        <v>1603</v>
      </c>
      <c r="C11672" s="1" t="str">
        <f>"66298847159686"</f>
        <v>66298847159686</v>
      </c>
      <c r="D11672" s="1" t="str">
        <f>"12711-42A10JP"</f>
        <v>12711-42A10JP</v>
      </c>
      <c r="E11672" s="1" t="s">
        <v>4579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</row>
    <row r="11673" spans="1:11" x14ac:dyDescent="0.2">
      <c r="A11673" s="1" t="s">
        <v>1588</v>
      </c>
      <c r="B11673" s="1" t="s">
        <v>1604</v>
      </c>
      <c r="C11673" s="1" t="str">
        <f>"66298847197033"</f>
        <v>66298847197033</v>
      </c>
      <c r="D11673" s="1" t="str">
        <f>"DE004"</f>
        <v>DE004</v>
      </c>
      <c r="E11673" s="1" t="s">
        <v>4579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</row>
    <row r="11674" spans="1:11" x14ac:dyDescent="0.2">
      <c r="A11674" s="1" t="s">
        <v>1588</v>
      </c>
      <c r="B11674" s="1" t="s">
        <v>1605</v>
      </c>
      <c r="C11674" s="1" t="str">
        <f>"66298847235324"</f>
        <v>66298847235324</v>
      </c>
      <c r="D11674" s="1" t="str">
        <f>"401108"</f>
        <v>401108</v>
      </c>
      <c r="E11674" s="1" t="s">
        <v>4579</v>
      </c>
      <c r="F11674" s="1">
        <v>1</v>
      </c>
      <c r="G11674" s="1">
        <v>7009</v>
      </c>
      <c r="H11674" s="1">
        <v>7009</v>
      </c>
      <c r="I11674" s="1">
        <v>0</v>
      </c>
      <c r="J11674" s="1">
        <v>1</v>
      </c>
      <c r="K11674" s="1">
        <v>0</v>
      </c>
    </row>
    <row r="11675" spans="1:11" x14ac:dyDescent="0.2">
      <c r="A11675" s="1" t="s">
        <v>1588</v>
      </c>
      <c r="B11675" s="1" t="s">
        <v>1606</v>
      </c>
      <c r="C11675" s="1" t="str">
        <f>"66298847277216"</f>
        <v>66298847277216</v>
      </c>
      <c r="D11675" s="1" t="str">
        <f>"12710H3D021H000"</f>
        <v>12710H3D021H000</v>
      </c>
      <c r="E11675" s="1" t="s">
        <v>4579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</row>
    <row r="11676" spans="1:11" x14ac:dyDescent="0.2">
      <c r="A11676" s="1" t="s">
        <v>1588</v>
      </c>
      <c r="B11676" s="1" t="s">
        <v>1607</v>
      </c>
      <c r="C11676" s="1" t="str">
        <f>"66298847319066"</f>
        <v>66298847319066</v>
      </c>
      <c r="D11676" s="1" t="str">
        <f>"DE015"</f>
        <v>DE015</v>
      </c>
      <c r="E11676" s="1" t="s">
        <v>4579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</row>
    <row r="11677" spans="1:11" x14ac:dyDescent="0.2">
      <c r="A11677" s="1" t="s">
        <v>1588</v>
      </c>
      <c r="B11677" s="1" t="s">
        <v>1608</v>
      </c>
      <c r="C11677" s="1" t="str">
        <f>"66298847366358"</f>
        <v>66298847366358</v>
      </c>
      <c r="D11677" s="1" t="str">
        <f>"JD-5112-11"</f>
        <v>JD-5112-11</v>
      </c>
      <c r="E11677" s="1" t="s">
        <v>4579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</row>
    <row r="11678" spans="1:11" x14ac:dyDescent="0.2">
      <c r="A11678" s="1" t="s">
        <v>1588</v>
      </c>
      <c r="B11678" s="1" t="s">
        <v>1609</v>
      </c>
      <c r="C11678" s="1" t="str">
        <f>"66298847411811"</f>
        <v>66298847411811</v>
      </c>
      <c r="D11678" s="1" t="str">
        <f>"401110"</f>
        <v>401110</v>
      </c>
      <c r="E11678" s="1" t="s">
        <v>4579</v>
      </c>
      <c r="F11678" s="1">
        <v>1</v>
      </c>
      <c r="G11678" s="1">
        <v>6272</v>
      </c>
      <c r="H11678" s="1">
        <v>6272</v>
      </c>
      <c r="I11678" s="1">
        <v>0</v>
      </c>
      <c r="J11678" s="1">
        <v>1</v>
      </c>
      <c r="K11678" s="1">
        <v>0</v>
      </c>
    </row>
    <row r="11679" spans="1:11" x14ac:dyDescent="0.2">
      <c r="A11679" s="1" t="s">
        <v>1588</v>
      </c>
      <c r="B11679" s="1" t="s">
        <v>1610</v>
      </c>
      <c r="C11679" s="1" t="str">
        <f>"66298847455945"</f>
        <v>66298847455945</v>
      </c>
      <c r="D11679" s="1" t="str">
        <f>"401005"</f>
        <v>401005</v>
      </c>
      <c r="E11679" s="1" t="s">
        <v>4579</v>
      </c>
      <c r="F11679" s="1">
        <v>1</v>
      </c>
      <c r="G11679" s="1">
        <v>3914</v>
      </c>
      <c r="H11679" s="1">
        <v>3914</v>
      </c>
      <c r="I11679" s="1">
        <v>0</v>
      </c>
      <c r="J11679" s="1">
        <v>1</v>
      </c>
      <c r="K11679" s="1">
        <v>0</v>
      </c>
    </row>
    <row r="11680" spans="1:11" x14ac:dyDescent="0.2">
      <c r="A11680" s="1" t="s">
        <v>1588</v>
      </c>
      <c r="B11680" s="1" t="s">
        <v>1611</v>
      </c>
      <c r="C11680" s="1" t="str">
        <f>"JL511241"</f>
        <v>JL511241</v>
      </c>
      <c r="D11680" s="1" t="str">
        <f>"JL511241"</f>
        <v>JL511241</v>
      </c>
      <c r="E11680" s="1" t="s">
        <v>4579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</row>
    <row r="11681" spans="1:11" x14ac:dyDescent="0.2">
      <c r="A11681" s="1" t="s">
        <v>1588</v>
      </c>
      <c r="B11681" s="1" t="s">
        <v>1612</v>
      </c>
      <c r="C11681" s="1" t="str">
        <f>"66298847493207"</f>
        <v>66298847493207</v>
      </c>
      <c r="D11681" s="1" t="str">
        <f>"DJ-1013-73JP"</f>
        <v>DJ-1013-73JP</v>
      </c>
      <c r="E11681" s="1" t="s">
        <v>4579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</row>
    <row r="11682" spans="1:11" x14ac:dyDescent="0.2">
      <c r="A11682" s="1" t="s">
        <v>1588</v>
      </c>
      <c r="B11682" s="1" t="s">
        <v>1613</v>
      </c>
      <c r="C11682" s="1" t="str">
        <f>"66298847540438"</f>
        <v>66298847540438</v>
      </c>
      <c r="D11682" s="1" t="str">
        <f>"11714"</f>
        <v>11714</v>
      </c>
      <c r="E11682" s="1" t="s">
        <v>4579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</row>
    <row r="11683" spans="1:11" x14ac:dyDescent="0.2">
      <c r="A11683" s="1" t="s">
        <v>1588</v>
      </c>
      <c r="B11683" s="1" t="s">
        <v>1614</v>
      </c>
      <c r="C11683" s="1" t="str">
        <f>"66298847592617"</f>
        <v>66298847592617</v>
      </c>
      <c r="D11683" s="1" t="str">
        <f>"14100-KBB-900JP"</f>
        <v>14100-KBB-900JP</v>
      </c>
      <c r="E11683" s="1" t="s">
        <v>4579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</row>
    <row r="11684" spans="1:11" x14ac:dyDescent="0.2">
      <c r="A11684" s="1" t="s">
        <v>1588</v>
      </c>
      <c r="B11684" s="1" t="s">
        <v>1615</v>
      </c>
      <c r="C11684" s="1" t="str">
        <f>"66298847631586"</f>
        <v>66298847631586</v>
      </c>
      <c r="D11684" s="1" t="str">
        <f>"400097"</f>
        <v>400097</v>
      </c>
      <c r="E11684" s="1" t="s">
        <v>4579</v>
      </c>
      <c r="F11684" s="1">
        <v>1</v>
      </c>
      <c r="G11684" s="1">
        <v>4350</v>
      </c>
      <c r="H11684" s="1">
        <v>4350</v>
      </c>
      <c r="I11684" s="1">
        <v>0</v>
      </c>
      <c r="J11684" s="1">
        <v>1</v>
      </c>
      <c r="K11684" s="1">
        <v>0</v>
      </c>
    </row>
    <row r="11685" spans="1:11" ht="30" x14ac:dyDescent="0.2">
      <c r="A11685" s="1" t="s">
        <v>1588</v>
      </c>
      <c r="B11685" s="1" t="s">
        <v>1616</v>
      </c>
      <c r="C11685" s="1" t="str">
        <f>"66298847669912"</f>
        <v>66298847669912</v>
      </c>
      <c r="D11685" s="1" t="str">
        <f>"401105"</f>
        <v>401105</v>
      </c>
      <c r="E11685" s="1" t="s">
        <v>4579</v>
      </c>
      <c r="F11685" s="1">
        <v>1</v>
      </c>
      <c r="G11685" s="1">
        <v>13012</v>
      </c>
      <c r="H11685" s="1">
        <v>13012</v>
      </c>
      <c r="I11685" s="1">
        <v>0</v>
      </c>
      <c r="J11685" s="1">
        <v>1</v>
      </c>
      <c r="K11685" s="1">
        <v>0</v>
      </c>
    </row>
    <row r="11686" spans="1:11" ht="30" x14ac:dyDescent="0.2">
      <c r="A11686" s="1" t="s">
        <v>1588</v>
      </c>
      <c r="B11686" s="1" t="s">
        <v>1617</v>
      </c>
      <c r="C11686" s="1" t="str">
        <f>"66298847706637"</f>
        <v>66298847706637</v>
      </c>
      <c r="D11686" s="1" t="str">
        <f>"401009"</f>
        <v>401009</v>
      </c>
      <c r="E11686" s="1" t="s">
        <v>4579</v>
      </c>
      <c r="F11686" s="1">
        <v>1</v>
      </c>
      <c r="G11686" s="1">
        <v>6234</v>
      </c>
      <c r="H11686" s="1">
        <v>6234</v>
      </c>
      <c r="I11686" s="1">
        <v>0</v>
      </c>
      <c r="J11686" s="1">
        <v>1</v>
      </c>
      <c r="K11686" s="1">
        <v>0</v>
      </c>
    </row>
    <row r="11687" spans="1:11" x14ac:dyDescent="0.2">
      <c r="A11687" s="1" t="s">
        <v>1588</v>
      </c>
      <c r="B11687" s="1" t="s">
        <v>1618</v>
      </c>
      <c r="C11687" s="1" t="str">
        <f>"66298847747405"</f>
        <v>66298847747405</v>
      </c>
      <c r="D11687" s="1" t="str">
        <f>"401023"</f>
        <v>401023</v>
      </c>
      <c r="E11687" s="1" t="s">
        <v>4579</v>
      </c>
      <c r="F11687" s="1">
        <v>1</v>
      </c>
      <c r="G11687" s="1">
        <v>2716</v>
      </c>
      <c r="H11687" s="1">
        <v>2716</v>
      </c>
      <c r="I11687" s="1">
        <v>0</v>
      </c>
      <c r="J11687" s="1">
        <v>1</v>
      </c>
      <c r="K11687" s="1">
        <v>0</v>
      </c>
    </row>
    <row r="11688" spans="1:11" x14ac:dyDescent="0.2">
      <c r="A11688" s="1" t="s">
        <v>1588</v>
      </c>
      <c r="B11688" s="1" t="s">
        <v>1619</v>
      </c>
      <c r="C11688" s="1" t="str">
        <f>"66298847865357"</f>
        <v>66298847865357</v>
      </c>
      <c r="D11688" s="1" t="str">
        <f>"401111"</f>
        <v>401111</v>
      </c>
      <c r="E11688" s="1" t="s">
        <v>4579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</row>
    <row r="11689" spans="1:11" x14ac:dyDescent="0.2">
      <c r="A11689" s="1" t="s">
        <v>1588</v>
      </c>
      <c r="B11689" s="1" t="s">
        <v>1620</v>
      </c>
      <c r="C11689" s="1" t="str">
        <f>"66298847787944"</f>
        <v>66298847787944</v>
      </c>
      <c r="D11689" s="1" t="str">
        <f>"80516"</f>
        <v>80516</v>
      </c>
      <c r="E11689" s="1" t="s">
        <v>4579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</row>
    <row r="11690" spans="1:11" x14ac:dyDescent="0.2">
      <c r="A11690" s="1" t="s">
        <v>1588</v>
      </c>
      <c r="B11690" s="1" t="s">
        <v>1620</v>
      </c>
      <c r="C11690" s="1" t="str">
        <f>"66298847823758"</f>
        <v>66298847823758</v>
      </c>
      <c r="D11690" s="1" t="str">
        <f>"5YY-E2170-00JP"</f>
        <v>5YY-E2170-00JP</v>
      </c>
      <c r="E11690" s="1" t="s">
        <v>4579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</row>
    <row r="11691" spans="1:11" x14ac:dyDescent="0.2">
      <c r="A11691" s="1" t="s">
        <v>1588</v>
      </c>
      <c r="B11691" s="1" t="s">
        <v>1621</v>
      </c>
      <c r="C11691" s="1" t="str">
        <f>"66298847945623"</f>
        <v>66298847945623</v>
      </c>
      <c r="D11691" s="1" t="str">
        <f>"401011"</f>
        <v>401011</v>
      </c>
      <c r="E11691" s="1" t="s">
        <v>4579</v>
      </c>
      <c r="F11691" s="1">
        <v>1</v>
      </c>
      <c r="G11691" s="1">
        <v>4558</v>
      </c>
      <c r="H11691" s="1">
        <v>4558</v>
      </c>
      <c r="I11691" s="1">
        <v>0</v>
      </c>
      <c r="J11691" s="1">
        <v>1</v>
      </c>
      <c r="K11691" s="1">
        <v>0</v>
      </c>
    </row>
    <row r="11692" spans="1:11" x14ac:dyDescent="0.2">
      <c r="A11692" s="1" t="s">
        <v>1588</v>
      </c>
      <c r="B11692" s="1" t="s">
        <v>1622</v>
      </c>
      <c r="C11692" s="1" t="str">
        <f>"66298847905688"</f>
        <v>66298847905688</v>
      </c>
      <c r="D11692" s="1" t="str">
        <f>"351"</f>
        <v>351</v>
      </c>
      <c r="E11692" s="1" t="s">
        <v>4579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</row>
    <row r="11693" spans="1:11" x14ac:dyDescent="0.2">
      <c r="A11693" s="1" t="s">
        <v>1578</v>
      </c>
      <c r="B11693" s="1" t="s">
        <v>1623</v>
      </c>
      <c r="C11693" s="1" t="str">
        <f>"66298847984326"</f>
        <v>66298847984326</v>
      </c>
      <c r="D11693" s="1" t="str">
        <f>"GJ006"</f>
        <v>GJ006</v>
      </c>
      <c r="E11693" s="1" t="s">
        <v>4579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</row>
    <row r="11694" spans="1:11" x14ac:dyDescent="0.2">
      <c r="A11694" s="1" t="s">
        <v>1578</v>
      </c>
      <c r="B11694" s="1" t="s">
        <v>1624</v>
      </c>
      <c r="C11694" s="1" t="str">
        <f>"66298848025936"</f>
        <v>66298848025936</v>
      </c>
      <c r="D11694" s="1" t="str">
        <f>"GJ003"</f>
        <v>GJ003</v>
      </c>
      <c r="E11694" s="1" t="s">
        <v>4579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</row>
    <row r="11695" spans="1:11" x14ac:dyDescent="0.2">
      <c r="A11695" s="1" t="s">
        <v>1578</v>
      </c>
      <c r="B11695" s="1" t="s">
        <v>1625</v>
      </c>
      <c r="C11695" s="1" t="str">
        <f>"66298848068626"</f>
        <v>66298848068626</v>
      </c>
      <c r="D11695" s="1" t="str">
        <f>"400677"</f>
        <v>400677</v>
      </c>
      <c r="E11695" s="1" t="s">
        <v>4579</v>
      </c>
      <c r="F11695" s="1">
        <v>1</v>
      </c>
      <c r="G11695" s="1">
        <v>3302</v>
      </c>
      <c r="H11695" s="1">
        <v>3302</v>
      </c>
      <c r="I11695" s="1">
        <v>0</v>
      </c>
      <c r="J11695" s="1">
        <v>1</v>
      </c>
      <c r="K11695" s="1">
        <v>0</v>
      </c>
    </row>
    <row r="11696" spans="1:11" x14ac:dyDescent="0.2">
      <c r="A11696" s="1" t="s">
        <v>1578</v>
      </c>
      <c r="B11696" s="1" t="s">
        <v>1626</v>
      </c>
      <c r="C11696" s="1" t="str">
        <f>"66298848112803"</f>
        <v>66298848112803</v>
      </c>
      <c r="D11696" s="1" t="str">
        <f>"400679"</f>
        <v>400679</v>
      </c>
      <c r="E11696" s="1" t="s">
        <v>4579</v>
      </c>
      <c r="F11696" s="1">
        <v>1</v>
      </c>
      <c r="G11696" s="1">
        <v>2539</v>
      </c>
      <c r="H11696" s="1">
        <v>2539</v>
      </c>
      <c r="I11696" s="1">
        <v>0</v>
      </c>
      <c r="J11696" s="1">
        <v>1</v>
      </c>
      <c r="K11696" s="1">
        <v>0</v>
      </c>
    </row>
    <row r="11697" spans="1:11" x14ac:dyDescent="0.2">
      <c r="A11697" s="1" t="s">
        <v>1578</v>
      </c>
      <c r="B11697" s="1" t="s">
        <v>1627</v>
      </c>
      <c r="C11697" s="1" t="str">
        <f>"66298848154338"</f>
        <v>66298848154338</v>
      </c>
      <c r="D11697" s="1" t="str">
        <f>"400678"</f>
        <v>400678</v>
      </c>
      <c r="E11697" s="1" t="s">
        <v>4579</v>
      </c>
      <c r="F11697" s="1">
        <v>1</v>
      </c>
      <c r="G11697" s="1">
        <v>1464</v>
      </c>
      <c r="H11697" s="1">
        <v>1464</v>
      </c>
      <c r="I11697" s="1">
        <v>0</v>
      </c>
      <c r="J11697" s="1">
        <v>1</v>
      </c>
      <c r="K11697" s="1">
        <v>0</v>
      </c>
    </row>
    <row r="11698" spans="1:11" x14ac:dyDescent="0.2">
      <c r="A11698" s="1" t="s">
        <v>1578</v>
      </c>
      <c r="B11698" s="1" t="s">
        <v>1628</v>
      </c>
      <c r="C11698" s="1" t="str">
        <f>"66298848196303"</f>
        <v>66298848196303</v>
      </c>
      <c r="D11698" s="1" t="str">
        <f>"400680"</f>
        <v>400680</v>
      </c>
      <c r="E11698" s="1" t="s">
        <v>4579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</row>
    <row r="11699" spans="1:11" x14ac:dyDescent="0.2">
      <c r="A11699" s="1" t="s">
        <v>1578</v>
      </c>
      <c r="B11699" s="1" t="s">
        <v>1629</v>
      </c>
      <c r="C11699" s="1" t="str">
        <f>"66298848239798"</f>
        <v>66298848239798</v>
      </c>
      <c r="D11699" s="1" t="str">
        <f>"400676"</f>
        <v>400676</v>
      </c>
      <c r="E11699" s="1" t="s">
        <v>4579</v>
      </c>
      <c r="F11699" s="1">
        <v>1</v>
      </c>
      <c r="G11699" s="1">
        <v>2291</v>
      </c>
      <c r="H11699" s="1">
        <v>2291</v>
      </c>
      <c r="I11699" s="1">
        <v>0</v>
      </c>
      <c r="J11699" s="1">
        <v>1</v>
      </c>
      <c r="K11699" s="1">
        <v>0</v>
      </c>
    </row>
    <row r="11700" spans="1:11" x14ac:dyDescent="0.2">
      <c r="A11700" s="1" t="s">
        <v>1578</v>
      </c>
      <c r="B11700" s="1" t="s">
        <v>1630</v>
      </c>
      <c r="C11700" s="1" t="str">
        <f>"24648"</f>
        <v>24648</v>
      </c>
      <c r="D11700" s="1" t="str">
        <f>"24648"</f>
        <v>24648</v>
      </c>
      <c r="E11700" s="1" t="s">
        <v>4579</v>
      </c>
      <c r="F11700" s="1">
        <v>1</v>
      </c>
      <c r="G11700" s="1">
        <v>2930</v>
      </c>
      <c r="H11700" s="1">
        <v>2930</v>
      </c>
      <c r="I11700" s="1">
        <v>0</v>
      </c>
      <c r="J11700" s="1">
        <v>1</v>
      </c>
      <c r="K11700" s="1">
        <v>0</v>
      </c>
    </row>
    <row r="11701" spans="1:11" x14ac:dyDescent="0.2">
      <c r="A11701" s="1" t="s">
        <v>1578</v>
      </c>
      <c r="B11701" s="1" t="s">
        <v>1631</v>
      </c>
      <c r="C11701" s="1" t="str">
        <f>"66298848326497"</f>
        <v>66298848326497</v>
      </c>
      <c r="D11701" s="1" t="str">
        <f>"400748"</f>
        <v>400748</v>
      </c>
      <c r="E11701" s="1" t="s">
        <v>4579</v>
      </c>
      <c r="F11701" s="1">
        <v>1</v>
      </c>
      <c r="G11701" s="1">
        <v>1932</v>
      </c>
      <c r="H11701" s="1">
        <v>1932</v>
      </c>
      <c r="I11701" s="1">
        <v>0</v>
      </c>
      <c r="J11701" s="1">
        <v>1</v>
      </c>
      <c r="K11701" s="1">
        <v>0</v>
      </c>
    </row>
    <row r="11702" spans="1:11" x14ac:dyDescent="0.2">
      <c r="A11702" s="1" t="s">
        <v>1578</v>
      </c>
      <c r="B11702" s="1" t="s">
        <v>1632</v>
      </c>
      <c r="C11702" s="1" t="str">
        <f>"66298848371319"</f>
        <v>66298848371319</v>
      </c>
      <c r="D11702" s="1" t="str">
        <f>"400749"</f>
        <v>400749</v>
      </c>
      <c r="E11702" s="1" t="s">
        <v>4579</v>
      </c>
      <c r="F11702" s="1">
        <v>1</v>
      </c>
      <c r="G11702" s="1">
        <v>2038</v>
      </c>
      <c r="H11702" s="1">
        <v>2038</v>
      </c>
      <c r="I11702" s="1">
        <v>0</v>
      </c>
      <c r="J11702" s="1">
        <v>1</v>
      </c>
      <c r="K11702" s="1">
        <v>0</v>
      </c>
    </row>
    <row r="11703" spans="1:11" x14ac:dyDescent="0.2">
      <c r="A11703" s="1" t="s">
        <v>1578</v>
      </c>
      <c r="B11703" s="1" t="s">
        <v>1633</v>
      </c>
      <c r="C11703" s="1" t="str">
        <f>"66298848416535"</f>
        <v>66298848416535</v>
      </c>
      <c r="D11703" s="1" t="str">
        <f>"400751"</f>
        <v>400751</v>
      </c>
      <c r="E11703" s="1" t="s">
        <v>4579</v>
      </c>
      <c r="F11703" s="1">
        <v>1</v>
      </c>
      <c r="G11703" s="1">
        <v>2126</v>
      </c>
      <c r="H11703" s="1">
        <v>2126</v>
      </c>
      <c r="I11703" s="1">
        <v>0</v>
      </c>
      <c r="J11703" s="1">
        <v>1</v>
      </c>
      <c r="K11703" s="1">
        <v>0</v>
      </c>
    </row>
    <row r="11704" spans="1:11" x14ac:dyDescent="0.2">
      <c r="A11704" s="1" t="s">
        <v>1578</v>
      </c>
      <c r="B11704" s="1" t="s">
        <v>1634</v>
      </c>
      <c r="C11704" s="1" t="str">
        <f>"H1116"</f>
        <v>H1116</v>
      </c>
      <c r="D11704" s="1" t="str">
        <f>"H1116"</f>
        <v>H1116</v>
      </c>
      <c r="E11704" s="1" t="s">
        <v>4579</v>
      </c>
      <c r="F11704" s="1">
        <v>1</v>
      </c>
      <c r="G11704" s="1">
        <v>2780</v>
      </c>
      <c r="H11704" s="1">
        <v>2780</v>
      </c>
      <c r="I11704" s="1">
        <v>0</v>
      </c>
      <c r="J11704" s="1">
        <v>1</v>
      </c>
      <c r="K11704" s="1">
        <v>0</v>
      </c>
    </row>
    <row r="11705" spans="1:11" x14ac:dyDescent="0.2">
      <c r="A11705" s="1" t="s">
        <v>1578</v>
      </c>
      <c r="B11705" s="1" t="s">
        <v>1635</v>
      </c>
      <c r="C11705" s="1" t="str">
        <f>"66298848458331"</f>
        <v>66298848458331</v>
      </c>
      <c r="D11705" s="1" t="str">
        <f>"400750"</f>
        <v>400750</v>
      </c>
      <c r="E11705" s="1" t="s">
        <v>4579</v>
      </c>
      <c r="F11705" s="1">
        <v>1</v>
      </c>
      <c r="G11705" s="1">
        <v>3926</v>
      </c>
      <c r="H11705" s="1">
        <v>3926</v>
      </c>
      <c r="I11705" s="1">
        <v>0</v>
      </c>
      <c r="J11705" s="1">
        <v>1</v>
      </c>
      <c r="K11705" s="1">
        <v>0</v>
      </c>
    </row>
    <row r="11706" spans="1:11" x14ac:dyDescent="0.2">
      <c r="A11706" s="1" t="s">
        <v>1578</v>
      </c>
      <c r="B11706" s="1" t="s">
        <v>1636</v>
      </c>
      <c r="C11706" s="1" t="str">
        <f>"66298848502114"</f>
        <v>66298848502114</v>
      </c>
      <c r="D11706" s="1" t="str">
        <f>"24103H3E061H000"</f>
        <v>24103H3E061H000</v>
      </c>
      <c r="E11706" s="1" t="s">
        <v>4579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</row>
    <row r="11707" spans="1:11" x14ac:dyDescent="0.2">
      <c r="A11707" s="1" t="s">
        <v>1578</v>
      </c>
      <c r="B11707" s="1" t="s">
        <v>1637</v>
      </c>
      <c r="C11707" s="1" t="str">
        <f>"66298848544753"</f>
        <v>66298848544753</v>
      </c>
      <c r="D11707" s="1" t="str">
        <f>"CBP180-E15-31"</f>
        <v>CBP180-E15-31</v>
      </c>
      <c r="E11707" s="1" t="s">
        <v>4579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</row>
    <row r="11708" spans="1:11" x14ac:dyDescent="0.2">
      <c r="A11708" s="1" t="s">
        <v>1578</v>
      </c>
      <c r="B11708" s="1" t="s">
        <v>1638</v>
      </c>
      <c r="C11708" s="1" t="str">
        <f>"66298848584138"</f>
        <v>66298848584138</v>
      </c>
      <c r="D11708" s="1" t="str">
        <f>"24651"</f>
        <v>24651</v>
      </c>
      <c r="E11708" s="1" t="s">
        <v>4579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</row>
    <row r="11709" spans="1:11" x14ac:dyDescent="0.2">
      <c r="A11709" s="1" t="s">
        <v>1578</v>
      </c>
      <c r="B11709" s="1" t="s">
        <v>1639</v>
      </c>
      <c r="C11709" s="1" t="str">
        <f>"66298848629436"</f>
        <v>66298848629436</v>
      </c>
      <c r="D11709" s="1" t="str">
        <f>"24102H3E010H000"</f>
        <v>24102H3E010H000</v>
      </c>
      <c r="E11709" s="1" t="s">
        <v>4579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</row>
    <row r="11710" spans="1:11" x14ac:dyDescent="0.2">
      <c r="A11710" s="1" t="s">
        <v>1578</v>
      </c>
      <c r="B11710" s="1" t="s">
        <v>1640</v>
      </c>
      <c r="C11710" s="1" t="str">
        <f>"66298848672052"</f>
        <v>66298848672052</v>
      </c>
      <c r="D11710" s="1" t="str">
        <f>"CBP180-E15-32"</f>
        <v>CBP180-E15-32</v>
      </c>
      <c r="E11710" s="1" t="s">
        <v>4579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</row>
    <row r="11711" spans="1:11" x14ac:dyDescent="0.2">
      <c r="A11711" s="1" t="s">
        <v>1578</v>
      </c>
      <c r="B11711" s="1" t="s">
        <v>1641</v>
      </c>
      <c r="C11711" s="1" t="str">
        <f>"66298848711146"</f>
        <v>66298848711146</v>
      </c>
      <c r="D11711" s="1" t="str">
        <f>"19"</f>
        <v>19</v>
      </c>
      <c r="E11711" s="1" t="s">
        <v>4579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</row>
    <row r="11712" spans="1:11" x14ac:dyDescent="0.2">
      <c r="A11712" s="1" t="s">
        <v>1578</v>
      </c>
      <c r="B11712" s="1" t="s">
        <v>1642</v>
      </c>
      <c r="C11712" s="1" t="str">
        <f>"66298848752886"</f>
        <v>66298848752886</v>
      </c>
      <c r="D11712" s="1" t="str">
        <f>"26"</f>
        <v>26</v>
      </c>
      <c r="E11712" s="1" t="s">
        <v>4579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</row>
    <row r="11713" spans="1:11" x14ac:dyDescent="0.2">
      <c r="A11713" s="1" t="s">
        <v>1578</v>
      </c>
      <c r="B11713" s="1" t="s">
        <v>1643</v>
      </c>
      <c r="C11713" s="1" t="str">
        <f>"66298848794784"</f>
        <v>66298848794784</v>
      </c>
      <c r="D11713" s="1" t="str">
        <f>"25"</f>
        <v>25</v>
      </c>
      <c r="E11713" s="1" t="s">
        <v>4579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</row>
    <row r="11714" spans="1:11" x14ac:dyDescent="0.2">
      <c r="A11714" s="1" t="s">
        <v>1578</v>
      </c>
      <c r="B11714" s="1" t="s">
        <v>1644</v>
      </c>
      <c r="C11714" s="1" t="str">
        <f>"66298848831349"</f>
        <v>66298848831349</v>
      </c>
      <c r="D11714" s="1" t="str">
        <f>"85024"</f>
        <v>85024</v>
      </c>
      <c r="E11714" s="1" t="s">
        <v>4579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</row>
    <row r="11715" spans="1:11" x14ac:dyDescent="0.2">
      <c r="A11715" s="1" t="s">
        <v>1578</v>
      </c>
      <c r="B11715" s="1" t="s">
        <v>1645</v>
      </c>
      <c r="C11715" s="1" t="str">
        <f>"GJ012"</f>
        <v>GJ012</v>
      </c>
      <c r="D11715" s="1" t="str">
        <f>"GJ012"</f>
        <v>GJ012</v>
      </c>
      <c r="E11715" s="1" t="s">
        <v>4579</v>
      </c>
      <c r="F11715" s="1">
        <v>2</v>
      </c>
      <c r="G11715" s="1">
        <v>1070</v>
      </c>
      <c r="H11715" s="1">
        <v>2140</v>
      </c>
      <c r="I11715" s="1">
        <v>0</v>
      </c>
      <c r="J11715" s="1">
        <v>2</v>
      </c>
      <c r="K11715" s="1">
        <v>0</v>
      </c>
    </row>
    <row r="11716" spans="1:11" x14ac:dyDescent="0.2">
      <c r="A11716" s="1" t="s">
        <v>1578</v>
      </c>
      <c r="B11716" s="1" t="s">
        <v>1646</v>
      </c>
      <c r="C11716" s="1" t="str">
        <f>"GJ011"</f>
        <v>GJ011</v>
      </c>
      <c r="D11716" s="1" t="str">
        <f>"GJ011"</f>
        <v>GJ011</v>
      </c>
      <c r="E11716" s="1" t="s">
        <v>4579</v>
      </c>
      <c r="F11716" s="1">
        <v>2</v>
      </c>
      <c r="G11716" s="1">
        <v>930</v>
      </c>
      <c r="H11716" s="1">
        <v>1860</v>
      </c>
      <c r="I11716" s="1">
        <v>0</v>
      </c>
      <c r="J11716" s="1">
        <v>2</v>
      </c>
      <c r="K11716" s="1">
        <v>0</v>
      </c>
    </row>
    <row r="11717" spans="1:11" x14ac:dyDescent="0.2">
      <c r="A11717" s="1" t="s">
        <v>1578</v>
      </c>
      <c r="B11717" s="1" t="s">
        <v>1647</v>
      </c>
      <c r="C11717" s="1" t="str">
        <f>"66298848872274"</f>
        <v>66298848872274</v>
      </c>
      <c r="D11717" s="1" t="str">
        <f>"GJ014"</f>
        <v>GJ014</v>
      </c>
      <c r="E11717" s="1" t="s">
        <v>4579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</row>
    <row r="11718" spans="1:11" x14ac:dyDescent="0.2">
      <c r="A11718" s="1" t="s">
        <v>1578</v>
      </c>
      <c r="B11718" s="1" t="s">
        <v>1648</v>
      </c>
      <c r="C11718" s="1" t="str">
        <f>"GJ005"</f>
        <v>GJ005</v>
      </c>
      <c r="D11718" s="1" t="str">
        <f>"GJ005"</f>
        <v>GJ005</v>
      </c>
      <c r="E11718" s="1" t="s">
        <v>4579</v>
      </c>
      <c r="F11718" s="1">
        <v>2</v>
      </c>
      <c r="G11718" s="1">
        <v>1550</v>
      </c>
      <c r="H11718" s="1">
        <v>3100</v>
      </c>
      <c r="I11718" s="1">
        <v>0</v>
      </c>
      <c r="J11718" s="1">
        <v>2</v>
      </c>
      <c r="K11718" s="1">
        <v>0</v>
      </c>
    </row>
    <row r="11719" spans="1:11" x14ac:dyDescent="0.2">
      <c r="A11719" s="1" t="s">
        <v>1578</v>
      </c>
      <c r="B11719" s="1" t="s">
        <v>1649</v>
      </c>
      <c r="C11719" s="1" t="str">
        <f>"GJ002"</f>
        <v>GJ002</v>
      </c>
      <c r="D11719" s="1" t="str">
        <f>"GJ002"</f>
        <v>GJ002</v>
      </c>
      <c r="E11719" s="1" t="s">
        <v>4579</v>
      </c>
      <c r="F11719" s="1">
        <v>2</v>
      </c>
      <c r="G11719" s="1">
        <v>1450</v>
      </c>
      <c r="H11719" s="1">
        <v>2900</v>
      </c>
      <c r="I11719" s="1">
        <v>0</v>
      </c>
      <c r="J11719" s="1">
        <v>2</v>
      </c>
      <c r="K11719" s="1">
        <v>0</v>
      </c>
    </row>
    <row r="11720" spans="1:11" x14ac:dyDescent="0.2">
      <c r="A11720" s="1" t="s">
        <v>1213</v>
      </c>
      <c r="B11720" s="1" t="s">
        <v>1650</v>
      </c>
      <c r="C11720" s="1" t="str">
        <f>"11551"</f>
        <v>11551</v>
      </c>
      <c r="D11720" s="1" t="str">
        <f>"11551"</f>
        <v>11551</v>
      </c>
      <c r="E11720" s="1" t="s">
        <v>4579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</row>
    <row r="11721" spans="1:11" x14ac:dyDescent="0.2">
      <c r="A11721" s="1" t="s">
        <v>1213</v>
      </c>
      <c r="B11721" s="1" t="s">
        <v>1651</v>
      </c>
      <c r="C11721" s="1" t="str">
        <f>"66298849226190"</f>
        <v>66298849226190</v>
      </c>
      <c r="D11721" s="1" t="str">
        <f>"2301A-KEC6-C00JP"</f>
        <v>2301A-KEC6-C00JP</v>
      </c>
      <c r="E11721" s="1" t="s">
        <v>4579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</row>
    <row r="11722" spans="1:11" x14ac:dyDescent="0.2">
      <c r="A11722" s="1" t="s">
        <v>1213</v>
      </c>
      <c r="B11722" s="1" t="s">
        <v>1652</v>
      </c>
      <c r="C11722" s="1" t="str">
        <f>"66298849271753"</f>
        <v>66298849271753</v>
      </c>
      <c r="D11722" s="1" t="str">
        <f>"22535-KRW-900"</f>
        <v>22535-KRW-900</v>
      </c>
      <c r="E11722" s="1" t="s">
        <v>4579</v>
      </c>
      <c r="F11722" s="1">
        <v>1</v>
      </c>
      <c r="G11722" s="1">
        <v>10807</v>
      </c>
      <c r="H11722" s="1">
        <v>10807</v>
      </c>
      <c r="I11722" s="1">
        <v>0</v>
      </c>
      <c r="J11722" s="1">
        <v>1</v>
      </c>
      <c r="K11722" s="1">
        <v>0</v>
      </c>
    </row>
    <row r="11723" spans="1:11" x14ac:dyDescent="0.2">
      <c r="A11723" s="1" t="s">
        <v>1213</v>
      </c>
      <c r="B11723" s="1" t="s">
        <v>1653</v>
      </c>
      <c r="C11723" s="1" t="str">
        <f>"66298849321299"</f>
        <v>66298849321299</v>
      </c>
      <c r="D11723" s="1" t="str">
        <f>"CD018"</f>
        <v>CD018</v>
      </c>
      <c r="E11723" s="1" t="s">
        <v>4579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</row>
    <row r="11724" spans="1:11" x14ac:dyDescent="0.2">
      <c r="A11724" s="1" t="s">
        <v>1213</v>
      </c>
      <c r="B11724" s="1" t="s">
        <v>1653</v>
      </c>
      <c r="C11724" s="1" t="str">
        <f>"66298849326472"</f>
        <v>66298849326472</v>
      </c>
      <c r="D11724" s="1" t="str">
        <f>"CD017"</f>
        <v>CD017</v>
      </c>
      <c r="E11724" s="1" t="s">
        <v>4579</v>
      </c>
      <c r="F11724" s="1">
        <v>2</v>
      </c>
      <c r="G11724" s="1">
        <v>3660</v>
      </c>
      <c r="H11724" s="1">
        <v>7320</v>
      </c>
      <c r="I11724" s="1">
        <v>0</v>
      </c>
      <c r="J11724" s="1">
        <v>2</v>
      </c>
      <c r="K11724" s="1">
        <v>0</v>
      </c>
    </row>
    <row r="11725" spans="1:11" x14ac:dyDescent="0.2">
      <c r="A11725" s="1" t="s">
        <v>1213</v>
      </c>
      <c r="B11725" s="1" t="s">
        <v>1654</v>
      </c>
      <c r="C11725" s="1" t="str">
        <f>"66298849378315"</f>
        <v>66298849378315</v>
      </c>
      <c r="D11725" s="1" t="str">
        <f>"400714"</f>
        <v>400714</v>
      </c>
      <c r="E11725" s="1" t="s">
        <v>4579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</row>
    <row r="11726" spans="1:11" x14ac:dyDescent="0.2">
      <c r="A11726" s="1" t="s">
        <v>1213</v>
      </c>
      <c r="B11726" s="1" t="s">
        <v>1655</v>
      </c>
      <c r="C11726" s="1" t="str">
        <f>"66298849417655"</f>
        <v>66298849417655</v>
      </c>
      <c r="D11726" s="1" t="str">
        <f>"400715"</f>
        <v>400715</v>
      </c>
      <c r="E11726" s="1" t="s">
        <v>4579</v>
      </c>
      <c r="F11726" s="1">
        <v>1</v>
      </c>
      <c r="G11726" s="1">
        <v>11953</v>
      </c>
      <c r="H11726" s="1">
        <v>11953</v>
      </c>
      <c r="I11726" s="1">
        <v>0</v>
      </c>
      <c r="J11726" s="1">
        <v>1</v>
      </c>
      <c r="K11726" s="1">
        <v>0</v>
      </c>
    </row>
    <row r="11727" spans="1:11" x14ac:dyDescent="0.2">
      <c r="A11727" s="1" t="s">
        <v>1213</v>
      </c>
      <c r="B11727" s="1" t="s">
        <v>1656</v>
      </c>
      <c r="C11727" s="1" t="str">
        <f>"66298849458330"</f>
        <v>66298849458330</v>
      </c>
      <c r="D11727" s="1" t="str">
        <f>"400716"</f>
        <v>400716</v>
      </c>
      <c r="E11727" s="1" t="s">
        <v>4579</v>
      </c>
      <c r="F11727" s="1">
        <v>1</v>
      </c>
      <c r="G11727" s="1">
        <v>17281</v>
      </c>
      <c r="H11727" s="1">
        <v>17281</v>
      </c>
      <c r="I11727" s="1">
        <v>0</v>
      </c>
      <c r="J11727" s="1">
        <v>1</v>
      </c>
      <c r="K11727" s="1">
        <v>0</v>
      </c>
    </row>
    <row r="11728" spans="1:11" ht="30" x14ac:dyDescent="0.2">
      <c r="A11728" s="1" t="s">
        <v>1213</v>
      </c>
      <c r="B11728" s="1" t="s">
        <v>1657</v>
      </c>
      <c r="C11728" s="1" t="str">
        <f>"66298849496895"</f>
        <v>66298849496895</v>
      </c>
      <c r="D11728" s="1" t="str">
        <f>"C202"</f>
        <v>C202</v>
      </c>
      <c r="E11728" s="1" t="s">
        <v>4579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</row>
    <row r="11729" spans="1:11" x14ac:dyDescent="0.2">
      <c r="A11729" s="1" t="s">
        <v>1213</v>
      </c>
      <c r="B11729" s="1" t="s">
        <v>1658</v>
      </c>
      <c r="C11729" s="1" t="str">
        <f>"66298849542073"</f>
        <v>66298849542073</v>
      </c>
      <c r="D11729" s="1" t="str">
        <f>"CA003"</f>
        <v>CA003</v>
      </c>
      <c r="E11729" s="1" t="s">
        <v>4579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</row>
    <row r="11730" spans="1:11" x14ac:dyDescent="0.2">
      <c r="A11730" s="1" t="s">
        <v>1213</v>
      </c>
      <c r="B11730" s="1" t="s">
        <v>1658</v>
      </c>
      <c r="C11730" s="1" t="str">
        <f>"66298849548648"</f>
        <v>66298849548648</v>
      </c>
      <c r="D11730" s="1" t="str">
        <f>"CA003-A"</f>
        <v>CA003-A</v>
      </c>
      <c r="E11730" s="1" t="s">
        <v>4579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</row>
    <row r="11731" spans="1:11" x14ac:dyDescent="0.2">
      <c r="A11731" s="1" t="s">
        <v>1213</v>
      </c>
      <c r="B11731" s="1" t="s">
        <v>1659</v>
      </c>
      <c r="C11731" s="1" t="str">
        <f>"66298849607619"</f>
        <v>66298849607619</v>
      </c>
      <c r="D11731" s="1" t="str">
        <f>"C212"</f>
        <v>C212</v>
      </c>
      <c r="E11731" s="1" t="s">
        <v>4579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</row>
    <row r="11732" spans="1:11" x14ac:dyDescent="0.2">
      <c r="A11732" s="1" t="s">
        <v>1213</v>
      </c>
      <c r="B11732" s="1" t="s">
        <v>1660</v>
      </c>
      <c r="C11732" s="1" t="str">
        <f>"49CC91"</f>
        <v>49CC91</v>
      </c>
      <c r="D11732" s="1" t="str">
        <f>"49CC91"</f>
        <v>49CC91</v>
      </c>
      <c r="E11732" s="1" t="s">
        <v>4579</v>
      </c>
      <c r="F11732" s="1">
        <v>1</v>
      </c>
      <c r="G11732" s="1">
        <v>14950</v>
      </c>
      <c r="H11732" s="1">
        <v>14950</v>
      </c>
      <c r="I11732" s="1">
        <v>0</v>
      </c>
      <c r="J11732" s="1">
        <v>1</v>
      </c>
      <c r="K11732" s="1">
        <v>0</v>
      </c>
    </row>
    <row r="11733" spans="1:11" x14ac:dyDescent="0.2">
      <c r="A11733" s="1" t="s">
        <v>1213</v>
      </c>
      <c r="B11733" s="1" t="s">
        <v>1661</v>
      </c>
      <c r="C11733" s="1" t="str">
        <f>"11484"</f>
        <v>11484</v>
      </c>
      <c r="D11733" s="1" t="str">
        <f>"11484"</f>
        <v>11484</v>
      </c>
      <c r="E11733" s="1" t="s">
        <v>4579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</row>
    <row r="11734" spans="1:11" x14ac:dyDescent="0.2">
      <c r="A11734" s="1" t="s">
        <v>1213</v>
      </c>
      <c r="B11734" s="1" t="s">
        <v>1662</v>
      </c>
      <c r="C11734" s="1" t="str">
        <f>"66298849657839"</f>
        <v>66298849657839</v>
      </c>
      <c r="D11734" s="1" t="str">
        <f>"22120-KWS-901-K"</f>
        <v>22120-KWS-901-K</v>
      </c>
      <c r="E11734" s="1" t="s">
        <v>4579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</row>
    <row r="11735" spans="1:11" x14ac:dyDescent="0.2">
      <c r="A11735" s="1" t="s">
        <v>1213</v>
      </c>
      <c r="B11735" s="1" t="s">
        <v>1662</v>
      </c>
      <c r="C11735" s="1" t="str">
        <f>"66298849664651"</f>
        <v>66298849664651</v>
      </c>
      <c r="D11735" s="1" t="str">
        <f>"C210"</f>
        <v>C210</v>
      </c>
      <c r="E11735" s="1" t="s">
        <v>4579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</row>
    <row r="11736" spans="1:11" x14ac:dyDescent="0.2">
      <c r="A11736" s="1" t="s">
        <v>1213</v>
      </c>
      <c r="B11736" s="1" t="s">
        <v>1663</v>
      </c>
      <c r="C11736" s="1" t="str">
        <f>"66298849720603"</f>
        <v>66298849720603</v>
      </c>
      <c r="D11736" s="1" t="str">
        <f>"400729"</f>
        <v>400729</v>
      </c>
      <c r="E11736" s="1" t="s">
        <v>4579</v>
      </c>
      <c r="F11736" s="1">
        <v>1</v>
      </c>
      <c r="G11736" s="1">
        <v>6701</v>
      </c>
      <c r="H11736" s="1">
        <v>6701</v>
      </c>
      <c r="I11736" s="1">
        <v>0</v>
      </c>
      <c r="J11736" s="1">
        <v>1</v>
      </c>
      <c r="K11736" s="1">
        <v>0</v>
      </c>
    </row>
    <row r="11737" spans="1:11" x14ac:dyDescent="0.2">
      <c r="A11737" s="1" t="s">
        <v>1213</v>
      </c>
      <c r="B11737" s="1" t="s">
        <v>1664</v>
      </c>
      <c r="C11737" s="1" t="str">
        <f>"66298849761333"</f>
        <v>66298849761333</v>
      </c>
      <c r="D11737" s="1" t="str">
        <f>"22120-KTE-901-K"</f>
        <v>22120-KTE-901-K</v>
      </c>
      <c r="E11737" s="1" t="s">
        <v>4579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</row>
    <row r="11738" spans="1:11" x14ac:dyDescent="0.2">
      <c r="A11738" s="1" t="s">
        <v>1213</v>
      </c>
      <c r="B11738" s="1" t="s">
        <v>1665</v>
      </c>
      <c r="C11738" s="1" t="str">
        <f>"66298849801400"</f>
        <v>66298849801400</v>
      </c>
      <c r="D11738" s="1" t="str">
        <f>"400727"</f>
        <v>400727</v>
      </c>
      <c r="E11738" s="1" t="s">
        <v>4579</v>
      </c>
      <c r="F11738" s="1">
        <v>1</v>
      </c>
      <c r="G11738" s="1">
        <v>4801</v>
      </c>
      <c r="H11738" s="1">
        <v>4801</v>
      </c>
      <c r="I11738" s="1">
        <v>0</v>
      </c>
      <c r="J11738" s="1">
        <v>1</v>
      </c>
      <c r="K11738" s="1">
        <v>0</v>
      </c>
    </row>
    <row r="11739" spans="1:11" x14ac:dyDescent="0.2">
      <c r="A11739" s="1" t="s">
        <v>1213</v>
      </c>
      <c r="B11739" s="1" t="s">
        <v>1666</v>
      </c>
      <c r="C11739" s="1" t="str">
        <f>"66298849924730"</f>
        <v>66298849924730</v>
      </c>
      <c r="D11739" s="1" t="str">
        <f>"400730"</f>
        <v>400730</v>
      </c>
      <c r="E11739" s="1" t="s">
        <v>4579</v>
      </c>
      <c r="F11739" s="1">
        <v>1</v>
      </c>
      <c r="G11739" s="1">
        <v>8265</v>
      </c>
      <c r="H11739" s="1">
        <v>8265</v>
      </c>
      <c r="I11739" s="1">
        <v>0</v>
      </c>
      <c r="J11739" s="1">
        <v>1</v>
      </c>
      <c r="K11739" s="1">
        <v>0</v>
      </c>
    </row>
    <row r="11740" spans="1:11" x14ac:dyDescent="0.2">
      <c r="A11740" s="1" t="s">
        <v>1213</v>
      </c>
      <c r="B11740" s="1" t="s">
        <v>1667</v>
      </c>
      <c r="C11740" s="1" t="str">
        <f>"66298849839322"</f>
        <v>66298849839322</v>
      </c>
      <c r="D11740" s="1" t="str">
        <f>"21C-E6371-00-K"</f>
        <v>21C-E6371-00-K</v>
      </c>
      <c r="E11740" s="1" t="s">
        <v>4579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</row>
    <row r="11741" spans="1:11" x14ac:dyDescent="0.2">
      <c r="A11741" s="1" t="s">
        <v>1213</v>
      </c>
      <c r="B11741" s="1" t="s">
        <v>1667</v>
      </c>
      <c r="C11741" s="1" t="str">
        <f>"66298849879548"</f>
        <v>66298849879548</v>
      </c>
      <c r="D11741" s="1" t="str">
        <f>"C209"</f>
        <v>C209</v>
      </c>
      <c r="E11741" s="1" t="s">
        <v>4579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</row>
    <row r="11742" spans="1:11" x14ac:dyDescent="0.2">
      <c r="A11742" s="1" t="s">
        <v>1213</v>
      </c>
      <c r="B11742" s="1" t="s">
        <v>1668</v>
      </c>
      <c r="C11742" s="1" t="str">
        <f>"66298849966815"</f>
        <v>66298849966815</v>
      </c>
      <c r="D11742" s="1" t="str">
        <f>"400731"</f>
        <v>400731</v>
      </c>
      <c r="E11742" s="1" t="s">
        <v>4579</v>
      </c>
      <c r="F11742" s="1">
        <v>1</v>
      </c>
      <c r="G11742" s="1">
        <v>5254</v>
      </c>
      <c r="H11742" s="1">
        <v>5254</v>
      </c>
      <c r="I11742" s="1">
        <v>0</v>
      </c>
      <c r="J11742" s="1">
        <v>1</v>
      </c>
      <c r="K11742" s="1">
        <v>0</v>
      </c>
    </row>
    <row r="11743" spans="1:11" x14ac:dyDescent="0.2">
      <c r="A11743" s="1" t="s">
        <v>1213</v>
      </c>
      <c r="B11743" s="1" t="s">
        <v>1669</v>
      </c>
      <c r="C11743" s="1" t="str">
        <f>"66298850017182"</f>
        <v>66298850017182</v>
      </c>
      <c r="D11743" s="1" t="str">
        <f>"JE-5514-00"</f>
        <v>JE-5514-00</v>
      </c>
      <c r="E11743" s="1" t="s">
        <v>4579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</row>
    <row r="11744" spans="1:11" x14ac:dyDescent="0.2">
      <c r="A11744" s="1" t="s">
        <v>1213</v>
      </c>
      <c r="B11744" s="1" t="s">
        <v>1670</v>
      </c>
      <c r="C11744" s="1" t="str">
        <f>"DK-1015-63"</f>
        <v>DK-1015-63</v>
      </c>
      <c r="D11744" s="1" t="str">
        <f>"DK-1015-63"</f>
        <v>DK-1015-63</v>
      </c>
      <c r="E11744" s="1" t="s">
        <v>4579</v>
      </c>
      <c r="F11744" s="1">
        <v>1</v>
      </c>
      <c r="G11744" s="1">
        <v>18979</v>
      </c>
      <c r="H11744" s="1">
        <v>18979</v>
      </c>
      <c r="I11744" s="1">
        <v>0</v>
      </c>
      <c r="J11744" s="1">
        <v>1</v>
      </c>
      <c r="K11744" s="1">
        <v>0</v>
      </c>
    </row>
    <row r="11745" spans="1:11" x14ac:dyDescent="0.2">
      <c r="A11745" s="1" t="s">
        <v>1213</v>
      </c>
      <c r="B11745" s="1" t="s">
        <v>1671</v>
      </c>
      <c r="C11745" s="1" t="str">
        <f>"66298850115445"</f>
        <v>66298850115445</v>
      </c>
      <c r="D11745" s="1" t="str">
        <f>"400725"</f>
        <v>400725</v>
      </c>
      <c r="E11745" s="1" t="s">
        <v>4579</v>
      </c>
      <c r="F11745" s="1">
        <v>1</v>
      </c>
      <c r="G11745" s="1">
        <v>7924</v>
      </c>
      <c r="H11745" s="1">
        <v>7924</v>
      </c>
      <c r="I11745" s="1">
        <v>0</v>
      </c>
      <c r="J11745" s="1">
        <v>1</v>
      </c>
      <c r="K11745" s="1">
        <v>0</v>
      </c>
    </row>
    <row r="11746" spans="1:11" x14ac:dyDescent="0.2">
      <c r="A11746" s="1" t="s">
        <v>1213</v>
      </c>
      <c r="B11746" s="1" t="s">
        <v>1672</v>
      </c>
      <c r="C11746" s="1" t="str">
        <f>"C217"</f>
        <v>C217</v>
      </c>
      <c r="D11746" s="1" t="str">
        <f>"C217"</f>
        <v>C217</v>
      </c>
      <c r="E11746" s="1" t="s">
        <v>4579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</row>
    <row r="11747" spans="1:11" ht="30" x14ac:dyDescent="0.2">
      <c r="A11747" s="1" t="s">
        <v>1213</v>
      </c>
      <c r="B11747" s="1" t="s">
        <v>1673</v>
      </c>
      <c r="C11747" s="1" t="str">
        <f>"66298850195872"</f>
        <v>66298850195872</v>
      </c>
      <c r="D11747" s="1" t="str">
        <f>"400726"</f>
        <v>400726</v>
      </c>
      <c r="E11747" s="1" t="s">
        <v>4579</v>
      </c>
      <c r="F11747" s="1">
        <v>2</v>
      </c>
      <c r="G11747" s="1">
        <v>11291</v>
      </c>
      <c r="H11747" s="1">
        <v>22582</v>
      </c>
      <c r="I11747" s="1">
        <v>0</v>
      </c>
      <c r="J11747" s="1">
        <v>2</v>
      </c>
      <c r="K11747" s="1">
        <v>0</v>
      </c>
    </row>
    <row r="11748" spans="1:11" x14ac:dyDescent="0.2">
      <c r="A11748" s="1" t="s">
        <v>1213</v>
      </c>
      <c r="B11748" s="1" t="s">
        <v>1674</v>
      </c>
      <c r="C11748" s="1" t="str">
        <f>"66298850347445"</f>
        <v>66298850347445</v>
      </c>
      <c r="D11748" s="1" t="str">
        <f>"400733"</f>
        <v>400733</v>
      </c>
      <c r="E11748" s="1" t="s">
        <v>4579</v>
      </c>
      <c r="F11748" s="1">
        <v>1</v>
      </c>
      <c r="G11748" s="1">
        <v>5135</v>
      </c>
      <c r="H11748" s="1">
        <v>5135</v>
      </c>
      <c r="I11748" s="1">
        <v>0</v>
      </c>
      <c r="J11748" s="1">
        <v>1</v>
      </c>
      <c r="K11748" s="1">
        <v>0</v>
      </c>
    </row>
    <row r="11749" spans="1:11" x14ac:dyDescent="0.2">
      <c r="A11749" s="1" t="s">
        <v>1213</v>
      </c>
      <c r="B11749" s="1" t="s">
        <v>1675</v>
      </c>
      <c r="C11749" s="1" t="str">
        <f>"66298850257140"</f>
        <v>66298850257140</v>
      </c>
      <c r="D11749" s="1" t="str">
        <f>"5RE-E6371-00-K"</f>
        <v>5RE-E6371-00-K</v>
      </c>
      <c r="E11749" s="1" t="s">
        <v>4579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</row>
    <row r="11750" spans="1:11" ht="30" x14ac:dyDescent="0.2">
      <c r="A11750" s="1" t="s">
        <v>1213</v>
      </c>
      <c r="B11750" s="1" t="s">
        <v>1676</v>
      </c>
      <c r="C11750" s="1" t="str">
        <f>"66298850301405"</f>
        <v>66298850301405</v>
      </c>
      <c r="D11750" s="1" t="str">
        <f>"400734"</f>
        <v>400734</v>
      </c>
      <c r="E11750" s="1" t="s">
        <v>4579</v>
      </c>
      <c r="F11750" s="1">
        <v>1</v>
      </c>
      <c r="G11750" s="1">
        <v>4652</v>
      </c>
      <c r="H11750" s="1">
        <v>4652</v>
      </c>
      <c r="I11750" s="1">
        <v>0</v>
      </c>
      <c r="J11750" s="1">
        <v>1</v>
      </c>
      <c r="K11750" s="1">
        <v>0</v>
      </c>
    </row>
    <row r="11751" spans="1:11" x14ac:dyDescent="0.2">
      <c r="A11751" s="1" t="s">
        <v>1213</v>
      </c>
      <c r="B11751" s="1" t="s">
        <v>1677</v>
      </c>
      <c r="C11751" s="1" t="str">
        <f>"C205"</f>
        <v>C205</v>
      </c>
      <c r="D11751" s="1" t="str">
        <f>"C205"</f>
        <v>C205</v>
      </c>
      <c r="E11751" s="1" t="s">
        <v>4579</v>
      </c>
      <c r="F11751" s="1">
        <v>1</v>
      </c>
      <c r="G11751" s="1">
        <v>9660</v>
      </c>
      <c r="H11751" s="1">
        <v>9660</v>
      </c>
      <c r="I11751" s="1">
        <v>0</v>
      </c>
      <c r="J11751" s="1">
        <v>1</v>
      </c>
      <c r="K11751" s="1">
        <v>0</v>
      </c>
    </row>
    <row r="11752" spans="1:11" x14ac:dyDescent="0.2">
      <c r="A11752" s="1" t="s">
        <v>1678</v>
      </c>
      <c r="B11752" s="1" t="s">
        <v>1679</v>
      </c>
      <c r="C11752" s="1" t="str">
        <f>"3MTB101303"</f>
        <v>3MTB101303</v>
      </c>
      <c r="D11752" s="1" t="str">
        <f>"3MTB101303"</f>
        <v>3MTB101303</v>
      </c>
      <c r="E11752" s="1" t="s">
        <v>4579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</row>
    <row r="11753" spans="1:11" ht="30" x14ac:dyDescent="0.2">
      <c r="A11753" s="1" t="s">
        <v>1213</v>
      </c>
      <c r="B11753" s="1" t="s">
        <v>1680</v>
      </c>
      <c r="C11753" s="1" t="str">
        <f>"66298850521522"</f>
        <v>66298850521522</v>
      </c>
      <c r="D11753" s="1" t="str">
        <f>"400907"</f>
        <v>400907</v>
      </c>
      <c r="E11753" s="1" t="s">
        <v>4579</v>
      </c>
      <c r="F11753" s="1">
        <v>1</v>
      </c>
      <c r="G11753" s="1">
        <v>4161</v>
      </c>
      <c r="H11753" s="1">
        <v>4161</v>
      </c>
      <c r="I11753" s="1">
        <v>0</v>
      </c>
      <c r="J11753" s="1">
        <v>1</v>
      </c>
      <c r="K11753" s="1">
        <v>0</v>
      </c>
    </row>
    <row r="11754" spans="1:11" ht="30" x14ac:dyDescent="0.2">
      <c r="A11754" s="1" t="s">
        <v>1213</v>
      </c>
      <c r="B11754" s="1" t="s">
        <v>1681</v>
      </c>
      <c r="C11754" s="1" t="str">
        <f>"66298850478250"</f>
        <v>66298850478250</v>
      </c>
      <c r="D11754" s="1" t="str">
        <f>"CB008"</f>
        <v>CB008</v>
      </c>
      <c r="E11754" s="1" t="s">
        <v>4579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</row>
    <row r="11755" spans="1:11" x14ac:dyDescent="0.2">
      <c r="A11755" s="1" t="s">
        <v>1213</v>
      </c>
      <c r="B11755" s="1" t="s">
        <v>1682</v>
      </c>
      <c r="C11755" s="1" t="str">
        <f>"66298850561804"</f>
        <v>66298850561804</v>
      </c>
      <c r="D11755" s="1" t="str">
        <f>"28125-KW3-006"</f>
        <v>28125-KW3-006</v>
      </c>
      <c r="E11755" s="1" t="s">
        <v>4579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</row>
    <row r="11756" spans="1:11" ht="30" x14ac:dyDescent="0.2">
      <c r="A11756" s="1" t="s">
        <v>1213</v>
      </c>
      <c r="B11756" s="1" t="s">
        <v>1683</v>
      </c>
      <c r="C11756" s="1" t="str">
        <f>"66298850603420"</f>
        <v>66298850603420</v>
      </c>
      <c r="D11756" s="1" t="str">
        <f>"28120-KWA-941JP"</f>
        <v>28120-KWA-941JP</v>
      </c>
      <c r="E11756" s="1" t="s">
        <v>4579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</row>
    <row r="11757" spans="1:11" ht="30" x14ac:dyDescent="0.2">
      <c r="A11757" s="1" t="s">
        <v>1213</v>
      </c>
      <c r="B11757" s="1" t="s">
        <v>1684</v>
      </c>
      <c r="C11757" s="1" t="str">
        <f>"66298850425402"</f>
        <v>66298850425402</v>
      </c>
      <c r="D11757" s="1" t="str">
        <f>"400685"</f>
        <v>400685</v>
      </c>
      <c r="E11757" s="1" t="s">
        <v>4579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</row>
    <row r="11758" spans="1:11" x14ac:dyDescent="0.2">
      <c r="A11758" s="1" t="s">
        <v>1213</v>
      </c>
      <c r="B11758" s="1" t="s">
        <v>1685</v>
      </c>
      <c r="C11758" s="1" t="str">
        <f>"CB007"</f>
        <v>CB007</v>
      </c>
      <c r="D11758" s="1" t="str">
        <f>"CB007"</f>
        <v>CB007</v>
      </c>
      <c r="E11758" s="1" t="s">
        <v>4579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</row>
    <row r="11759" spans="1:11" x14ac:dyDescent="0.2">
      <c r="A11759" s="1" t="s">
        <v>1213</v>
      </c>
      <c r="B11759" s="1" t="s">
        <v>1686</v>
      </c>
      <c r="C11759" s="1" t="str">
        <f>"66298850697260"</f>
        <v>66298850697260</v>
      </c>
      <c r="D11759" s="1" t="str">
        <f>"400693"</f>
        <v>400693</v>
      </c>
      <c r="E11759" s="1" t="s">
        <v>4579</v>
      </c>
      <c r="F11759" s="1">
        <v>1</v>
      </c>
      <c r="G11759" s="1">
        <v>2301</v>
      </c>
      <c r="H11759" s="1">
        <v>2301</v>
      </c>
      <c r="I11759" s="1">
        <v>0</v>
      </c>
      <c r="J11759" s="1">
        <v>1</v>
      </c>
      <c r="K11759" s="1">
        <v>0</v>
      </c>
    </row>
    <row r="11760" spans="1:11" x14ac:dyDescent="0.2">
      <c r="A11760" s="1" t="s">
        <v>1213</v>
      </c>
      <c r="B11760" s="1" t="s">
        <v>1687</v>
      </c>
      <c r="C11760" s="1" t="str">
        <f>"66298850649342"</f>
        <v>66298850649342</v>
      </c>
      <c r="D11760" s="1" t="str">
        <f>"21C-E5580-10JP"</f>
        <v>21C-E5580-10JP</v>
      </c>
      <c r="E11760" s="1" t="s">
        <v>4579</v>
      </c>
      <c r="F11760" s="1">
        <v>1</v>
      </c>
      <c r="G11760" s="1">
        <v>8555</v>
      </c>
      <c r="H11760" s="1">
        <v>8555</v>
      </c>
      <c r="I11760" s="1">
        <v>0</v>
      </c>
      <c r="J11760" s="1">
        <v>1</v>
      </c>
      <c r="K11760" s="1">
        <v>0</v>
      </c>
    </row>
    <row r="11761" spans="1:11" x14ac:dyDescent="0.2">
      <c r="A11761" s="1" t="s">
        <v>1213</v>
      </c>
      <c r="B11761" s="1" t="s">
        <v>1688</v>
      </c>
      <c r="C11761" s="1" t="str">
        <f>"66298850735679"</f>
        <v>66298850735679</v>
      </c>
      <c r="D11761" s="1" t="str">
        <f>"400688"</f>
        <v>400688</v>
      </c>
      <c r="E11761" s="1" t="s">
        <v>4579</v>
      </c>
      <c r="F11761" s="1">
        <v>1</v>
      </c>
      <c r="G11761" s="1">
        <v>1786</v>
      </c>
      <c r="H11761" s="1">
        <v>1786</v>
      </c>
      <c r="I11761" s="1">
        <v>0</v>
      </c>
      <c r="J11761" s="1">
        <v>1</v>
      </c>
      <c r="K11761" s="1">
        <v>0</v>
      </c>
    </row>
    <row r="11762" spans="1:11" ht="30" x14ac:dyDescent="0.2">
      <c r="A11762" s="1" t="s">
        <v>1213</v>
      </c>
      <c r="B11762" s="1" t="s">
        <v>1689</v>
      </c>
      <c r="C11762" s="1" t="str">
        <f>"400687"</f>
        <v>400687</v>
      </c>
      <c r="D11762" s="1" t="str">
        <f>"400687"</f>
        <v>400687</v>
      </c>
      <c r="E11762" s="1" t="s">
        <v>4579</v>
      </c>
      <c r="F11762" s="1">
        <v>1</v>
      </c>
      <c r="G11762" s="1">
        <v>3286</v>
      </c>
      <c r="H11762" s="1">
        <v>3286</v>
      </c>
      <c r="I11762" s="1">
        <v>0</v>
      </c>
      <c r="J11762" s="1">
        <v>1</v>
      </c>
      <c r="K11762" s="1">
        <v>0</v>
      </c>
    </row>
    <row r="11763" spans="1:11" x14ac:dyDescent="0.2">
      <c r="A11763" s="1" t="s">
        <v>1213</v>
      </c>
      <c r="B11763" s="1" t="s">
        <v>1690</v>
      </c>
      <c r="C11763" s="1" t="str">
        <f>"66298850824682"</f>
        <v>66298850824682</v>
      </c>
      <c r="D11763" s="1" t="str">
        <f>"28125-KFC-791JP"</f>
        <v>28125-KFC-791JP</v>
      </c>
      <c r="E11763" s="1" t="s">
        <v>4579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</row>
    <row r="11764" spans="1:11" x14ac:dyDescent="0.2">
      <c r="A11764" s="1" t="s">
        <v>1213</v>
      </c>
      <c r="B11764" s="1" t="s">
        <v>1691</v>
      </c>
      <c r="C11764" s="1" t="str">
        <f>"66298850865518"</f>
        <v>66298850865518</v>
      </c>
      <c r="D11764" s="1" t="str">
        <f>"JA-6214-14"</f>
        <v>JA-6214-14</v>
      </c>
      <c r="E11764" s="1" t="s">
        <v>4579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</row>
    <row r="11765" spans="1:11" x14ac:dyDescent="0.2">
      <c r="A11765" s="1" t="s">
        <v>1213</v>
      </c>
      <c r="B11765" s="1" t="s">
        <v>1692</v>
      </c>
      <c r="C11765" s="1" t="str">
        <f>"66298850903182"</f>
        <v>66298850903182</v>
      </c>
      <c r="D11765" s="1" t="str">
        <f>"36-DH40-08JP"</f>
        <v>36-DH40-08JP</v>
      </c>
      <c r="E11765" s="1" t="s">
        <v>4579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</row>
    <row r="11766" spans="1:11" x14ac:dyDescent="0.2">
      <c r="A11766" s="1" t="s">
        <v>1213</v>
      </c>
      <c r="B11766" s="1" t="s">
        <v>1693</v>
      </c>
      <c r="C11766" s="1" t="str">
        <f>"66298850943601"</f>
        <v>66298850943601</v>
      </c>
      <c r="D11766" s="1" t="str">
        <f>"400689"</f>
        <v>400689</v>
      </c>
      <c r="E11766" s="1" t="s">
        <v>4579</v>
      </c>
      <c r="F11766" s="1">
        <v>1</v>
      </c>
      <c r="G11766" s="1">
        <v>6985</v>
      </c>
      <c r="H11766" s="1">
        <v>6985</v>
      </c>
      <c r="I11766" s="1">
        <v>0</v>
      </c>
      <c r="J11766" s="1">
        <v>1</v>
      </c>
      <c r="K11766" s="1">
        <v>0</v>
      </c>
    </row>
    <row r="11767" spans="1:11" x14ac:dyDescent="0.2">
      <c r="A11767" s="1" t="s">
        <v>1213</v>
      </c>
      <c r="B11767" s="1" t="s">
        <v>1694</v>
      </c>
      <c r="C11767" s="1" t="str">
        <f>"66298850985832"</f>
        <v>66298850985832</v>
      </c>
      <c r="D11767" s="1" t="str">
        <f>"U008"</f>
        <v>U008</v>
      </c>
      <c r="E11767" s="1" t="s">
        <v>4579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</row>
    <row r="11768" spans="1:11" ht="30" x14ac:dyDescent="0.2">
      <c r="A11768" s="1" t="s">
        <v>1213</v>
      </c>
      <c r="B11768" s="1" t="s">
        <v>1695</v>
      </c>
      <c r="C11768" s="1" t="str">
        <f>"66298850386378"</f>
        <v>66298850386378</v>
      </c>
      <c r="D11768" s="1" t="str">
        <f>"400686"</f>
        <v>400686</v>
      </c>
      <c r="E11768" s="1" t="s">
        <v>4579</v>
      </c>
      <c r="F11768" s="1">
        <v>1</v>
      </c>
      <c r="G11768" s="1">
        <v>1358</v>
      </c>
      <c r="H11768" s="1">
        <v>1358</v>
      </c>
      <c r="I11768" s="1">
        <v>0</v>
      </c>
      <c r="J11768" s="1">
        <v>1</v>
      </c>
      <c r="K11768" s="1">
        <v>0</v>
      </c>
    </row>
    <row r="11769" spans="1:11" x14ac:dyDescent="0.2">
      <c r="A11769" s="1" t="s">
        <v>1213</v>
      </c>
      <c r="B11769" s="1" t="s">
        <v>1696</v>
      </c>
      <c r="C11769" s="1" t="str">
        <f>"66298851030229"</f>
        <v>66298851030229</v>
      </c>
      <c r="D11769" s="1" t="str">
        <f>"28120-GFY6-C10JP"</f>
        <v>28120-GFY6-C10JP</v>
      </c>
      <c r="E11769" s="1" t="s">
        <v>4579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</row>
    <row r="11770" spans="1:11" x14ac:dyDescent="0.2">
      <c r="A11770" s="1" t="s">
        <v>1213</v>
      </c>
      <c r="B11770" s="1" t="s">
        <v>1697</v>
      </c>
      <c r="C11770" s="1" t="str">
        <f>"66298851070515"</f>
        <v>66298851070515</v>
      </c>
      <c r="D11770" s="1" t="str">
        <f>"400683"</f>
        <v>400683</v>
      </c>
      <c r="E11770" s="1" t="s">
        <v>4579</v>
      </c>
      <c r="F11770" s="1">
        <v>1</v>
      </c>
      <c r="G11770" s="1">
        <v>3544</v>
      </c>
      <c r="H11770" s="1">
        <v>3544</v>
      </c>
      <c r="I11770" s="1">
        <v>0</v>
      </c>
      <c r="J11770" s="1">
        <v>1</v>
      </c>
      <c r="K11770" s="1">
        <v>0</v>
      </c>
    </row>
    <row r="11771" spans="1:11" x14ac:dyDescent="0.2">
      <c r="A11771" s="1" t="s">
        <v>1213</v>
      </c>
      <c r="B11771" s="1" t="s">
        <v>1698</v>
      </c>
      <c r="C11771" s="1" t="str">
        <f>"66298851116894"</f>
        <v>66298851116894</v>
      </c>
      <c r="D11771" s="1" t="str">
        <f>"400684"</f>
        <v>400684</v>
      </c>
      <c r="E11771" s="1" t="s">
        <v>4579</v>
      </c>
      <c r="F11771" s="1">
        <v>1</v>
      </c>
      <c r="G11771" s="1">
        <v>4592</v>
      </c>
      <c r="H11771" s="1">
        <v>4592</v>
      </c>
      <c r="I11771" s="1">
        <v>0</v>
      </c>
      <c r="J11771" s="1">
        <v>1</v>
      </c>
      <c r="K11771" s="1">
        <v>0</v>
      </c>
    </row>
    <row r="11772" spans="1:11" ht="30" x14ac:dyDescent="0.2">
      <c r="A11772" s="1" t="s">
        <v>1213</v>
      </c>
      <c r="B11772" s="1" t="s">
        <v>1699</v>
      </c>
      <c r="C11772" s="1" t="str">
        <f>"66298851159887"</f>
        <v>66298851159887</v>
      </c>
      <c r="D11772" s="1" t="str">
        <f>"400691"</f>
        <v>400691</v>
      </c>
      <c r="E11772" s="1" t="s">
        <v>4579</v>
      </c>
      <c r="F11772" s="1">
        <v>1</v>
      </c>
      <c r="G11772" s="1">
        <v>7564</v>
      </c>
      <c r="H11772" s="1">
        <v>7564</v>
      </c>
      <c r="I11772" s="1">
        <v>0</v>
      </c>
      <c r="J11772" s="1">
        <v>1</v>
      </c>
      <c r="K11772" s="1">
        <v>0</v>
      </c>
    </row>
    <row r="11773" spans="1:11" x14ac:dyDescent="0.2">
      <c r="A11773" s="1" t="s">
        <v>1213</v>
      </c>
      <c r="B11773" s="1" t="s">
        <v>1700</v>
      </c>
      <c r="C11773" s="1" t="str">
        <f>"66298851197731"</f>
        <v>66298851197731</v>
      </c>
      <c r="D11773" s="1" t="str">
        <f>"5US-E5590-00JP"</f>
        <v>5US-E5590-00JP</v>
      </c>
      <c r="E11773" s="1" t="s">
        <v>4579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</row>
    <row r="11774" spans="1:11" x14ac:dyDescent="0.2">
      <c r="A11774" s="1" t="s">
        <v>1213</v>
      </c>
      <c r="B11774" s="1" t="s">
        <v>1701</v>
      </c>
      <c r="C11774" s="1" t="str">
        <f>"66298851312763"</f>
        <v>66298851312763</v>
      </c>
      <c r="D11774" s="1" t="str">
        <f>"400690"</f>
        <v>400690</v>
      </c>
      <c r="E11774" s="1" t="s">
        <v>4579</v>
      </c>
      <c r="F11774" s="1">
        <v>1</v>
      </c>
      <c r="G11774" s="1">
        <v>4108</v>
      </c>
      <c r="H11774" s="1">
        <v>4108</v>
      </c>
      <c r="I11774" s="1">
        <v>0</v>
      </c>
      <c r="J11774" s="1">
        <v>1</v>
      </c>
      <c r="K11774" s="1">
        <v>0</v>
      </c>
    </row>
    <row r="11775" spans="1:11" x14ac:dyDescent="0.2">
      <c r="A11775" s="1" t="s">
        <v>1213</v>
      </c>
      <c r="B11775" s="1" t="s">
        <v>1702</v>
      </c>
      <c r="C11775" s="1" t="str">
        <f>"66298851245011"</f>
        <v>66298851245011</v>
      </c>
      <c r="D11775" s="1" t="str">
        <f>"1BK-E5580-00"</f>
        <v>1BK-E5580-00</v>
      </c>
      <c r="E11775" s="1" t="s">
        <v>4579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</row>
    <row r="11776" spans="1:11" x14ac:dyDescent="0.2">
      <c r="A11776" s="1" t="s">
        <v>1213</v>
      </c>
      <c r="B11776" s="1" t="s">
        <v>1702</v>
      </c>
      <c r="C11776" s="1" t="str">
        <f>"66298851254701"</f>
        <v>66298851254701</v>
      </c>
      <c r="D11776" s="1" t="str">
        <f>"CB002"</f>
        <v>CB002</v>
      </c>
      <c r="E11776" s="1" t="s">
        <v>4579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</row>
    <row r="11777" spans="1:11" x14ac:dyDescent="0.2">
      <c r="A11777" s="1" t="s">
        <v>1213</v>
      </c>
      <c r="B11777" s="1" t="s">
        <v>1703</v>
      </c>
      <c r="C11777" s="1" t="str">
        <f>"66298851357650"</f>
        <v>66298851357650</v>
      </c>
      <c r="D11777" s="1" t="str">
        <f>"5TY-E5570-01JP"</f>
        <v>5TY-E5570-01JP</v>
      </c>
      <c r="E11777" s="1" t="s">
        <v>4579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</row>
    <row r="11778" spans="1:11" x14ac:dyDescent="0.2">
      <c r="A11778" s="1" t="s">
        <v>1213</v>
      </c>
      <c r="B11778" s="1" t="s">
        <v>1704</v>
      </c>
      <c r="C11778" s="1" t="str">
        <f>"66298851407886"</f>
        <v>66298851407886</v>
      </c>
      <c r="D11778" s="1" t="str">
        <f>"257"</f>
        <v>257</v>
      </c>
      <c r="E11778" s="1" t="s">
        <v>4579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</row>
    <row r="11779" spans="1:11" x14ac:dyDescent="0.2">
      <c r="A11779" s="1" t="s">
        <v>1213</v>
      </c>
      <c r="B11779" s="1" t="s">
        <v>1704</v>
      </c>
      <c r="C11779" s="1" t="str">
        <f>"66298851413715"</f>
        <v>66298851413715</v>
      </c>
      <c r="D11779" s="1" t="str">
        <f>"54B-E5580-00"</f>
        <v>54B-E5580-00</v>
      </c>
      <c r="E11779" s="1" t="s">
        <v>4579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</row>
    <row r="11780" spans="1:11" x14ac:dyDescent="0.2">
      <c r="A11780" s="1" t="s">
        <v>1705</v>
      </c>
      <c r="B11780" s="1" t="s">
        <v>1706</v>
      </c>
      <c r="C11780" s="1" t="str">
        <f>"66298851470524"</f>
        <v>66298851470524</v>
      </c>
      <c r="D11780" s="1" t="str">
        <f>"02K274"</f>
        <v>02K274</v>
      </c>
      <c r="E11780" s="1" t="s">
        <v>4579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</row>
    <row r="11781" spans="1:11" x14ac:dyDescent="0.2">
      <c r="A11781" s="1" t="s">
        <v>1705</v>
      </c>
      <c r="B11781" s="1" t="s">
        <v>1707</v>
      </c>
      <c r="C11781" s="1" t="str">
        <f>"66298851512658"</f>
        <v>66298851512658</v>
      </c>
      <c r="D11781" s="1" t="str">
        <f>"E06020023"</f>
        <v>E06020023</v>
      </c>
      <c r="E11781" s="1" t="s">
        <v>4579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</row>
    <row r="11782" spans="1:11" x14ac:dyDescent="0.2">
      <c r="A11782" s="1" t="s">
        <v>1705</v>
      </c>
      <c r="B11782" s="1" t="s">
        <v>1708</v>
      </c>
      <c r="C11782" s="1" t="str">
        <f>"66298851555050"</f>
        <v>66298851555050</v>
      </c>
      <c r="D11782" s="1" t="str">
        <f>"02K318"</f>
        <v>02K318</v>
      </c>
      <c r="E11782" s="1" t="s">
        <v>4579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</row>
    <row r="11783" spans="1:11" x14ac:dyDescent="0.2">
      <c r="A11783" s="1" t="s">
        <v>1705</v>
      </c>
      <c r="B11783" s="1" t="s">
        <v>1709</v>
      </c>
      <c r="C11783" s="1" t="str">
        <f>"66298851596782"</f>
        <v>66298851596782</v>
      </c>
      <c r="D11783" s="1" t="str">
        <f>"11241-34J00"</f>
        <v>11241-34J00</v>
      </c>
      <c r="E11783" s="1" t="s">
        <v>4579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</row>
    <row r="11784" spans="1:11" x14ac:dyDescent="0.2">
      <c r="A11784" s="1" t="s">
        <v>1705</v>
      </c>
      <c r="B11784" s="1" t="s">
        <v>1709</v>
      </c>
      <c r="C11784" s="1" t="str">
        <f>"66298851639571"</f>
        <v>66298851639571</v>
      </c>
      <c r="D11784" s="1" t="str">
        <f>"02K340"</f>
        <v>02K340</v>
      </c>
      <c r="E11784" s="1" t="s">
        <v>4579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</row>
    <row r="11785" spans="1:11" x14ac:dyDescent="0.2">
      <c r="A11785" s="1" t="s">
        <v>1705</v>
      </c>
      <c r="B11785" s="1" t="s">
        <v>1710</v>
      </c>
      <c r="C11785" s="1" t="str">
        <f>"66298851680701"</f>
        <v>66298851680701</v>
      </c>
      <c r="D11785" s="1" t="str">
        <f>"12191-KPF-900BR"</f>
        <v>12191-KPF-900BR</v>
      </c>
      <c r="E11785" s="1" t="s">
        <v>4579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</row>
    <row r="11786" spans="1:11" x14ac:dyDescent="0.2">
      <c r="A11786" s="1" t="s">
        <v>1705</v>
      </c>
      <c r="B11786" s="1" t="s">
        <v>1710</v>
      </c>
      <c r="C11786" s="1" t="str">
        <f>"66298851721867"</f>
        <v>66298851721867</v>
      </c>
      <c r="D11786" s="1" t="str">
        <f>"02K278"</f>
        <v>02K278</v>
      </c>
      <c r="E11786" s="1" t="s">
        <v>4579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</row>
    <row r="11787" spans="1:11" x14ac:dyDescent="0.2">
      <c r="A11787" s="1" t="s">
        <v>1705</v>
      </c>
      <c r="B11787" s="1" t="s">
        <v>1711</v>
      </c>
      <c r="C11787" s="1" t="str">
        <f>"66298851762316"</f>
        <v>66298851762316</v>
      </c>
      <c r="D11787" s="1" t="str">
        <f>"12191-KZ1-920BR"</f>
        <v>12191-KZ1-920BR</v>
      </c>
      <c r="E11787" s="1" t="s">
        <v>4579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</row>
    <row r="11788" spans="1:11" x14ac:dyDescent="0.2">
      <c r="A11788" s="1" t="s">
        <v>1705</v>
      </c>
      <c r="B11788" s="1" t="s">
        <v>1712</v>
      </c>
      <c r="C11788" s="1" t="str">
        <f>"66298851802276"</f>
        <v>66298851802276</v>
      </c>
      <c r="D11788" s="1" t="str">
        <f>"02K200"</f>
        <v>02K200</v>
      </c>
      <c r="E11788" s="1" t="s">
        <v>4579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</row>
    <row r="11789" spans="1:11" x14ac:dyDescent="0.2">
      <c r="A11789" s="1" t="s">
        <v>1705</v>
      </c>
      <c r="B11789" s="1" t="s">
        <v>1713</v>
      </c>
      <c r="C11789" s="1" t="str">
        <f>"66298851842980"</f>
        <v>66298851842980</v>
      </c>
      <c r="D11789" s="1" t="str">
        <f>"02K219"</f>
        <v>02K219</v>
      </c>
      <c r="E11789" s="1" t="s">
        <v>4579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</row>
    <row r="11790" spans="1:11" x14ac:dyDescent="0.2">
      <c r="A11790" s="1" t="s">
        <v>1705</v>
      </c>
      <c r="B11790" s="1" t="s">
        <v>1714</v>
      </c>
      <c r="C11790" s="1" t="str">
        <f>"66298851883661"</f>
        <v>66298851883661</v>
      </c>
      <c r="D11790" s="1" t="str">
        <f>"02K290"</f>
        <v>02K290</v>
      </c>
      <c r="E11790" s="1" t="s">
        <v>4579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</row>
    <row r="11791" spans="1:11" x14ac:dyDescent="0.2">
      <c r="A11791" s="1" t="s">
        <v>1705</v>
      </c>
      <c r="B11791" s="1" t="s">
        <v>1715</v>
      </c>
      <c r="C11791" s="1" t="str">
        <f>"03M520LA"</f>
        <v>03M520LA</v>
      </c>
      <c r="D11791" s="1" t="str">
        <f>"03M520LA"</f>
        <v>03M520LA</v>
      </c>
      <c r="E11791" s="1" t="s">
        <v>4579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</row>
    <row r="11792" spans="1:11" x14ac:dyDescent="0.2">
      <c r="A11792" s="1" t="s">
        <v>1705</v>
      </c>
      <c r="B11792" s="1" t="s">
        <v>1716</v>
      </c>
      <c r="C11792" s="1" t="str">
        <f>"U004"</f>
        <v>U004</v>
      </c>
      <c r="D11792" s="1" t="str">
        <f>"U004"</f>
        <v>U004</v>
      </c>
      <c r="E11792" s="1" t="s">
        <v>4579</v>
      </c>
      <c r="F11792" s="1">
        <v>2</v>
      </c>
      <c r="G11792" s="1">
        <v>1410</v>
      </c>
      <c r="H11792" s="1">
        <v>2820</v>
      </c>
      <c r="I11792" s="1">
        <v>0</v>
      </c>
      <c r="J11792" s="1">
        <v>2</v>
      </c>
      <c r="K11792" s="1">
        <v>0</v>
      </c>
    </row>
    <row r="11793" spans="1:11" x14ac:dyDescent="0.2">
      <c r="A11793" s="1" t="s">
        <v>1705</v>
      </c>
      <c r="B11793" s="1" t="s">
        <v>1717</v>
      </c>
      <c r="C11793" s="1" t="str">
        <f>"66298851984807"</f>
        <v>66298851984807</v>
      </c>
      <c r="D11793" s="1" t="str">
        <f>"12251-KPF-900BR"</f>
        <v>12251-KPF-900BR</v>
      </c>
      <c r="E11793" s="1" t="s">
        <v>4579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</row>
    <row r="11794" spans="1:11" x14ac:dyDescent="0.2">
      <c r="A11794" s="1" t="s">
        <v>1705</v>
      </c>
      <c r="B11794" s="1" t="s">
        <v>1718</v>
      </c>
      <c r="C11794" s="1" t="str">
        <f>"66298852029668"</f>
        <v>66298852029668</v>
      </c>
      <c r="D11794" s="1" t="str">
        <f>"03M326LA"</f>
        <v>03M326LA</v>
      </c>
      <c r="E11794" s="1" t="s">
        <v>4579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</row>
    <row r="11795" spans="1:11" x14ac:dyDescent="0.2">
      <c r="A11795" s="1" t="s">
        <v>1705</v>
      </c>
      <c r="B11795" s="1" t="s">
        <v>1719</v>
      </c>
      <c r="C11795" s="1" t="str">
        <f>"66298852067227"</f>
        <v>66298852067227</v>
      </c>
      <c r="D11795" s="1" t="str">
        <f>"03M408LA"</f>
        <v>03M408LA</v>
      </c>
      <c r="E11795" s="1" t="s">
        <v>4579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</row>
    <row r="11796" spans="1:11" x14ac:dyDescent="0.2">
      <c r="A11796" s="1" t="s">
        <v>1705</v>
      </c>
      <c r="B11796" s="1" t="s">
        <v>1720</v>
      </c>
      <c r="C11796" s="1" t="str">
        <f>"EM-ES-CB1"</f>
        <v>EM-ES-CB1</v>
      </c>
      <c r="D11796" s="1" t="str">
        <f>"EM-ES-CB1"</f>
        <v>EM-ES-CB1</v>
      </c>
      <c r="E11796" s="1" t="s">
        <v>4579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</row>
    <row r="11797" spans="1:11" x14ac:dyDescent="0.2">
      <c r="A11797" s="1" t="s">
        <v>1705</v>
      </c>
      <c r="B11797" s="1" t="s">
        <v>1721</v>
      </c>
      <c r="C11797" s="1" t="str">
        <f>"66298852115506"</f>
        <v>66298852115506</v>
      </c>
      <c r="D11797" s="1" t="str">
        <f>"DM-E-00023"</f>
        <v>DM-E-00023</v>
      </c>
      <c r="E11797" s="1" t="s">
        <v>4579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</row>
    <row r="11798" spans="1:11" x14ac:dyDescent="0.2">
      <c r="A11798" s="1" t="s">
        <v>1705</v>
      </c>
      <c r="B11798" s="1" t="s">
        <v>1721</v>
      </c>
      <c r="C11798" s="1" t="str">
        <f>"66298852122804"</f>
        <v>66298852122804</v>
      </c>
      <c r="D11798" s="1" t="str">
        <f>"C022"</f>
        <v>C022</v>
      </c>
      <c r="E11798" s="1" t="s">
        <v>4579</v>
      </c>
      <c r="F11798" s="1">
        <v>10</v>
      </c>
      <c r="G11798" s="1">
        <v>140</v>
      </c>
      <c r="H11798" s="1">
        <v>1400</v>
      </c>
      <c r="I11798" s="1">
        <v>0</v>
      </c>
      <c r="J11798" s="1">
        <v>10</v>
      </c>
      <c r="K11798" s="1">
        <v>0</v>
      </c>
    </row>
    <row r="11799" spans="1:11" x14ac:dyDescent="0.2">
      <c r="A11799" s="1" t="s">
        <v>1705</v>
      </c>
      <c r="B11799" s="1" t="s">
        <v>1721</v>
      </c>
      <c r="C11799" s="1" t="str">
        <f>"66298852132980"</f>
        <v>66298852132980</v>
      </c>
      <c r="D11799" s="1" t="str">
        <f>"TK006"</f>
        <v>TK006</v>
      </c>
      <c r="E11799" s="1" t="s">
        <v>4579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</row>
    <row r="11800" spans="1:11" x14ac:dyDescent="0.2">
      <c r="A11800" s="1" t="s">
        <v>1705</v>
      </c>
      <c r="B11800" s="1" t="s">
        <v>1722</v>
      </c>
      <c r="C11800" s="1" t="str">
        <f>"66298852198415"</f>
        <v>66298852198415</v>
      </c>
      <c r="D11800" s="1" t="str">
        <f>"11191-383-000"</f>
        <v>11191-383-000</v>
      </c>
      <c r="E11800" s="1" t="s">
        <v>4579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</row>
    <row r="11801" spans="1:11" x14ac:dyDescent="0.2">
      <c r="A11801" s="1" t="s">
        <v>1705</v>
      </c>
      <c r="B11801" s="1" t="s">
        <v>1723</v>
      </c>
      <c r="C11801" s="1" t="str">
        <f>"S4VS270008044"</f>
        <v>S4VS270008044</v>
      </c>
      <c r="D11801" s="1" t="str">
        <f>"S4VS270008044"</f>
        <v>S4VS270008044</v>
      </c>
      <c r="E11801" s="1" t="s">
        <v>4579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</row>
    <row r="11802" spans="1:11" ht="30" x14ac:dyDescent="0.2">
      <c r="A11802" s="1" t="s">
        <v>1705</v>
      </c>
      <c r="B11802" s="1" t="s">
        <v>1724</v>
      </c>
      <c r="C11802" s="1" t="str">
        <f>"VS10003090183"</f>
        <v>VS10003090183</v>
      </c>
      <c r="D11802" s="1" t="str">
        <f>"VS10003090183"</f>
        <v>VS10003090183</v>
      </c>
      <c r="E11802" s="1" t="s">
        <v>4579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</row>
    <row r="11803" spans="1:11" ht="30" x14ac:dyDescent="0.2">
      <c r="A11803" s="1" t="s">
        <v>1705</v>
      </c>
      <c r="B11803" s="1" t="s">
        <v>1725</v>
      </c>
      <c r="C11803" s="1" t="str">
        <f>"66298852235840"</f>
        <v>66298852235840</v>
      </c>
      <c r="D11803" s="1" t="str">
        <f>"01P104"</f>
        <v>01P104</v>
      </c>
      <c r="E11803" s="1" t="s">
        <v>4579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</row>
    <row r="11804" spans="1:11" x14ac:dyDescent="0.2">
      <c r="A11804" s="1" t="s">
        <v>1705</v>
      </c>
      <c r="B11804" s="1" t="s">
        <v>1726</v>
      </c>
      <c r="C11804" s="1" t="str">
        <f>"VS05003000263U"</f>
        <v>VS05003000263U</v>
      </c>
      <c r="D11804" s="1" t="str">
        <f>"VS05003000263U"</f>
        <v>VS05003000263U</v>
      </c>
      <c r="E11804" s="1" t="s">
        <v>4579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</row>
    <row r="11805" spans="1:11" ht="30" x14ac:dyDescent="0.2">
      <c r="A11805" s="1" t="s">
        <v>1705</v>
      </c>
      <c r="B11805" s="1" t="s">
        <v>1727</v>
      </c>
      <c r="C11805" s="1" t="str">
        <f>"VS05003000195U"</f>
        <v>VS05003000195U</v>
      </c>
      <c r="D11805" s="1" t="str">
        <f>"VS05003000195U"</f>
        <v>VS05003000195U</v>
      </c>
      <c r="E11805" s="1" t="s">
        <v>4579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</row>
    <row r="11806" spans="1:11" x14ac:dyDescent="0.2">
      <c r="A11806" s="1" t="s">
        <v>1705</v>
      </c>
      <c r="B11806" s="1" t="s">
        <v>1728</v>
      </c>
      <c r="C11806" s="1" t="str">
        <f>"66298852274483"</f>
        <v>66298852274483</v>
      </c>
      <c r="D11806" s="1" t="str">
        <f>"11394-KCY-671"</f>
        <v>11394-KCY-671</v>
      </c>
      <c r="E11806" s="1" t="s">
        <v>4579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</row>
    <row r="11807" spans="1:11" ht="30" x14ac:dyDescent="0.2">
      <c r="A11807" s="1" t="s">
        <v>1705</v>
      </c>
      <c r="B11807" s="1" t="s">
        <v>1729</v>
      </c>
      <c r="C11807" s="1" t="str">
        <f>"66298852320486"</f>
        <v>66298852320486</v>
      </c>
      <c r="D11807" s="1" t="str">
        <f>"01P174"</f>
        <v>01P174</v>
      </c>
      <c r="E11807" s="1" t="s">
        <v>4579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</row>
    <row r="11808" spans="1:11" x14ac:dyDescent="0.2">
      <c r="A11808" s="1" t="s">
        <v>1705</v>
      </c>
      <c r="B11808" s="1" t="s">
        <v>1730</v>
      </c>
      <c r="C11808" s="1" t="str">
        <f>"66298852362247"</f>
        <v>66298852362247</v>
      </c>
      <c r="D11808" s="1" t="str">
        <f>"01P177"</f>
        <v>01P177</v>
      </c>
      <c r="E11808" s="1" t="s">
        <v>4579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</row>
    <row r="11809" spans="1:11" x14ac:dyDescent="0.2">
      <c r="A11809" s="1" t="s">
        <v>1705</v>
      </c>
      <c r="B11809" s="1" t="s">
        <v>1731</v>
      </c>
      <c r="C11809" s="1" t="str">
        <f>"66298852402498"</f>
        <v>66298852402498</v>
      </c>
      <c r="D11809" s="1" t="str">
        <f>"05X179"</f>
        <v>05X179</v>
      </c>
      <c r="E11809" s="1" t="s">
        <v>4579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</row>
    <row r="11810" spans="1:11" x14ac:dyDescent="0.2">
      <c r="A11810" s="1" t="s">
        <v>1705</v>
      </c>
      <c r="B11810" s="1" t="s">
        <v>1732</v>
      </c>
      <c r="C11810" s="1" t="str">
        <f>"VS05004000015U"</f>
        <v>VS05004000015U</v>
      </c>
      <c r="D11810" s="1" t="str">
        <f>"VS05004000015U"</f>
        <v>VS05004000015U</v>
      </c>
      <c r="E11810" s="1" t="s">
        <v>4579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</row>
    <row r="11811" spans="1:11" x14ac:dyDescent="0.2">
      <c r="A11811" s="1" t="s">
        <v>1705</v>
      </c>
      <c r="B11811" s="1" t="s">
        <v>1733</v>
      </c>
      <c r="C11811" s="1" t="str">
        <f>"S4VS270017003"</f>
        <v>S4VS270017003</v>
      </c>
      <c r="D11811" s="1" t="str">
        <f>"S4VS270017003"</f>
        <v>S4VS270017003</v>
      </c>
      <c r="E11811" s="1" t="s">
        <v>4579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</row>
    <row r="11812" spans="1:11" ht="30" x14ac:dyDescent="0.2">
      <c r="A11812" s="1" t="s">
        <v>1705</v>
      </c>
      <c r="B11812" s="1" t="s">
        <v>1734</v>
      </c>
      <c r="C11812" s="1" t="str">
        <f>"66298852442709"</f>
        <v>66298852442709</v>
      </c>
      <c r="D11812" s="1" t="str">
        <f>"05X177"</f>
        <v>05X177</v>
      </c>
      <c r="E11812" s="1" t="s">
        <v>4579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</row>
    <row r="11813" spans="1:11" x14ac:dyDescent="0.2">
      <c r="A11813" s="1" t="s">
        <v>1705</v>
      </c>
      <c r="B11813" s="1" t="s">
        <v>1735</v>
      </c>
      <c r="C11813" s="1" t="str">
        <f>"66298852486114"</f>
        <v>66298852486114</v>
      </c>
      <c r="D11813" s="1" t="str">
        <f>"05X180"</f>
        <v>05X180</v>
      </c>
      <c r="E11813" s="1" t="s">
        <v>4579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</row>
    <row r="11814" spans="1:11" ht="30" x14ac:dyDescent="0.2">
      <c r="A11814" s="1" t="s">
        <v>1705</v>
      </c>
      <c r="B11814" s="1" t="s">
        <v>1736</v>
      </c>
      <c r="C11814" s="1" t="str">
        <f>"VS05004000264U"</f>
        <v>VS05004000264U</v>
      </c>
      <c r="D11814" s="1" t="str">
        <f>"VS05004000264U"</f>
        <v>VS05004000264U</v>
      </c>
      <c r="E11814" s="1" t="s">
        <v>4579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</row>
    <row r="11815" spans="1:11" ht="30" x14ac:dyDescent="0.2">
      <c r="A11815" s="1" t="s">
        <v>1705</v>
      </c>
      <c r="B11815" s="1" t="s">
        <v>1737</v>
      </c>
      <c r="C11815" s="1" t="str">
        <f>"66298852527321"</f>
        <v>66298852527321</v>
      </c>
      <c r="D11815" s="1" t="str">
        <f>"05X076"</f>
        <v>05X076</v>
      </c>
      <c r="E11815" s="1" t="s">
        <v>4579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</row>
    <row r="11816" spans="1:11" x14ac:dyDescent="0.2">
      <c r="A11816" s="1" t="s">
        <v>1705</v>
      </c>
      <c r="B11816" s="1" t="s">
        <v>1738</v>
      </c>
      <c r="C11816" s="1" t="str">
        <f>"VS05004000193U"</f>
        <v>VS05004000193U</v>
      </c>
      <c r="D11816" s="1" t="str">
        <f>"VS05004000193U"</f>
        <v>VS05004000193U</v>
      </c>
      <c r="E11816" s="1" t="s">
        <v>4579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</row>
    <row r="11817" spans="1:11" x14ac:dyDescent="0.2">
      <c r="A11817" s="1" t="s">
        <v>1705</v>
      </c>
      <c r="B11817" s="1" t="s">
        <v>1739</v>
      </c>
      <c r="C11817" s="1" t="str">
        <f>"VS05004000004U"</f>
        <v>VS05004000004U</v>
      </c>
      <c r="D11817" s="1" t="str">
        <f>"VS05004000004U"</f>
        <v>VS05004000004U</v>
      </c>
      <c r="E11817" s="1" t="s">
        <v>4579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</row>
    <row r="11818" spans="1:11" x14ac:dyDescent="0.2">
      <c r="A11818" s="1" t="s">
        <v>1705</v>
      </c>
      <c r="B11818" s="1" t="s">
        <v>1740</v>
      </c>
      <c r="C11818" s="1" t="str">
        <f>"66298852567142"</f>
        <v>66298852567142</v>
      </c>
      <c r="D11818" s="1" t="str">
        <f>"DF053"</f>
        <v>DF053</v>
      </c>
      <c r="E11818" s="1" t="s">
        <v>4579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</row>
    <row r="11819" spans="1:11" x14ac:dyDescent="0.2">
      <c r="A11819" s="1" t="s">
        <v>1705</v>
      </c>
      <c r="B11819" s="1" t="s">
        <v>1741</v>
      </c>
      <c r="C11819" s="1" t="str">
        <f>"VE05016001045"</f>
        <v>VE05016001045</v>
      </c>
      <c r="D11819" s="1" t="str">
        <f>"VE05016001045"</f>
        <v>VE05016001045</v>
      </c>
      <c r="E11819" s="1" t="s">
        <v>4579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</row>
    <row r="11820" spans="1:11" x14ac:dyDescent="0.2">
      <c r="A11820" s="1" t="s">
        <v>1705</v>
      </c>
      <c r="B11820" s="1" t="s">
        <v>1742</v>
      </c>
      <c r="C11820" s="1" t="str">
        <f>"66298852605286"</f>
        <v>66298852605286</v>
      </c>
      <c r="D11820" s="1" t="str">
        <f>"DF017"</f>
        <v>DF017</v>
      </c>
      <c r="E11820" s="1" t="s">
        <v>4579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</row>
    <row r="11821" spans="1:11" x14ac:dyDescent="0.2">
      <c r="A11821" s="1" t="s">
        <v>1705</v>
      </c>
      <c r="B11821" s="1" t="s">
        <v>1743</v>
      </c>
      <c r="C11821" s="1" t="str">
        <f>"VS53016511046"</f>
        <v>VS53016511046</v>
      </c>
      <c r="D11821" s="1" t="str">
        <f>"VS53016511046"</f>
        <v>VS53016511046</v>
      </c>
      <c r="E11821" s="1" t="s">
        <v>4579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</row>
    <row r="11822" spans="1:11" x14ac:dyDescent="0.2">
      <c r="A11822" s="1" t="s">
        <v>1705</v>
      </c>
      <c r="B11822" s="1" t="s">
        <v>1744</v>
      </c>
      <c r="C11822" s="1" t="str">
        <f>"VE15016000150"</f>
        <v>VE15016000150</v>
      </c>
      <c r="D11822" s="1" t="str">
        <f>"VE15016000150"</f>
        <v>VE15016000150</v>
      </c>
      <c r="E11822" s="1" t="s">
        <v>4579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</row>
    <row r="11823" spans="1:11" x14ac:dyDescent="0.2">
      <c r="A11823" s="1" t="s">
        <v>1705</v>
      </c>
      <c r="B11823" s="1" t="s">
        <v>1744</v>
      </c>
      <c r="C11823" s="1" t="str">
        <f>"17H328"</f>
        <v>17H328</v>
      </c>
      <c r="D11823" s="1" t="str">
        <f>"17H328"</f>
        <v>17H328</v>
      </c>
      <c r="E11823" s="1" t="s">
        <v>4579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</row>
    <row r="11824" spans="1:11" x14ac:dyDescent="0.2">
      <c r="A11824" s="1" t="s">
        <v>1705</v>
      </c>
      <c r="B11824" s="1" t="s">
        <v>1745</v>
      </c>
      <c r="C11824" s="1" t="str">
        <f>"66298852649192"</f>
        <v>66298852649192</v>
      </c>
      <c r="D11824" s="1" t="str">
        <f>"17H115"</f>
        <v>17H115</v>
      </c>
      <c r="E11824" s="1" t="s">
        <v>4579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</row>
    <row r="11825" spans="1:11" x14ac:dyDescent="0.2">
      <c r="A11825" s="1" t="s">
        <v>1705</v>
      </c>
      <c r="B11825" s="1" t="s">
        <v>1746</v>
      </c>
      <c r="C11825" s="1" t="str">
        <f>"66298852690812"</f>
        <v>66298852690812</v>
      </c>
      <c r="D11825" s="1" t="str">
        <f>"12391-MF5-750JP"</f>
        <v>12391-MF5-750JP</v>
      </c>
      <c r="E11825" s="1" t="s">
        <v>4579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</row>
    <row r="11826" spans="1:11" x14ac:dyDescent="0.2">
      <c r="A11826" s="1" t="s">
        <v>1705</v>
      </c>
      <c r="B11826" s="1" t="s">
        <v>1747</v>
      </c>
      <c r="C11826" s="1" t="str">
        <f>"VE99016001091"</f>
        <v>VE99016001091</v>
      </c>
      <c r="D11826" s="1" t="str">
        <f>"VE99016001091"</f>
        <v>VE99016001091</v>
      </c>
      <c r="E11826" s="1" t="s">
        <v>4579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</row>
    <row r="11827" spans="1:11" ht="30" x14ac:dyDescent="0.2">
      <c r="A11827" s="1" t="s">
        <v>1705</v>
      </c>
      <c r="B11827" s="1" t="s">
        <v>1748</v>
      </c>
      <c r="C11827" s="1" t="str">
        <f>"VE05084000002"</f>
        <v>VE05084000002</v>
      </c>
      <c r="D11827" s="1" t="str">
        <f>"VE05084000002"</f>
        <v>VE05084000002</v>
      </c>
      <c r="E11827" s="1" t="s">
        <v>4579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</row>
    <row r="11828" spans="1:11" x14ac:dyDescent="0.2">
      <c r="A11828" s="1" t="s">
        <v>1705</v>
      </c>
      <c r="B11828" s="1" t="s">
        <v>1749</v>
      </c>
      <c r="C11828" s="1" t="str">
        <f>"VE05084000003"</f>
        <v>VE05084000003</v>
      </c>
      <c r="D11828" s="1" t="str">
        <f>"VE05084000003"</f>
        <v>VE05084000003</v>
      </c>
      <c r="E11828" s="1" t="s">
        <v>4579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</row>
    <row r="11829" spans="1:11" x14ac:dyDescent="0.2">
      <c r="A11829" s="1" t="s">
        <v>1705</v>
      </c>
      <c r="B11829" s="1" t="s">
        <v>1750</v>
      </c>
      <c r="C11829" s="1" t="str">
        <f>"VE05016000001"</f>
        <v>VE05016000001</v>
      </c>
      <c r="D11829" s="1" t="str">
        <f>"VE05016000001"</f>
        <v>VE05016000001</v>
      </c>
      <c r="E11829" s="1" t="s">
        <v>4579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</row>
    <row r="11830" spans="1:11" x14ac:dyDescent="0.2">
      <c r="A11830" s="1" t="s">
        <v>1705</v>
      </c>
      <c r="B11830" s="1" t="s">
        <v>1751</v>
      </c>
      <c r="C11830" s="1" t="str">
        <f>"66298852730180"</f>
        <v>66298852730180</v>
      </c>
      <c r="D11830" s="1" t="str">
        <f>"755"</f>
        <v>755</v>
      </c>
      <c r="E11830" s="1" t="s">
        <v>4579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</row>
    <row r="11831" spans="1:11" x14ac:dyDescent="0.2">
      <c r="A11831" s="1" t="s">
        <v>1705</v>
      </c>
      <c r="B11831" s="1" t="s">
        <v>1752</v>
      </c>
      <c r="C11831" s="1" t="str">
        <f>"66298852770230"</f>
        <v>66298852770230</v>
      </c>
      <c r="D11831" s="1" t="str">
        <f>"26T34SEV"</f>
        <v>26T34SEV</v>
      </c>
      <c r="E11831" s="1" t="s">
        <v>4579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</row>
    <row r="11832" spans="1:11" x14ac:dyDescent="0.2">
      <c r="A11832" s="1" t="s">
        <v>1705</v>
      </c>
      <c r="B11832" s="1" t="s">
        <v>1753</v>
      </c>
      <c r="C11832" s="1" t="str">
        <f>"66298852812368"</f>
        <v>66298852812368</v>
      </c>
      <c r="D11832" s="1" t="str">
        <f>"20L35CSV"</f>
        <v>20L35CSV</v>
      </c>
      <c r="E11832" s="1" t="s">
        <v>4579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</row>
    <row r="11833" spans="1:11" x14ac:dyDescent="0.2">
      <c r="A11833" s="1" t="s">
        <v>1705</v>
      </c>
      <c r="B11833" s="1" t="s">
        <v>1754</v>
      </c>
      <c r="C11833" s="1" t="str">
        <f>"66298852891526"</f>
        <v>66298852891526</v>
      </c>
      <c r="D11833" s="1" t="str">
        <f>"21L64SEV"</f>
        <v>21L64SEV</v>
      </c>
      <c r="E11833" s="1" t="s">
        <v>4579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</row>
    <row r="11834" spans="1:11" x14ac:dyDescent="0.2">
      <c r="A11834" s="1" t="s">
        <v>1705</v>
      </c>
      <c r="B11834" s="1" t="s">
        <v>1755</v>
      </c>
      <c r="C11834" s="1" t="str">
        <f>"66298852855118"</f>
        <v>66298852855118</v>
      </c>
      <c r="D11834" s="1" t="str">
        <f>"21L57SEV"</f>
        <v>21L57SEV</v>
      </c>
      <c r="E11834" s="1" t="s">
        <v>4579</v>
      </c>
      <c r="F11834" s="1">
        <v>1</v>
      </c>
      <c r="G11834" s="1">
        <v>2496</v>
      </c>
      <c r="H11834" s="1">
        <v>2496</v>
      </c>
      <c r="I11834" s="1">
        <v>0</v>
      </c>
      <c r="J11834" s="1">
        <v>1</v>
      </c>
      <c r="K11834" s="1">
        <v>0</v>
      </c>
    </row>
    <row r="11835" spans="1:11" x14ac:dyDescent="0.2">
      <c r="A11835" s="1" t="s">
        <v>1705</v>
      </c>
      <c r="B11835" s="1" t="s">
        <v>1756</v>
      </c>
      <c r="C11835" s="1" t="str">
        <f>"66298852931614"</f>
        <v>66298852931614</v>
      </c>
      <c r="D11835" s="1" t="str">
        <f>"21L43SEV"</f>
        <v>21L43SEV</v>
      </c>
      <c r="E11835" s="1" t="s">
        <v>4579</v>
      </c>
      <c r="F11835" s="1">
        <v>1</v>
      </c>
      <c r="G11835" s="1">
        <v>3000</v>
      </c>
      <c r="H11835" s="1">
        <v>3000</v>
      </c>
      <c r="I11835" s="1">
        <v>0</v>
      </c>
      <c r="J11835" s="1">
        <v>1</v>
      </c>
      <c r="K11835" s="1">
        <v>0</v>
      </c>
    </row>
    <row r="11836" spans="1:11" x14ac:dyDescent="0.2">
      <c r="A11836" s="1" t="s">
        <v>1705</v>
      </c>
      <c r="B11836" s="1" t="s">
        <v>1757</v>
      </c>
      <c r="C11836" s="1" t="str">
        <f>"66298852973557"</f>
        <v>66298852973557</v>
      </c>
      <c r="D11836" s="1" t="str">
        <f>"21L43CSV"</f>
        <v>21L43CSV</v>
      </c>
      <c r="E11836" s="1" t="s">
        <v>4579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</row>
    <row r="11837" spans="1:11" ht="30" x14ac:dyDescent="0.2">
      <c r="A11837" s="1" t="s">
        <v>1705</v>
      </c>
      <c r="B11837" s="1" t="s">
        <v>1758</v>
      </c>
      <c r="C11837" s="1" t="str">
        <f>"66298853015299"</f>
        <v>66298853015299</v>
      </c>
      <c r="D11837" s="1" t="str">
        <f>"21L39SEV-1"</f>
        <v>21L39SEV-1</v>
      </c>
      <c r="E11837" s="1" t="s">
        <v>4579</v>
      </c>
      <c r="F11837" s="1">
        <v>1</v>
      </c>
      <c r="G11837" s="1">
        <v>3000</v>
      </c>
      <c r="H11837" s="1">
        <v>3000</v>
      </c>
      <c r="I11837" s="1">
        <v>0</v>
      </c>
      <c r="J11837" s="1">
        <v>1</v>
      </c>
      <c r="K11837" s="1">
        <v>0</v>
      </c>
    </row>
    <row r="11838" spans="1:11" ht="30" x14ac:dyDescent="0.2">
      <c r="A11838" s="1" t="s">
        <v>1705</v>
      </c>
      <c r="B11838" s="1" t="s">
        <v>1759</v>
      </c>
      <c r="C11838" s="1" t="str">
        <f>"66298853053455"</f>
        <v>66298853053455</v>
      </c>
      <c r="D11838" s="1" t="str">
        <f>"21L51CSV"</f>
        <v>21L51CSV</v>
      </c>
      <c r="E11838" s="1" t="s">
        <v>4579</v>
      </c>
      <c r="F11838" s="1">
        <v>1</v>
      </c>
      <c r="G11838" s="1">
        <v>4513</v>
      </c>
      <c r="H11838" s="1">
        <v>4513</v>
      </c>
      <c r="I11838" s="1">
        <v>0</v>
      </c>
      <c r="J11838" s="1">
        <v>1</v>
      </c>
      <c r="K11838" s="1">
        <v>0</v>
      </c>
    </row>
    <row r="11839" spans="1:11" x14ac:dyDescent="0.2">
      <c r="A11839" s="1" t="s">
        <v>1705</v>
      </c>
      <c r="B11839" s="1" t="s">
        <v>1760</v>
      </c>
      <c r="C11839" s="1" t="str">
        <f>"B077"</f>
        <v>B077</v>
      </c>
      <c r="D11839" s="1" t="str">
        <f>"B077"</f>
        <v>B077</v>
      </c>
      <c r="E11839" s="1" t="s">
        <v>4579</v>
      </c>
      <c r="F11839" s="1">
        <v>2</v>
      </c>
      <c r="G11839" s="1">
        <v>900</v>
      </c>
      <c r="H11839" s="1">
        <v>1800</v>
      </c>
      <c r="I11839" s="1">
        <v>0</v>
      </c>
      <c r="J11839" s="1">
        <v>2</v>
      </c>
      <c r="K11839" s="1">
        <v>0</v>
      </c>
    </row>
    <row r="11840" spans="1:11" x14ac:dyDescent="0.2">
      <c r="A11840" s="1" t="s">
        <v>1705</v>
      </c>
      <c r="B11840" s="1" t="s">
        <v>1761</v>
      </c>
      <c r="C11840" s="1" t="str">
        <f>"66298853095534"</f>
        <v>66298853095534</v>
      </c>
      <c r="D11840" s="1" t="str">
        <f>"21L28SEV"</f>
        <v>21L28SEV</v>
      </c>
      <c r="E11840" s="1" t="s">
        <v>4579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</row>
    <row r="11841" spans="1:11" x14ac:dyDescent="0.2">
      <c r="A11841" s="1" t="s">
        <v>1705</v>
      </c>
      <c r="B11841" s="1" t="s">
        <v>1762</v>
      </c>
      <c r="C11841" s="1" t="str">
        <f>"DF002"</f>
        <v>DF002</v>
      </c>
      <c r="D11841" s="1" t="str">
        <f>"DF002"</f>
        <v>DF002</v>
      </c>
      <c r="E11841" s="1" t="s">
        <v>4579</v>
      </c>
      <c r="F11841" s="1">
        <v>4</v>
      </c>
      <c r="G11841" s="1">
        <v>1157</v>
      </c>
      <c r="H11841" s="1">
        <v>4628</v>
      </c>
      <c r="I11841" s="1">
        <v>0</v>
      </c>
      <c r="J11841" s="1">
        <v>4</v>
      </c>
      <c r="K11841" s="1">
        <v>0</v>
      </c>
    </row>
    <row r="11842" spans="1:11" x14ac:dyDescent="0.2">
      <c r="A11842" s="1" t="s">
        <v>1705</v>
      </c>
      <c r="B11842" s="1" t="s">
        <v>1763</v>
      </c>
      <c r="C11842" s="1" t="str">
        <f>"66298853138973"</f>
        <v>66298853138973</v>
      </c>
      <c r="D11842" s="1" t="str">
        <f>"21L36SEV-1"</f>
        <v>21L36SEV-1</v>
      </c>
      <c r="E11842" s="1" t="s">
        <v>4579</v>
      </c>
      <c r="F11842" s="1">
        <v>1</v>
      </c>
      <c r="G11842" s="1">
        <v>2496</v>
      </c>
      <c r="H11842" s="1">
        <v>2496</v>
      </c>
      <c r="I11842" s="1">
        <v>0</v>
      </c>
      <c r="J11842" s="1">
        <v>1</v>
      </c>
      <c r="K11842" s="1">
        <v>0</v>
      </c>
    </row>
    <row r="11843" spans="1:11" x14ac:dyDescent="0.2">
      <c r="A11843" s="1" t="s">
        <v>1705</v>
      </c>
      <c r="B11843" s="1" t="s">
        <v>1763</v>
      </c>
      <c r="C11843" s="1" t="str">
        <f>"66298853181488"</f>
        <v>66298853181488</v>
      </c>
      <c r="D11843" s="1" t="str">
        <f>"21L36CSV-1"</f>
        <v>21L36CSV-1</v>
      </c>
      <c r="E11843" s="1" t="s">
        <v>4579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</row>
    <row r="11844" spans="1:11" x14ac:dyDescent="0.2">
      <c r="A11844" s="1" t="s">
        <v>1705</v>
      </c>
      <c r="B11844" s="1" t="s">
        <v>1764</v>
      </c>
      <c r="C11844" s="1" t="str">
        <f>"VS05610000950"</f>
        <v>VS05610000950</v>
      </c>
      <c r="D11844" s="1" t="str">
        <f>"VS05610000950"</f>
        <v>VS05610000950</v>
      </c>
      <c r="E11844" s="1" t="s">
        <v>4579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</row>
    <row r="11845" spans="1:11" x14ac:dyDescent="0.2">
      <c r="A11845" s="1" t="s">
        <v>1705</v>
      </c>
      <c r="B11845" s="1" t="s">
        <v>1765</v>
      </c>
      <c r="C11845" s="1" t="str">
        <f>"66298853221345"</f>
        <v>66298853221345</v>
      </c>
      <c r="D11845" s="1" t="str">
        <f>"21L56SEV"</f>
        <v>21L56SEV</v>
      </c>
      <c r="E11845" s="1" t="s">
        <v>4579</v>
      </c>
      <c r="F11845" s="1">
        <v>1</v>
      </c>
      <c r="G11845" s="1">
        <v>3000</v>
      </c>
      <c r="H11845" s="1">
        <v>3000</v>
      </c>
      <c r="I11845" s="1">
        <v>0</v>
      </c>
      <c r="J11845" s="1">
        <v>1</v>
      </c>
      <c r="K11845" s="1">
        <v>0</v>
      </c>
    </row>
    <row r="11846" spans="1:11" x14ac:dyDescent="0.2">
      <c r="A11846" s="1" t="s">
        <v>1705</v>
      </c>
      <c r="B11846" s="1" t="s">
        <v>1766</v>
      </c>
      <c r="C11846" s="1" t="str">
        <f>"66298853260797"</f>
        <v>66298853260797</v>
      </c>
      <c r="D11846" s="1" t="str">
        <f>"21L50SEV"</f>
        <v>21L50SEV</v>
      </c>
      <c r="E11846" s="1" t="s">
        <v>4579</v>
      </c>
      <c r="F11846" s="1">
        <v>1</v>
      </c>
      <c r="G11846" s="1">
        <v>2496</v>
      </c>
      <c r="H11846" s="1">
        <v>2496</v>
      </c>
      <c r="I11846" s="1">
        <v>0</v>
      </c>
      <c r="J11846" s="1">
        <v>1</v>
      </c>
      <c r="K11846" s="1">
        <v>0</v>
      </c>
    </row>
    <row r="11847" spans="1:11" x14ac:dyDescent="0.2">
      <c r="A11847" s="1" t="s">
        <v>1705</v>
      </c>
      <c r="B11847" s="1" t="s">
        <v>1767</v>
      </c>
      <c r="C11847" s="1" t="str">
        <f>"66298853300926"</f>
        <v>66298853300926</v>
      </c>
      <c r="D11847" s="1" t="str">
        <f>"VS15610000015"</f>
        <v>VS15610000015</v>
      </c>
      <c r="E11847" s="1" t="s">
        <v>4579</v>
      </c>
      <c r="F11847" s="1">
        <v>1</v>
      </c>
      <c r="G11847" s="1">
        <v>2248</v>
      </c>
      <c r="H11847" s="1">
        <v>2248</v>
      </c>
      <c r="I11847" s="1">
        <v>0</v>
      </c>
      <c r="J11847" s="1">
        <v>1</v>
      </c>
      <c r="K11847" s="1">
        <v>0</v>
      </c>
    </row>
    <row r="11848" spans="1:11" x14ac:dyDescent="0.2">
      <c r="A11848" s="1" t="s">
        <v>1705</v>
      </c>
      <c r="B11848" s="1" t="s">
        <v>1768</v>
      </c>
      <c r="C11848" s="1" t="str">
        <f>"66298853342718"</f>
        <v>66298853342718</v>
      </c>
      <c r="D11848" s="1" t="str">
        <f>"19L53CSV"</f>
        <v>19L53CSV</v>
      </c>
      <c r="E11848" s="1" t="s">
        <v>4579</v>
      </c>
      <c r="F11848" s="1">
        <v>1</v>
      </c>
      <c r="G11848" s="1">
        <v>9050</v>
      </c>
      <c r="H11848" s="1">
        <v>9050</v>
      </c>
      <c r="I11848" s="1">
        <v>0</v>
      </c>
      <c r="J11848" s="1">
        <v>1</v>
      </c>
      <c r="K11848" s="1">
        <v>0</v>
      </c>
    </row>
    <row r="11849" spans="1:11" x14ac:dyDescent="0.2">
      <c r="A11849" s="1" t="s">
        <v>1705</v>
      </c>
      <c r="B11849" s="1" t="s">
        <v>1769</v>
      </c>
      <c r="C11849" s="1" t="str">
        <f>"66298853383612"</f>
        <v>66298853383612</v>
      </c>
      <c r="D11849" s="1" t="str">
        <f>"20L40SEV"</f>
        <v>20L40SEV</v>
      </c>
      <c r="E11849" s="1" t="s">
        <v>4579</v>
      </c>
      <c r="F11849" s="1">
        <v>1</v>
      </c>
      <c r="G11849" s="1">
        <v>3317</v>
      </c>
      <c r="H11849" s="1">
        <v>3317</v>
      </c>
      <c r="I11849" s="1">
        <v>0</v>
      </c>
      <c r="J11849" s="1">
        <v>1</v>
      </c>
      <c r="K11849" s="1">
        <v>0</v>
      </c>
    </row>
    <row r="11850" spans="1:11" x14ac:dyDescent="0.2">
      <c r="A11850" s="1" t="s">
        <v>1705</v>
      </c>
      <c r="B11850" s="1" t="s">
        <v>1770</v>
      </c>
      <c r="C11850" s="1" t="str">
        <f>"66298853425126"</f>
        <v>66298853425126</v>
      </c>
      <c r="D11850" s="1" t="str">
        <f>"20L39SEV"</f>
        <v>20L39SEV</v>
      </c>
      <c r="E11850" s="1" t="s">
        <v>4579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</row>
    <row r="11851" spans="1:11" x14ac:dyDescent="0.2">
      <c r="A11851" s="1" t="s">
        <v>1705</v>
      </c>
      <c r="B11851" s="1" t="s">
        <v>1771</v>
      </c>
      <c r="C11851" s="1" t="str">
        <f>"66298853464854"</f>
        <v>66298853464854</v>
      </c>
      <c r="D11851" s="1" t="str">
        <f>"20L38SEV"</f>
        <v>20L38SEV</v>
      </c>
      <c r="E11851" s="1" t="s">
        <v>4579</v>
      </c>
      <c r="F11851" s="1">
        <v>1</v>
      </c>
      <c r="G11851" s="1">
        <v>2496</v>
      </c>
      <c r="H11851" s="1">
        <v>2496</v>
      </c>
      <c r="I11851" s="1">
        <v>0</v>
      </c>
      <c r="J11851" s="1">
        <v>1</v>
      </c>
      <c r="K11851" s="1">
        <v>0</v>
      </c>
    </row>
    <row r="11852" spans="1:11" x14ac:dyDescent="0.2">
      <c r="A11852" s="1" t="s">
        <v>1705</v>
      </c>
      <c r="B11852" s="1" t="s">
        <v>1772</v>
      </c>
      <c r="C11852" s="1" t="str">
        <f>"66298853505580"</f>
        <v>66298853505580</v>
      </c>
      <c r="D11852" s="1" t="str">
        <f>"20L42SEV"</f>
        <v>20L42SEV</v>
      </c>
      <c r="E11852" s="1" t="s">
        <v>4579</v>
      </c>
      <c r="F11852" s="1">
        <v>1</v>
      </c>
      <c r="G11852" s="1">
        <v>2496</v>
      </c>
      <c r="H11852" s="1">
        <v>2496</v>
      </c>
      <c r="I11852" s="1">
        <v>0</v>
      </c>
      <c r="J11852" s="1">
        <v>1</v>
      </c>
      <c r="K11852" s="1">
        <v>0</v>
      </c>
    </row>
    <row r="11853" spans="1:11" x14ac:dyDescent="0.2">
      <c r="A11853" s="1" t="s">
        <v>1705</v>
      </c>
      <c r="B11853" s="1" t="s">
        <v>1773</v>
      </c>
      <c r="C11853" s="1" t="str">
        <f>"66298853543363"</f>
        <v>66298853543363</v>
      </c>
      <c r="D11853" s="1" t="str">
        <f>"18L22SEV"</f>
        <v>18L22SEV</v>
      </c>
      <c r="E11853" s="1" t="s">
        <v>4579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</row>
    <row r="11854" spans="1:11" x14ac:dyDescent="0.2">
      <c r="A11854" s="1" t="s">
        <v>1705</v>
      </c>
      <c r="B11854" s="1" t="s">
        <v>1774</v>
      </c>
      <c r="C11854" s="1" t="str">
        <f>"66298853581784"</f>
        <v>66298853581784</v>
      </c>
      <c r="D11854" s="1" t="str">
        <f>"13L02SEV"</f>
        <v>13L02SEV</v>
      </c>
      <c r="E11854" s="1" t="s">
        <v>4579</v>
      </c>
      <c r="F11854" s="1">
        <v>1</v>
      </c>
      <c r="G11854" s="1">
        <v>1992</v>
      </c>
      <c r="H11854" s="1">
        <v>1992</v>
      </c>
      <c r="I11854" s="1">
        <v>0</v>
      </c>
      <c r="J11854" s="1">
        <v>1</v>
      </c>
      <c r="K11854" s="1">
        <v>0</v>
      </c>
    </row>
    <row r="11855" spans="1:11" x14ac:dyDescent="0.2">
      <c r="A11855" s="1" t="s">
        <v>1705</v>
      </c>
      <c r="B11855" s="1" t="s">
        <v>1775</v>
      </c>
      <c r="C11855" s="1" t="str">
        <f>"66298853624534"</f>
        <v>66298853624534</v>
      </c>
      <c r="D11855" s="1" t="str">
        <f>"34L398SEV"</f>
        <v>34L398SEV</v>
      </c>
      <c r="E11855" s="1" t="s">
        <v>4579</v>
      </c>
      <c r="F11855" s="1">
        <v>1</v>
      </c>
      <c r="G11855" s="1">
        <v>6529</v>
      </c>
      <c r="H11855" s="1">
        <v>6529</v>
      </c>
      <c r="I11855" s="1">
        <v>0</v>
      </c>
      <c r="J11855" s="1">
        <v>1</v>
      </c>
      <c r="K11855" s="1">
        <v>0</v>
      </c>
    </row>
    <row r="11856" spans="1:11" x14ac:dyDescent="0.2">
      <c r="A11856" s="1" t="s">
        <v>1705</v>
      </c>
      <c r="B11856" s="1" t="s">
        <v>1775</v>
      </c>
      <c r="C11856" s="1" t="str">
        <f>"66298853667340"</f>
        <v>66298853667340</v>
      </c>
      <c r="D11856" s="1" t="str">
        <f>"34L98SEV"</f>
        <v>34L98SEV</v>
      </c>
      <c r="E11856" s="1" t="s">
        <v>4579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</row>
    <row r="11857" spans="1:11" x14ac:dyDescent="0.2">
      <c r="A11857" s="1" t="s">
        <v>1705</v>
      </c>
      <c r="B11857" s="1" t="s">
        <v>1776</v>
      </c>
      <c r="C11857" s="1" t="str">
        <f>"66298853705704"</f>
        <v>66298853705704</v>
      </c>
      <c r="D11857" s="1" t="str">
        <f>"22L37SEV-1"</f>
        <v>22L37SEV-1</v>
      </c>
      <c r="E11857" s="1" t="s">
        <v>4579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</row>
    <row r="11858" spans="1:11" x14ac:dyDescent="0.2">
      <c r="A11858" s="1" t="s">
        <v>1705</v>
      </c>
      <c r="B11858" s="1" t="s">
        <v>1776</v>
      </c>
      <c r="C11858" s="1" t="str">
        <f>"66298853742984"</f>
        <v>66298853742984</v>
      </c>
      <c r="D11858" s="1" t="str">
        <f>"22L37CSV-1"</f>
        <v>22L37CSV-1</v>
      </c>
      <c r="E11858" s="1" t="s">
        <v>4579</v>
      </c>
      <c r="F11858" s="1">
        <v>1</v>
      </c>
      <c r="G11858" s="1">
        <v>5790</v>
      </c>
      <c r="H11858" s="1">
        <v>5790</v>
      </c>
      <c r="I11858" s="1">
        <v>0</v>
      </c>
      <c r="J11858" s="1">
        <v>1</v>
      </c>
      <c r="K11858" s="1">
        <v>0</v>
      </c>
    </row>
    <row r="11859" spans="1:11" x14ac:dyDescent="0.2">
      <c r="A11859" s="1" t="s">
        <v>1705</v>
      </c>
      <c r="B11859" s="1" t="s">
        <v>1777</v>
      </c>
      <c r="C11859" s="1" t="str">
        <f>"66298853782931"</f>
        <v>66298853782931</v>
      </c>
      <c r="D11859" s="1" t="str">
        <f>"22L47SEV"</f>
        <v>22L47SEV</v>
      </c>
      <c r="E11859" s="1" t="s">
        <v>4579</v>
      </c>
      <c r="F11859" s="1">
        <v>1</v>
      </c>
      <c r="G11859" s="1">
        <v>3000</v>
      </c>
      <c r="H11859" s="1">
        <v>3000</v>
      </c>
      <c r="I11859" s="1">
        <v>0</v>
      </c>
      <c r="J11859" s="1">
        <v>1</v>
      </c>
      <c r="K11859" s="1">
        <v>0</v>
      </c>
    </row>
    <row r="11860" spans="1:11" x14ac:dyDescent="0.2">
      <c r="A11860" s="1" t="s">
        <v>1705</v>
      </c>
      <c r="B11860" s="1" t="s">
        <v>1778</v>
      </c>
      <c r="C11860" s="1" t="str">
        <f>"66298853828912"</f>
        <v>66298853828912</v>
      </c>
      <c r="D11860" s="1" t="str">
        <f>"22L46CSV"</f>
        <v>22L46CSV</v>
      </c>
      <c r="E11860" s="1" t="s">
        <v>4579</v>
      </c>
      <c r="F11860" s="1">
        <v>1</v>
      </c>
      <c r="G11860" s="1">
        <v>5017</v>
      </c>
      <c r="H11860" s="1">
        <v>5017</v>
      </c>
      <c r="I11860" s="1">
        <v>0</v>
      </c>
      <c r="J11860" s="1">
        <v>1</v>
      </c>
      <c r="K11860" s="1">
        <v>0</v>
      </c>
    </row>
    <row r="11861" spans="1:11" x14ac:dyDescent="0.2">
      <c r="A11861" s="1" t="s">
        <v>1705</v>
      </c>
      <c r="B11861" s="1" t="s">
        <v>1778</v>
      </c>
      <c r="C11861" s="1" t="str">
        <f>"22L46SE"</f>
        <v>22L46SE</v>
      </c>
      <c r="D11861" s="1" t="str">
        <f>"22L46SE"</f>
        <v>22L46SE</v>
      </c>
      <c r="E11861" s="1" t="s">
        <v>4579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</row>
    <row r="11862" spans="1:11" x14ac:dyDescent="0.2">
      <c r="A11862" s="1" t="s">
        <v>1705</v>
      </c>
      <c r="B11862" s="1" t="s">
        <v>1779</v>
      </c>
      <c r="C11862" s="1" t="str">
        <f>"66298853869222"</f>
        <v>66298853869222</v>
      </c>
      <c r="D11862" s="1" t="str">
        <f>"13L10SEV"</f>
        <v>13L10SEV</v>
      </c>
      <c r="E11862" s="1" t="s">
        <v>4579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</row>
    <row r="11863" spans="1:11" x14ac:dyDescent="0.2">
      <c r="A11863" s="1" t="s">
        <v>1705</v>
      </c>
      <c r="B11863" s="1" t="s">
        <v>1780</v>
      </c>
      <c r="C11863" s="1" t="str">
        <f>"66298853908053"</f>
        <v>66298853908053</v>
      </c>
      <c r="D11863" s="1" t="str">
        <f>"DF012"</f>
        <v>DF012</v>
      </c>
      <c r="E11863" s="1" t="s">
        <v>4579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</row>
    <row r="11864" spans="1:11" x14ac:dyDescent="0.2">
      <c r="A11864" s="1" t="s">
        <v>1705</v>
      </c>
      <c r="B11864" s="1" t="s">
        <v>1781</v>
      </c>
      <c r="C11864" s="1" t="str">
        <f>"H1038"</f>
        <v>H1038</v>
      </c>
      <c r="D11864" s="1" t="str">
        <f>"H1038"</f>
        <v>H1038</v>
      </c>
      <c r="E11864" s="1" t="s">
        <v>4579</v>
      </c>
      <c r="F11864" s="1">
        <v>2</v>
      </c>
      <c r="G11864" s="1">
        <v>945</v>
      </c>
      <c r="H11864" s="1">
        <v>1890</v>
      </c>
      <c r="I11864" s="1">
        <v>0</v>
      </c>
      <c r="J11864" s="1">
        <v>2</v>
      </c>
      <c r="K11864" s="1">
        <v>0</v>
      </c>
    </row>
    <row r="11865" spans="1:11" x14ac:dyDescent="0.2">
      <c r="A11865" s="1" t="s">
        <v>1705</v>
      </c>
      <c r="B11865" s="1" t="s">
        <v>1782</v>
      </c>
      <c r="C11865" s="1" t="str">
        <f>"66298853950956"</f>
        <v>66298853950956</v>
      </c>
      <c r="D11865" s="1" t="str">
        <f>"21L38CSV"</f>
        <v>21L38CSV</v>
      </c>
      <c r="E11865" s="1" t="s">
        <v>4579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</row>
    <row r="11866" spans="1:11" x14ac:dyDescent="0.2">
      <c r="A11866" s="1" t="s">
        <v>1705</v>
      </c>
      <c r="B11866" s="1" t="s">
        <v>1783</v>
      </c>
      <c r="C11866" s="1" t="str">
        <f>"66298853995739"</f>
        <v>66298853995739</v>
      </c>
      <c r="D11866" s="1" t="str">
        <f>"21L31SEV"</f>
        <v>21L31SEV</v>
      </c>
      <c r="E11866" s="1" t="s">
        <v>4579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</row>
    <row r="11867" spans="1:11" ht="30" x14ac:dyDescent="0.2">
      <c r="A11867" s="1" t="s">
        <v>1705</v>
      </c>
      <c r="B11867" s="1" t="s">
        <v>1784</v>
      </c>
      <c r="C11867" s="1" t="str">
        <f>"66298854036302"</f>
        <v>66298854036302</v>
      </c>
      <c r="D11867" s="1" t="str">
        <f>"13L01SE"</f>
        <v>13L01SE</v>
      </c>
      <c r="E11867" s="1" t="s">
        <v>4579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</row>
    <row r="11868" spans="1:11" x14ac:dyDescent="0.2">
      <c r="A11868" s="1" t="s">
        <v>1705</v>
      </c>
      <c r="B11868" s="1" t="s">
        <v>1785</v>
      </c>
      <c r="C11868" s="1" t="str">
        <f>"66298854075194"</f>
        <v>66298854075194</v>
      </c>
      <c r="D11868" s="1" t="str">
        <f>"21L24SEV"</f>
        <v>21L24SEV</v>
      </c>
      <c r="E11868" s="1" t="s">
        <v>4579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</row>
    <row r="11869" spans="1:11" x14ac:dyDescent="0.2">
      <c r="A11869" s="1" t="s">
        <v>1705</v>
      </c>
      <c r="B11869" s="1" t="s">
        <v>1786</v>
      </c>
      <c r="C11869" s="1" t="str">
        <f>"66298854117958"</f>
        <v>66298854117958</v>
      </c>
      <c r="D11869" s="1" t="str">
        <f>"21L48CSV"</f>
        <v>21L48CSV</v>
      </c>
      <c r="E11869" s="1" t="s">
        <v>4579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</row>
    <row r="11870" spans="1:11" x14ac:dyDescent="0.2">
      <c r="A11870" s="1" t="s">
        <v>1705</v>
      </c>
      <c r="B11870" s="1" t="s">
        <v>1787</v>
      </c>
      <c r="C11870" s="1" t="str">
        <f>"66298854158741"</f>
        <v>66298854158741</v>
      </c>
      <c r="D11870" s="1" t="str">
        <f>"21L58SEV"</f>
        <v>21L58SEV</v>
      </c>
      <c r="E11870" s="1" t="s">
        <v>4579</v>
      </c>
      <c r="F11870" s="1">
        <v>1</v>
      </c>
      <c r="G11870" s="1">
        <v>2244</v>
      </c>
      <c r="H11870" s="1">
        <v>2244</v>
      </c>
      <c r="I11870" s="1">
        <v>0</v>
      </c>
      <c r="J11870" s="1">
        <v>1</v>
      </c>
      <c r="K11870" s="1">
        <v>0</v>
      </c>
    </row>
    <row r="11871" spans="1:11" x14ac:dyDescent="0.2">
      <c r="A11871" s="1" t="s">
        <v>1705</v>
      </c>
      <c r="B11871" s="1" t="s">
        <v>1787</v>
      </c>
      <c r="C11871" s="1" t="str">
        <f>"66298854199566"</f>
        <v>66298854199566</v>
      </c>
      <c r="D11871" s="1" t="str">
        <f>"21L58CSV"</f>
        <v>21L58CSV</v>
      </c>
      <c r="E11871" s="1" t="s">
        <v>4579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</row>
    <row r="11872" spans="1:11" x14ac:dyDescent="0.2">
      <c r="A11872" s="1" t="s">
        <v>1705</v>
      </c>
      <c r="B11872" s="1" t="s">
        <v>1788</v>
      </c>
      <c r="C11872" s="1" t="str">
        <f>"66298854241830"</f>
        <v>66298854241830</v>
      </c>
      <c r="D11872" s="1" t="str">
        <f>"21L66SEV"</f>
        <v>21L66SEV</v>
      </c>
      <c r="E11872" s="1" t="s">
        <v>4579</v>
      </c>
      <c r="F11872" s="1">
        <v>1</v>
      </c>
      <c r="G11872" s="1">
        <v>4513</v>
      </c>
      <c r="H11872" s="1">
        <v>4513</v>
      </c>
      <c r="I11872" s="1">
        <v>0</v>
      </c>
      <c r="J11872" s="1">
        <v>1</v>
      </c>
      <c r="K11872" s="1">
        <v>0</v>
      </c>
    </row>
    <row r="11873" spans="1:11" x14ac:dyDescent="0.2">
      <c r="A11873" s="1" t="s">
        <v>1705</v>
      </c>
      <c r="B11873" s="1" t="s">
        <v>1789</v>
      </c>
      <c r="C11873" s="1" t="str">
        <f>"66298854285685"</f>
        <v>66298854285685</v>
      </c>
      <c r="D11873" s="1" t="str">
        <f>"21L25SEV"</f>
        <v>21L25SEV</v>
      </c>
      <c r="E11873" s="1" t="s">
        <v>4579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</row>
    <row r="11874" spans="1:11" x14ac:dyDescent="0.2">
      <c r="A11874" s="1" t="s">
        <v>1705</v>
      </c>
      <c r="B11874" s="1" t="s">
        <v>1790</v>
      </c>
      <c r="C11874" s="1" t="str">
        <f>"P4V0210600221"</f>
        <v>P4V0210600221</v>
      </c>
      <c r="D11874" s="1" t="str">
        <f>"P4V0210600221"</f>
        <v>P4V0210600221</v>
      </c>
      <c r="E11874" s="1" t="s">
        <v>4579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</row>
    <row r="11875" spans="1:11" x14ac:dyDescent="0.2">
      <c r="A11875" s="1" t="s">
        <v>1705</v>
      </c>
      <c r="B11875" s="1" t="s">
        <v>1791</v>
      </c>
      <c r="C11875" s="1" t="str">
        <f>"66298854324198"</f>
        <v>66298854324198</v>
      </c>
      <c r="D11875" s="1" t="str">
        <f>"21L37SEV"</f>
        <v>21L37SEV</v>
      </c>
      <c r="E11875" s="1" t="s">
        <v>4579</v>
      </c>
      <c r="F11875" s="1">
        <v>1</v>
      </c>
      <c r="G11875" s="1">
        <v>3000</v>
      </c>
      <c r="H11875" s="1">
        <v>3000</v>
      </c>
      <c r="I11875" s="1">
        <v>0</v>
      </c>
      <c r="J11875" s="1">
        <v>1</v>
      </c>
      <c r="K11875" s="1">
        <v>0</v>
      </c>
    </row>
    <row r="11876" spans="1:11" x14ac:dyDescent="0.2">
      <c r="A11876" s="1" t="s">
        <v>1705</v>
      </c>
      <c r="B11876" s="1" t="s">
        <v>1792</v>
      </c>
      <c r="C11876" s="1" t="str">
        <f>"66298854367229"</f>
        <v>66298854367229</v>
      </c>
      <c r="D11876" s="1" t="str">
        <f>"21L19SEV"</f>
        <v>21L19SEV</v>
      </c>
      <c r="E11876" s="1" t="s">
        <v>4579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</row>
    <row r="11877" spans="1:11" x14ac:dyDescent="0.2">
      <c r="A11877" s="1" t="s">
        <v>1705</v>
      </c>
      <c r="B11877" s="1" t="s">
        <v>1793</v>
      </c>
      <c r="C11877" s="1" t="str">
        <f>"66298854414993"</f>
        <v>66298854414993</v>
      </c>
      <c r="D11877" s="1" t="str">
        <f>"19L21SEV"</f>
        <v>19L21SEV</v>
      </c>
      <c r="E11877" s="1" t="s">
        <v>4579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</row>
    <row r="11878" spans="1:11" x14ac:dyDescent="0.2">
      <c r="A11878" s="1" t="s">
        <v>1705</v>
      </c>
      <c r="B11878" s="1" t="s">
        <v>1794</v>
      </c>
      <c r="C11878" s="1" t="str">
        <f>"66298854459896"</f>
        <v>66298854459896</v>
      </c>
      <c r="D11878" s="1" t="str">
        <f>"13L20SEV"</f>
        <v>13L20SEV</v>
      </c>
      <c r="E11878" s="1" t="s">
        <v>4579</v>
      </c>
      <c r="F11878" s="1">
        <v>1</v>
      </c>
      <c r="G11878" s="1">
        <v>2496</v>
      </c>
      <c r="H11878" s="1">
        <v>2496</v>
      </c>
      <c r="I11878" s="1">
        <v>0</v>
      </c>
      <c r="J11878" s="1">
        <v>1</v>
      </c>
      <c r="K11878" s="1">
        <v>0</v>
      </c>
    </row>
    <row r="11879" spans="1:11" x14ac:dyDescent="0.2">
      <c r="A11879" s="1" t="s">
        <v>1705</v>
      </c>
      <c r="B11879" s="1" t="s">
        <v>1795</v>
      </c>
      <c r="C11879" s="1" t="str">
        <f>"66298854502900"</f>
        <v>66298854502900</v>
      </c>
      <c r="D11879" s="1" t="str">
        <f>"19L40SEV"</f>
        <v>19L40SEV</v>
      </c>
      <c r="E11879" s="1" t="s">
        <v>4579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</row>
    <row r="11880" spans="1:11" x14ac:dyDescent="0.2">
      <c r="A11880" s="1" t="s">
        <v>1705</v>
      </c>
      <c r="B11880" s="1" t="s">
        <v>1796</v>
      </c>
      <c r="C11880" s="1" t="str">
        <f>"66298854544417"</f>
        <v>66298854544417</v>
      </c>
      <c r="D11880" s="1" t="str">
        <f>"19L49SEV"</f>
        <v>19L49SEV</v>
      </c>
      <c r="E11880" s="1" t="s">
        <v>4579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</row>
    <row r="11881" spans="1:11" x14ac:dyDescent="0.2">
      <c r="A11881" s="1" t="s">
        <v>1705</v>
      </c>
      <c r="B11881" s="1" t="s">
        <v>1797</v>
      </c>
      <c r="C11881" s="1" t="str">
        <f>"66298854583630"</f>
        <v>66298854583630</v>
      </c>
      <c r="D11881" s="1" t="str">
        <f>"19L33SEV"</f>
        <v>19L33SEV</v>
      </c>
      <c r="E11881" s="1" t="s">
        <v>4579</v>
      </c>
      <c r="F11881" s="1">
        <v>1</v>
      </c>
      <c r="G11881" s="1">
        <v>5017</v>
      </c>
      <c r="H11881" s="1">
        <v>5017</v>
      </c>
      <c r="I11881" s="1">
        <v>0</v>
      </c>
      <c r="J11881" s="1">
        <v>1</v>
      </c>
      <c r="K11881" s="1">
        <v>0</v>
      </c>
    </row>
    <row r="11882" spans="1:11" x14ac:dyDescent="0.2">
      <c r="A11882" s="1" t="s">
        <v>1705</v>
      </c>
      <c r="B11882" s="1" t="s">
        <v>1798</v>
      </c>
      <c r="C11882" s="1" t="str">
        <f>"DF059"</f>
        <v>DF059</v>
      </c>
      <c r="D11882" s="1" t="str">
        <f>"DF059"</f>
        <v>DF059</v>
      </c>
      <c r="E11882" s="1" t="s">
        <v>4579</v>
      </c>
      <c r="F11882" s="1">
        <v>1</v>
      </c>
      <c r="G11882" s="1">
        <v>1053</v>
      </c>
      <c r="H11882" s="1">
        <v>1053</v>
      </c>
      <c r="I11882" s="1">
        <v>0</v>
      </c>
      <c r="J11882" s="1">
        <v>1</v>
      </c>
      <c r="K11882" s="1">
        <v>0</v>
      </c>
    </row>
    <row r="11883" spans="1:11" ht="30" x14ac:dyDescent="0.2">
      <c r="A11883" s="1" t="s">
        <v>1705</v>
      </c>
      <c r="B11883" s="1" t="s">
        <v>1799</v>
      </c>
      <c r="C11883" s="1" t="str">
        <f>"66298854623047"</f>
        <v>66298854623047</v>
      </c>
      <c r="D11883" s="1" t="str">
        <f>"19L29CSV"</f>
        <v>19L29CSV</v>
      </c>
      <c r="E11883" s="1" t="s">
        <v>4579</v>
      </c>
      <c r="F11883" s="1">
        <v>1</v>
      </c>
      <c r="G11883" s="1">
        <v>3504</v>
      </c>
      <c r="H11883" s="1">
        <v>3504</v>
      </c>
      <c r="I11883" s="1">
        <v>0</v>
      </c>
      <c r="J11883" s="1">
        <v>1</v>
      </c>
      <c r="K11883" s="1">
        <v>0</v>
      </c>
    </row>
    <row r="11884" spans="1:11" x14ac:dyDescent="0.2">
      <c r="A11884" s="1" t="s">
        <v>1705</v>
      </c>
      <c r="B11884" s="1" t="s">
        <v>1800</v>
      </c>
      <c r="C11884" s="1" t="str">
        <f>"66298854663115"</f>
        <v>66298854663115</v>
      </c>
      <c r="D11884" s="1" t="str">
        <f>"19L19SEV"</f>
        <v>19L19SEV</v>
      </c>
      <c r="E11884" s="1" t="s">
        <v>4579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</row>
    <row r="11885" spans="1:11" x14ac:dyDescent="0.2">
      <c r="A11885" s="1" t="s">
        <v>1705</v>
      </c>
      <c r="B11885" s="1" t="s">
        <v>1801</v>
      </c>
      <c r="C11885" s="1" t="str">
        <f>"66298854704527"</f>
        <v>66298854704527</v>
      </c>
      <c r="D11885" s="1" t="str">
        <f>"19L45SEV"</f>
        <v>19L45SEV</v>
      </c>
      <c r="E11885" s="1" t="s">
        <v>4579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</row>
    <row r="11886" spans="1:11" x14ac:dyDescent="0.2">
      <c r="A11886" s="1" t="s">
        <v>1705</v>
      </c>
      <c r="B11886" s="1" t="s">
        <v>1802</v>
      </c>
      <c r="C11886" s="1" t="str">
        <f>"66298854742694"</f>
        <v>66298854742694</v>
      </c>
      <c r="D11886" s="1" t="str">
        <f>"19L51SEV"</f>
        <v>19L51SEV</v>
      </c>
      <c r="E11886" s="1" t="s">
        <v>4579</v>
      </c>
      <c r="F11886" s="1">
        <v>1</v>
      </c>
      <c r="G11886" s="1">
        <v>3000</v>
      </c>
      <c r="H11886" s="1">
        <v>3000</v>
      </c>
      <c r="I11886" s="1">
        <v>0</v>
      </c>
      <c r="J11886" s="1">
        <v>1</v>
      </c>
      <c r="K11886" s="1">
        <v>0</v>
      </c>
    </row>
    <row r="11887" spans="1:11" x14ac:dyDescent="0.2">
      <c r="A11887" s="1" t="s">
        <v>1705</v>
      </c>
      <c r="B11887" s="1" t="s">
        <v>1803</v>
      </c>
      <c r="C11887" s="1" t="str">
        <f>"66298854782657"</f>
        <v>66298854782657</v>
      </c>
      <c r="D11887" s="1" t="str">
        <f>"DF043"</f>
        <v>DF043</v>
      </c>
      <c r="E11887" s="1" t="s">
        <v>4579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</row>
    <row r="11888" spans="1:11" x14ac:dyDescent="0.2">
      <c r="A11888" s="1" t="s">
        <v>1705</v>
      </c>
      <c r="B11888" s="1" t="s">
        <v>1804</v>
      </c>
      <c r="C11888" s="1" t="str">
        <f>"VS10700000006"</f>
        <v>VS10700000006</v>
      </c>
      <c r="D11888" s="1" t="str">
        <f>"VS10700000006"</f>
        <v>VS10700000006</v>
      </c>
      <c r="E11888" s="1" t="s">
        <v>4579</v>
      </c>
      <c r="F11888" s="1">
        <v>1</v>
      </c>
      <c r="G11888" s="1">
        <v>6195</v>
      </c>
      <c r="H11888" s="1">
        <v>6195</v>
      </c>
      <c r="I11888" s="1">
        <v>0</v>
      </c>
      <c r="J11888" s="1">
        <v>1</v>
      </c>
      <c r="K11888" s="1">
        <v>0</v>
      </c>
    </row>
    <row r="11889" spans="1:11" x14ac:dyDescent="0.2">
      <c r="A11889" s="1" t="s">
        <v>1705</v>
      </c>
      <c r="B11889" s="1" t="s">
        <v>1805</v>
      </c>
      <c r="C11889" s="1" t="str">
        <f>"66298854843025"</f>
        <v>66298854843025</v>
      </c>
      <c r="D11889" s="1" t="str">
        <f>"VS05700000260"</f>
        <v>VS05700000260</v>
      </c>
      <c r="E11889" s="1" t="s">
        <v>4579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</row>
    <row r="11890" spans="1:11" x14ac:dyDescent="0.2">
      <c r="A11890" s="1" t="s">
        <v>1705</v>
      </c>
      <c r="B11890" s="1" t="s">
        <v>1806</v>
      </c>
      <c r="C11890" s="1" t="str">
        <f>"VS05700000330"</f>
        <v>VS05700000330</v>
      </c>
      <c r="D11890" s="1" t="str">
        <f>"VS05700000330"</f>
        <v>VS05700000330</v>
      </c>
      <c r="E11890" s="1" t="s">
        <v>4579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</row>
    <row r="11891" spans="1:11" x14ac:dyDescent="0.2">
      <c r="A11891" s="1" t="s">
        <v>1705</v>
      </c>
      <c r="B11891" s="1" t="s">
        <v>1807</v>
      </c>
      <c r="C11891" s="1" t="str">
        <f>"VS05850000015"</f>
        <v>VS05850000015</v>
      </c>
      <c r="D11891" s="1" t="str">
        <f>"VS05850000015"</f>
        <v>VS05850000015</v>
      </c>
      <c r="E11891" s="1" t="s">
        <v>4579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</row>
    <row r="11892" spans="1:11" ht="30" x14ac:dyDescent="0.2">
      <c r="A11892" s="1" t="s">
        <v>1705</v>
      </c>
      <c r="B11892" s="1" t="s">
        <v>1808</v>
      </c>
      <c r="C11892" s="1" t="str">
        <f>"66298854953435"</f>
        <v>66298854953435</v>
      </c>
      <c r="D11892" s="1" t="str">
        <f>"26T51SEV"</f>
        <v>26T51SEV</v>
      </c>
      <c r="E11892" s="1" t="s">
        <v>4579</v>
      </c>
      <c r="F11892" s="1">
        <v>1</v>
      </c>
      <c r="G11892" s="1">
        <v>5017</v>
      </c>
      <c r="H11892" s="1">
        <v>5017</v>
      </c>
      <c r="I11892" s="1">
        <v>0</v>
      </c>
      <c r="J11892" s="1">
        <v>1</v>
      </c>
      <c r="K11892" s="1">
        <v>0</v>
      </c>
    </row>
    <row r="11893" spans="1:11" x14ac:dyDescent="0.2">
      <c r="A11893" s="1" t="s">
        <v>1705</v>
      </c>
      <c r="B11893" s="1" t="s">
        <v>1809</v>
      </c>
      <c r="C11893" s="1" t="str">
        <f>"66298854909981"</f>
        <v>66298854909981</v>
      </c>
      <c r="D11893" s="1" t="str">
        <f>"VS05700000002"</f>
        <v>VS05700000002</v>
      </c>
      <c r="E11893" s="1" t="s">
        <v>4579</v>
      </c>
      <c r="F11893" s="1">
        <v>1</v>
      </c>
      <c r="G11893" s="1">
        <v>2626</v>
      </c>
      <c r="H11893" s="1">
        <v>2626</v>
      </c>
      <c r="I11893" s="1">
        <v>0</v>
      </c>
      <c r="J11893" s="1">
        <v>1</v>
      </c>
      <c r="K11893" s="1">
        <v>0</v>
      </c>
    </row>
    <row r="11894" spans="1:11" ht="30" x14ac:dyDescent="0.2">
      <c r="A11894" s="1" t="s">
        <v>1705</v>
      </c>
      <c r="B11894" s="1" t="s">
        <v>1810</v>
      </c>
      <c r="C11894" s="1" t="str">
        <f>"VS05850010001"</f>
        <v>VS05850010001</v>
      </c>
      <c r="D11894" s="1" t="str">
        <f>"VS05850010001"</f>
        <v>VS05850010001</v>
      </c>
      <c r="E11894" s="1" t="s">
        <v>4579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</row>
    <row r="11895" spans="1:11" x14ac:dyDescent="0.2">
      <c r="A11895" s="1" t="s">
        <v>1705</v>
      </c>
      <c r="B11895" s="1" t="s">
        <v>1811</v>
      </c>
      <c r="C11895" s="1" t="str">
        <f>"228009"</f>
        <v>228009</v>
      </c>
      <c r="D11895" s="1" t="str">
        <f>"228009"</f>
        <v>228009</v>
      </c>
      <c r="E11895" s="1" t="s">
        <v>4579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</row>
    <row r="11896" spans="1:11" ht="30" x14ac:dyDescent="0.2">
      <c r="A11896" s="1" t="s">
        <v>1705</v>
      </c>
      <c r="B11896" s="1" t="s">
        <v>1812</v>
      </c>
      <c r="C11896" s="1" t="str">
        <f>"66298854994505"</f>
        <v>66298854994505</v>
      </c>
      <c r="D11896" s="1" t="str">
        <f>"DF032"</f>
        <v>DF032</v>
      </c>
      <c r="E11896" s="1" t="s">
        <v>4579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</row>
    <row r="11897" spans="1:11" x14ac:dyDescent="0.2">
      <c r="A11897" s="1" t="s">
        <v>1705</v>
      </c>
      <c r="B11897" s="1" t="s">
        <v>1813</v>
      </c>
      <c r="C11897" s="1" t="str">
        <f>"66298855036619"</f>
        <v>66298855036619</v>
      </c>
      <c r="D11897" s="1" t="str">
        <f>"DF039"</f>
        <v>DF039</v>
      </c>
      <c r="E11897" s="1" t="s">
        <v>4579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</row>
    <row r="11898" spans="1:11" x14ac:dyDescent="0.2">
      <c r="A11898" s="1" t="s">
        <v>1705</v>
      </c>
      <c r="B11898" s="1" t="s">
        <v>1814</v>
      </c>
      <c r="C11898" s="1" t="str">
        <f>"66298855079182"</f>
        <v>66298855079182</v>
      </c>
      <c r="D11898" s="1" t="str">
        <f>"06120-KYJ-000BR"</f>
        <v>06120-KYJ-000BR</v>
      </c>
      <c r="E11898" s="1" t="s">
        <v>4579</v>
      </c>
      <c r="F11898" s="1">
        <v>1</v>
      </c>
      <c r="G11898" s="1">
        <v>9361</v>
      </c>
      <c r="H11898" s="1">
        <v>9361</v>
      </c>
      <c r="I11898" s="1">
        <v>0</v>
      </c>
      <c r="J11898" s="1">
        <v>1</v>
      </c>
      <c r="K11898" s="1">
        <v>0</v>
      </c>
    </row>
    <row r="11899" spans="1:11" x14ac:dyDescent="0.2">
      <c r="A11899" s="1" t="s">
        <v>1705</v>
      </c>
      <c r="B11899" s="1" t="s">
        <v>1814</v>
      </c>
      <c r="C11899" s="1" t="str">
        <f>"VS05700000950"</f>
        <v>VS05700000950</v>
      </c>
      <c r="D11899" s="1" t="str">
        <f>"VS05700000950"</f>
        <v>VS05700000950</v>
      </c>
      <c r="E11899" s="1" t="s">
        <v>4579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</row>
    <row r="11900" spans="1:11" ht="30" x14ac:dyDescent="0.2">
      <c r="A11900" s="1" t="s">
        <v>1705</v>
      </c>
      <c r="B11900" s="1" t="s">
        <v>1815</v>
      </c>
      <c r="C11900" s="1" t="str">
        <f>"66298855121113"</f>
        <v>66298855121113</v>
      </c>
      <c r="D11900" s="1" t="str">
        <f>"26T59CSV"</f>
        <v>26T59CSV</v>
      </c>
      <c r="E11900" s="1" t="s">
        <v>4579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</row>
    <row r="11901" spans="1:11" ht="30" x14ac:dyDescent="0.2">
      <c r="A11901" s="1" t="s">
        <v>1705</v>
      </c>
      <c r="B11901" s="1" t="s">
        <v>1815</v>
      </c>
      <c r="C11901" s="1" t="str">
        <f>"66298855125778"</f>
        <v>66298855125778</v>
      </c>
      <c r="D11901" s="1" t="str">
        <f>"DF036"</f>
        <v>DF036</v>
      </c>
      <c r="E11901" s="1" t="s">
        <v>4579</v>
      </c>
      <c r="F11901" s="1">
        <v>1</v>
      </c>
      <c r="G11901" s="1">
        <v>4221</v>
      </c>
      <c r="H11901" s="1">
        <v>4221</v>
      </c>
      <c r="I11901" s="1">
        <v>0</v>
      </c>
      <c r="J11901" s="1">
        <v>1</v>
      </c>
      <c r="K11901" s="1">
        <v>0</v>
      </c>
    </row>
    <row r="11902" spans="1:11" x14ac:dyDescent="0.2">
      <c r="A11902" s="1" t="s">
        <v>1705</v>
      </c>
      <c r="B11902" s="1" t="s">
        <v>1816</v>
      </c>
      <c r="C11902" s="1" t="str">
        <f>"66298855177554"</f>
        <v>66298855177554</v>
      </c>
      <c r="D11902" s="1" t="str">
        <f>"26T28SEV"</f>
        <v>26T28SEV</v>
      </c>
      <c r="E11902" s="1" t="s">
        <v>4579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</row>
    <row r="11903" spans="1:11" ht="30" x14ac:dyDescent="0.2">
      <c r="A11903" s="1" t="s">
        <v>1705</v>
      </c>
      <c r="B11903" s="1" t="s">
        <v>1817</v>
      </c>
      <c r="C11903" s="1" t="str">
        <f>"VS05700010001"</f>
        <v>VS05700010001</v>
      </c>
      <c r="D11903" s="1" t="str">
        <f>"VS05700010001"</f>
        <v>VS05700010001</v>
      </c>
      <c r="E11903" s="1" t="s">
        <v>4579</v>
      </c>
      <c r="F11903" s="1">
        <v>1</v>
      </c>
      <c r="G11903" s="1">
        <v>2271</v>
      </c>
      <c r="H11903" s="1">
        <v>2271</v>
      </c>
      <c r="I11903" s="1">
        <v>0</v>
      </c>
      <c r="J11903" s="1">
        <v>1</v>
      </c>
      <c r="K11903" s="1">
        <v>0</v>
      </c>
    </row>
    <row r="11904" spans="1:11" ht="30" x14ac:dyDescent="0.2">
      <c r="A11904" s="1" t="s">
        <v>1705</v>
      </c>
      <c r="B11904" s="1" t="s">
        <v>1818</v>
      </c>
      <c r="C11904" s="1" t="str">
        <f>"66298855223154"</f>
        <v>66298855223154</v>
      </c>
      <c r="D11904" s="1" t="str">
        <f>"26T52SEV"</f>
        <v>26T52SEV</v>
      </c>
      <c r="E11904" s="1" t="s">
        <v>4579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</row>
    <row r="11905" spans="1:11" x14ac:dyDescent="0.2">
      <c r="A11905" s="1" t="s">
        <v>1705</v>
      </c>
      <c r="B11905" s="1" t="s">
        <v>1819</v>
      </c>
      <c r="C11905" s="1" t="str">
        <f>"66298855269140"</f>
        <v>66298855269140</v>
      </c>
      <c r="D11905" s="1" t="str">
        <f>"DF011"</f>
        <v>DF011</v>
      </c>
      <c r="E11905" s="1" t="s">
        <v>4579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</row>
    <row r="11906" spans="1:11" ht="30" x14ac:dyDescent="0.2">
      <c r="A11906" s="1" t="s">
        <v>1705</v>
      </c>
      <c r="B11906" s="1" t="s">
        <v>1820</v>
      </c>
      <c r="C11906" s="1" t="str">
        <f>"66298855345143"</f>
        <v>66298855345143</v>
      </c>
      <c r="D11906" s="1" t="str">
        <f>"DF016"</f>
        <v>DF016</v>
      </c>
      <c r="E11906" s="1" t="s">
        <v>4579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</row>
    <row r="11907" spans="1:11" x14ac:dyDescent="0.2">
      <c r="A11907" s="1" t="s">
        <v>1705</v>
      </c>
      <c r="B11907" s="1" t="s">
        <v>1821</v>
      </c>
      <c r="C11907" s="1" t="str">
        <f>"66298855308647"</f>
        <v>66298855308647</v>
      </c>
      <c r="D11907" s="1" t="str">
        <f>"34T96SEV"</f>
        <v>34T96SEV</v>
      </c>
      <c r="E11907" s="1" t="s">
        <v>4579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</row>
    <row r="11908" spans="1:11" x14ac:dyDescent="0.2">
      <c r="A11908" s="1" t="s">
        <v>1705</v>
      </c>
      <c r="B11908" s="1" t="s">
        <v>1822</v>
      </c>
      <c r="C11908" s="1" t="str">
        <f>"66298855384909"</f>
        <v>66298855384909</v>
      </c>
      <c r="D11908" s="1" t="str">
        <f>"26T16CSV"</f>
        <v>26T16CSV</v>
      </c>
      <c r="E11908" s="1" t="s">
        <v>4579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</row>
    <row r="11909" spans="1:11" ht="30" x14ac:dyDescent="0.2">
      <c r="A11909" s="1" t="s">
        <v>1705</v>
      </c>
      <c r="B11909" s="1" t="s">
        <v>1823</v>
      </c>
      <c r="C11909" s="1" t="str">
        <f>"66298855429008"</f>
        <v>66298855429008</v>
      </c>
      <c r="D11909" s="1" t="str">
        <f>"26T62CSV"</f>
        <v>26T62CSV</v>
      </c>
      <c r="E11909" s="1" t="s">
        <v>4579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</row>
    <row r="11910" spans="1:11" x14ac:dyDescent="0.2">
      <c r="A11910" s="1" t="s">
        <v>1705</v>
      </c>
      <c r="B11910" s="1" t="s">
        <v>1824</v>
      </c>
      <c r="C11910" s="1" t="str">
        <f>"66298855541186"</f>
        <v>66298855541186</v>
      </c>
      <c r="D11910" s="1" t="str">
        <f>"27T70SEV"</f>
        <v>27T70SEV</v>
      </c>
      <c r="E11910" s="1" t="s">
        <v>4579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</row>
    <row r="11911" spans="1:11" x14ac:dyDescent="0.2">
      <c r="A11911" s="1" t="s">
        <v>1705</v>
      </c>
      <c r="B11911" s="1" t="s">
        <v>1824</v>
      </c>
      <c r="C11911" s="1" t="str">
        <f>"VS53700000400"</f>
        <v>VS53700000400</v>
      </c>
      <c r="D11911" s="1" t="str">
        <f>"VS53700000400"</f>
        <v>VS53700000400</v>
      </c>
      <c r="E11911" s="1" t="s">
        <v>4579</v>
      </c>
      <c r="F11911" s="1">
        <v>1</v>
      </c>
      <c r="G11911" s="1">
        <v>14549</v>
      </c>
      <c r="H11911" s="1">
        <v>14549</v>
      </c>
      <c r="I11911" s="1">
        <v>0</v>
      </c>
      <c r="J11911" s="1">
        <v>1</v>
      </c>
      <c r="K11911" s="1">
        <v>0</v>
      </c>
    </row>
    <row r="11912" spans="1:11" x14ac:dyDescent="0.2">
      <c r="A11912" s="1" t="s">
        <v>1705</v>
      </c>
      <c r="B11912" s="1" t="s">
        <v>1825</v>
      </c>
      <c r="C11912" s="1" t="str">
        <f>"VS15700000021"</f>
        <v>VS15700000021</v>
      </c>
      <c r="D11912" s="1" t="str">
        <f>"VS15700000021"</f>
        <v>VS15700000021</v>
      </c>
      <c r="E11912" s="1" t="s">
        <v>4579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</row>
    <row r="11913" spans="1:11" x14ac:dyDescent="0.2">
      <c r="A11913" s="1" t="s">
        <v>1705</v>
      </c>
      <c r="B11913" s="1" t="s">
        <v>1826</v>
      </c>
      <c r="C11913" s="1" t="str">
        <f>"P4VS270700064"</f>
        <v>P4VS270700064</v>
      </c>
      <c r="D11913" s="1" t="str">
        <f>"P4VS270700064"</f>
        <v>P4VS270700064</v>
      </c>
      <c r="E11913" s="1" t="s">
        <v>4579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</row>
    <row r="11914" spans="1:11" x14ac:dyDescent="0.2">
      <c r="A11914" s="1" t="s">
        <v>1705</v>
      </c>
      <c r="B11914" s="1" t="s">
        <v>1826</v>
      </c>
      <c r="C11914" s="1" t="str">
        <f>"P4V5270700064"</f>
        <v>P4V5270700064</v>
      </c>
      <c r="D11914" s="1" t="str">
        <f>"P4V5270700064"</f>
        <v>P4V5270700064</v>
      </c>
      <c r="E11914" s="1" t="s">
        <v>4579</v>
      </c>
      <c r="F11914" s="1">
        <v>1</v>
      </c>
      <c r="G11914" s="1">
        <v>26478</v>
      </c>
      <c r="H11914" s="1">
        <v>26478</v>
      </c>
      <c r="I11914" s="1">
        <v>0</v>
      </c>
      <c r="J11914" s="1">
        <v>1</v>
      </c>
      <c r="K11914" s="1">
        <v>0</v>
      </c>
    </row>
    <row r="11915" spans="1:11" x14ac:dyDescent="0.2">
      <c r="A11915" s="1" t="s">
        <v>1705</v>
      </c>
      <c r="B11915" s="1" t="s">
        <v>1827</v>
      </c>
      <c r="C11915" s="1" t="str">
        <f>"66298855583789"</f>
        <v>66298855583789</v>
      </c>
      <c r="D11915" s="1" t="str">
        <f>"30T20SEV"</f>
        <v>30T20SEV</v>
      </c>
      <c r="E11915" s="1" t="s">
        <v>4579</v>
      </c>
      <c r="F11915" s="1">
        <v>1</v>
      </c>
      <c r="G11915" s="1">
        <v>8042</v>
      </c>
      <c r="H11915" s="1">
        <v>8042</v>
      </c>
      <c r="I11915" s="1">
        <v>0</v>
      </c>
      <c r="J11915" s="1">
        <v>1</v>
      </c>
      <c r="K11915" s="1">
        <v>0</v>
      </c>
    </row>
    <row r="11916" spans="1:11" x14ac:dyDescent="0.2">
      <c r="A11916" s="1" t="s">
        <v>1705</v>
      </c>
      <c r="B11916" s="1" t="s">
        <v>1828</v>
      </c>
      <c r="C11916" s="1" t="str">
        <f>"VS52700000110"</f>
        <v>VS52700000110</v>
      </c>
      <c r="D11916" s="1" t="str">
        <f>"VS52700000110"</f>
        <v>VS52700000110</v>
      </c>
      <c r="E11916" s="1" t="s">
        <v>4579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</row>
    <row r="11917" spans="1:11" x14ac:dyDescent="0.2">
      <c r="A11917" s="1" t="s">
        <v>1705</v>
      </c>
      <c r="B11917" s="1" t="s">
        <v>1829</v>
      </c>
      <c r="C11917" s="1" t="str">
        <f>"DF005"</f>
        <v>DF005</v>
      </c>
      <c r="D11917" s="1" t="str">
        <f>"DF005"</f>
        <v>DF005</v>
      </c>
      <c r="E11917" s="1" t="s">
        <v>4579</v>
      </c>
      <c r="F11917" s="1">
        <v>2</v>
      </c>
      <c r="G11917" s="1">
        <v>2405</v>
      </c>
      <c r="H11917" s="1">
        <v>4810</v>
      </c>
      <c r="I11917" s="1">
        <v>0</v>
      </c>
      <c r="J11917" s="1">
        <v>2</v>
      </c>
      <c r="K11917" s="1">
        <v>0</v>
      </c>
    </row>
    <row r="11918" spans="1:11" x14ac:dyDescent="0.2">
      <c r="A11918" s="1" t="s">
        <v>1705</v>
      </c>
      <c r="B11918" s="1" t="s">
        <v>1829</v>
      </c>
      <c r="C11918" s="1" t="str">
        <f>"21C-W0001-00BR"</f>
        <v>21C-W0001-00BR</v>
      </c>
      <c r="D11918" s="1" t="str">
        <f>"21C-W0001-00BR"</f>
        <v>21C-W0001-00BR</v>
      </c>
      <c r="E11918" s="1" t="s">
        <v>4579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</row>
    <row r="11919" spans="1:11" x14ac:dyDescent="0.2">
      <c r="A11919" s="1" t="s">
        <v>1705</v>
      </c>
      <c r="B11919" s="1" t="s">
        <v>1829</v>
      </c>
      <c r="C11919" s="1" t="str">
        <f>"VS99700000161"</f>
        <v>VS99700000161</v>
      </c>
      <c r="D11919" s="1" t="str">
        <f>"VS99700000161"</f>
        <v>VS99700000161</v>
      </c>
      <c r="E11919" s="1" t="s">
        <v>4579</v>
      </c>
      <c r="F11919" s="1">
        <v>2</v>
      </c>
      <c r="G11919" s="1">
        <v>5873</v>
      </c>
      <c r="H11919" s="1">
        <v>11746</v>
      </c>
      <c r="I11919" s="1">
        <v>0</v>
      </c>
      <c r="J11919" s="1">
        <v>2</v>
      </c>
      <c r="K11919" s="1">
        <v>0</v>
      </c>
    </row>
    <row r="11920" spans="1:11" ht="30" x14ac:dyDescent="0.2">
      <c r="A11920" s="1" t="s">
        <v>1705</v>
      </c>
      <c r="B11920" s="1" t="s">
        <v>1830</v>
      </c>
      <c r="C11920" s="1" t="str">
        <f>"VS10700090180"</f>
        <v>VS10700090180</v>
      </c>
      <c r="D11920" s="1" t="str">
        <f>"VS10700090180"</f>
        <v>VS10700090180</v>
      </c>
      <c r="E11920" s="1" t="s">
        <v>4579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</row>
    <row r="11921" spans="1:11" x14ac:dyDescent="0.2">
      <c r="A11921" s="1" t="s">
        <v>1705</v>
      </c>
      <c r="B11921" s="1" t="s">
        <v>1831</v>
      </c>
      <c r="C11921" s="1" t="str">
        <f>"11394"</f>
        <v>11394</v>
      </c>
      <c r="D11921" s="1" t="str">
        <f>"11394"</f>
        <v>11394</v>
      </c>
      <c r="E11921" s="1" t="s">
        <v>4579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</row>
    <row r="11922" spans="1:11" x14ac:dyDescent="0.2">
      <c r="A11922" s="1" t="s">
        <v>1705</v>
      </c>
      <c r="B11922" s="1" t="s">
        <v>1832</v>
      </c>
      <c r="C11922" s="1" t="str">
        <f>"66298855638970"</f>
        <v>66298855638970</v>
      </c>
      <c r="D11922" s="1" t="str">
        <f>"DF046"</f>
        <v>DF046</v>
      </c>
      <c r="E11922" s="1" t="s">
        <v>4579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</row>
    <row r="11923" spans="1:11" x14ac:dyDescent="0.2">
      <c r="A11923" s="1" t="s">
        <v>1705</v>
      </c>
      <c r="B11923" s="1" t="s">
        <v>1833</v>
      </c>
      <c r="C11923" s="1" t="str">
        <f>"66298855678670"</f>
        <v>66298855678670</v>
      </c>
      <c r="D11923" s="1" t="str">
        <f>"228031"</f>
        <v>228031</v>
      </c>
      <c r="E11923" s="1" t="s">
        <v>4579</v>
      </c>
      <c r="F11923" s="1">
        <v>1</v>
      </c>
      <c r="G11923" s="1">
        <v>3360</v>
      </c>
      <c r="H11923" s="1">
        <v>3360</v>
      </c>
      <c r="I11923" s="1">
        <v>0</v>
      </c>
      <c r="J11923" s="1">
        <v>1</v>
      </c>
      <c r="K11923" s="1">
        <v>0</v>
      </c>
    </row>
    <row r="11924" spans="1:11" x14ac:dyDescent="0.2">
      <c r="A11924" s="1" t="s">
        <v>1705</v>
      </c>
      <c r="B11924" s="1" t="s">
        <v>1833</v>
      </c>
      <c r="C11924" s="1" t="str">
        <f>"VS15700000015"</f>
        <v>VS15700000015</v>
      </c>
      <c r="D11924" s="1" t="str">
        <f>"VS15700000015"</f>
        <v>VS15700000015</v>
      </c>
      <c r="E11924" s="1" t="s">
        <v>4579</v>
      </c>
      <c r="F11924" s="1">
        <v>1</v>
      </c>
      <c r="G11924" s="1">
        <v>5674</v>
      </c>
      <c r="H11924" s="1">
        <v>5674</v>
      </c>
      <c r="I11924" s="1">
        <v>0</v>
      </c>
      <c r="J11924" s="1">
        <v>1</v>
      </c>
      <c r="K11924" s="1">
        <v>0</v>
      </c>
    </row>
    <row r="11925" spans="1:11" x14ac:dyDescent="0.2">
      <c r="A11925" s="1" t="s">
        <v>1705</v>
      </c>
      <c r="B11925" s="1" t="s">
        <v>1834</v>
      </c>
      <c r="C11925" s="1" t="str">
        <f>"66298855727803"</f>
        <v>66298855727803</v>
      </c>
      <c r="D11925" s="1" t="str">
        <f>"25T42SEV"</f>
        <v>25T42SEV</v>
      </c>
      <c r="E11925" s="1" t="s">
        <v>4579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</row>
    <row r="11926" spans="1:11" ht="30" x14ac:dyDescent="0.2">
      <c r="A11926" s="1" t="s">
        <v>1705</v>
      </c>
      <c r="B11926" s="1" t="s">
        <v>1835</v>
      </c>
      <c r="C11926" s="1" t="str">
        <f>"66298855780019"</f>
        <v>66298855780019</v>
      </c>
      <c r="D11926" s="1" t="str">
        <f>"30T11SEV"</f>
        <v>30T11SEV</v>
      </c>
      <c r="E11926" s="1" t="s">
        <v>4579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</row>
    <row r="11927" spans="1:11" x14ac:dyDescent="0.2">
      <c r="A11927" s="1" t="s">
        <v>1705</v>
      </c>
      <c r="B11927" s="1" t="s">
        <v>1836</v>
      </c>
      <c r="C11927" s="1" t="str">
        <f>"66298855820402"</f>
        <v>66298855820402</v>
      </c>
      <c r="D11927" s="1" t="str">
        <f>"28T08SEV"</f>
        <v>28T08SEV</v>
      </c>
      <c r="E11927" s="1" t="s">
        <v>4579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</row>
    <row r="11928" spans="1:11" ht="30" x14ac:dyDescent="0.2">
      <c r="A11928" s="1" t="s">
        <v>1705</v>
      </c>
      <c r="B11928" s="1" t="s">
        <v>1837</v>
      </c>
      <c r="C11928" s="1" t="str">
        <f>"66298855860253"</f>
        <v>66298855860253</v>
      </c>
      <c r="D11928" s="1" t="str">
        <f>"VS99850006150BR"</f>
        <v>VS99850006150BR</v>
      </c>
      <c r="E11928" s="1" t="s">
        <v>4579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</row>
    <row r="11929" spans="1:11" x14ac:dyDescent="0.2">
      <c r="A11929" s="1" t="s">
        <v>1705</v>
      </c>
      <c r="B11929" s="1" t="s">
        <v>1838</v>
      </c>
      <c r="C11929" s="1" t="str">
        <f>"66298855902408"</f>
        <v>66298855902408</v>
      </c>
      <c r="D11929" s="1" t="str">
        <f>"DF042"</f>
        <v>DF042</v>
      </c>
      <c r="E11929" s="1" t="s">
        <v>4579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</row>
    <row r="11930" spans="1:11" x14ac:dyDescent="0.2">
      <c r="A11930" s="1" t="s">
        <v>1705</v>
      </c>
      <c r="B11930" s="1" t="s">
        <v>1839</v>
      </c>
      <c r="C11930" s="1" t="str">
        <f>"66298855943668"</f>
        <v>66298855943668</v>
      </c>
      <c r="D11930" s="1" t="str">
        <f>"23T28SEV"</f>
        <v>23T28SEV</v>
      </c>
      <c r="E11930" s="1" t="s">
        <v>4579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</row>
    <row r="11931" spans="1:11" x14ac:dyDescent="0.2">
      <c r="A11931" s="1" t="s">
        <v>1705</v>
      </c>
      <c r="B11931" s="1" t="s">
        <v>1840</v>
      </c>
      <c r="C11931" s="1" t="str">
        <f>"66298855981424"</f>
        <v>66298855981424</v>
      </c>
      <c r="D11931" s="1" t="str">
        <f>"23T31SEV"</f>
        <v>23T31SEV</v>
      </c>
      <c r="E11931" s="1" t="s">
        <v>4579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</row>
    <row r="11932" spans="1:11" x14ac:dyDescent="0.2">
      <c r="A11932" s="1" t="s">
        <v>1705</v>
      </c>
      <c r="B11932" s="1" t="s">
        <v>1841</v>
      </c>
      <c r="C11932" s="1" t="str">
        <f>"66298856027308"</f>
        <v>66298856027308</v>
      </c>
      <c r="D11932" s="1" t="str">
        <f>"23T32SEV"</f>
        <v>23T32SEV</v>
      </c>
      <c r="E11932" s="1" t="s">
        <v>4579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</row>
    <row r="11933" spans="1:11" x14ac:dyDescent="0.2">
      <c r="A11933" s="1" t="s">
        <v>1705</v>
      </c>
      <c r="B11933" s="1" t="s">
        <v>1842</v>
      </c>
      <c r="C11933" s="1" t="str">
        <f>"66298856069816"</f>
        <v>66298856069816</v>
      </c>
      <c r="D11933" s="1" t="str">
        <f>"34T105SEV"</f>
        <v>34T105SEV</v>
      </c>
      <c r="E11933" s="1" t="s">
        <v>4579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</row>
    <row r="11934" spans="1:11" x14ac:dyDescent="0.2">
      <c r="A11934" s="1" t="s">
        <v>1705</v>
      </c>
      <c r="B11934" s="1" t="s">
        <v>1843</v>
      </c>
      <c r="C11934" s="1" t="str">
        <f>"VS05700000140"</f>
        <v>VS05700000140</v>
      </c>
      <c r="D11934" s="1" t="str">
        <f>"VS05700000140"</f>
        <v>VS05700000140</v>
      </c>
      <c r="E11934" s="1" t="s">
        <v>4579</v>
      </c>
      <c r="F11934" s="1">
        <v>1</v>
      </c>
      <c r="G11934" s="1">
        <v>13154</v>
      </c>
      <c r="H11934" s="1">
        <v>13154</v>
      </c>
      <c r="I11934" s="1">
        <v>0</v>
      </c>
      <c r="J11934" s="1">
        <v>1</v>
      </c>
      <c r="K11934" s="1">
        <v>0</v>
      </c>
    </row>
    <row r="11935" spans="1:11" x14ac:dyDescent="0.2">
      <c r="A11935" s="1" t="s">
        <v>1705</v>
      </c>
      <c r="B11935" s="1" t="s">
        <v>1844</v>
      </c>
      <c r="C11935" s="1" t="str">
        <f>"66298856112260"</f>
        <v>66298856112260</v>
      </c>
      <c r="D11935" s="1" t="str">
        <f>"33T21SEV"</f>
        <v>33T21SEV</v>
      </c>
      <c r="E11935" s="1" t="s">
        <v>4579</v>
      </c>
      <c r="F11935" s="1">
        <v>1</v>
      </c>
      <c r="G11935" s="1">
        <v>7538</v>
      </c>
      <c r="H11935" s="1">
        <v>7538</v>
      </c>
      <c r="I11935" s="1">
        <v>0</v>
      </c>
      <c r="J11935" s="1">
        <v>1</v>
      </c>
      <c r="K11935" s="1">
        <v>0</v>
      </c>
    </row>
    <row r="11936" spans="1:11" x14ac:dyDescent="0.2">
      <c r="A11936" s="1" t="s">
        <v>1705</v>
      </c>
      <c r="B11936" s="1" t="s">
        <v>1845</v>
      </c>
      <c r="C11936" s="1" t="str">
        <f>"27T64SE"</f>
        <v>27T64SE</v>
      </c>
      <c r="D11936" s="1" t="str">
        <f>"27T64SE"</f>
        <v>27T64SE</v>
      </c>
      <c r="E11936" s="1" t="s">
        <v>4579</v>
      </c>
      <c r="F11936" s="1">
        <v>1</v>
      </c>
      <c r="G11936" s="1">
        <v>9352.7000000000007</v>
      </c>
      <c r="H11936" s="1">
        <v>9353</v>
      </c>
      <c r="I11936" s="1">
        <v>0</v>
      </c>
      <c r="J11936" s="1">
        <v>1</v>
      </c>
      <c r="K11936" s="1">
        <v>0</v>
      </c>
    </row>
    <row r="11937" spans="1:11" x14ac:dyDescent="0.2">
      <c r="A11937" s="1" t="s">
        <v>1705</v>
      </c>
      <c r="B11937" s="1" t="s">
        <v>1846</v>
      </c>
      <c r="C11937" s="1" t="str">
        <f>"66298856164399"</f>
        <v>66298856164399</v>
      </c>
      <c r="D11937" s="1" t="str">
        <f>"27T48SEV"</f>
        <v>27T48SEV</v>
      </c>
      <c r="E11937" s="1" t="s">
        <v>4579</v>
      </c>
      <c r="F11937" s="1">
        <v>1</v>
      </c>
      <c r="G11937" s="1">
        <v>7538</v>
      </c>
      <c r="H11937" s="1">
        <v>7538</v>
      </c>
      <c r="I11937" s="1">
        <v>0</v>
      </c>
      <c r="J11937" s="1">
        <v>1</v>
      </c>
      <c r="K11937" s="1">
        <v>0</v>
      </c>
    </row>
    <row r="11938" spans="1:11" x14ac:dyDescent="0.2">
      <c r="A11938" s="1" t="s">
        <v>1705</v>
      </c>
      <c r="B11938" s="1" t="s">
        <v>1846</v>
      </c>
      <c r="C11938" s="1" t="str">
        <f>"66298856211545"</f>
        <v>66298856211545</v>
      </c>
      <c r="D11938" s="1" t="str">
        <f>"DF007"</f>
        <v>DF007</v>
      </c>
      <c r="E11938" s="1" t="s">
        <v>4579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</row>
    <row r="11939" spans="1:11" ht="30" x14ac:dyDescent="0.2">
      <c r="A11939" s="1" t="s">
        <v>1705</v>
      </c>
      <c r="B11939" s="1" t="s">
        <v>1847</v>
      </c>
      <c r="C11939" s="1" t="str">
        <f>"66298856262242"</f>
        <v>66298856262242</v>
      </c>
      <c r="D11939" s="1" t="str">
        <f>"VS51700000014"</f>
        <v>VS51700000014</v>
      </c>
      <c r="E11939" s="1" t="s">
        <v>4579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</row>
    <row r="11940" spans="1:11" x14ac:dyDescent="0.2">
      <c r="A11940" s="1" t="s">
        <v>1705</v>
      </c>
      <c r="B11940" s="1" t="s">
        <v>1848</v>
      </c>
      <c r="C11940" s="1" t="str">
        <f>"66298856307854"</f>
        <v>66298856307854</v>
      </c>
      <c r="D11940" s="1" t="str">
        <f>"DF030"</f>
        <v>DF030</v>
      </c>
      <c r="E11940" s="1" t="s">
        <v>4579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</row>
    <row r="11941" spans="1:11" x14ac:dyDescent="0.2">
      <c r="A11941" s="1" t="s">
        <v>1705</v>
      </c>
      <c r="B11941" s="1" t="s">
        <v>1848</v>
      </c>
      <c r="C11941" s="1" t="str">
        <f>"P4VS034700015"</f>
        <v>P4VS034700015</v>
      </c>
      <c r="D11941" s="1" t="str">
        <f>"P4VS034700015"</f>
        <v>P4VS034700015</v>
      </c>
      <c r="E11941" s="1" t="s">
        <v>4579</v>
      </c>
      <c r="F11941" s="1">
        <v>1</v>
      </c>
      <c r="G11941" s="1">
        <v>7418</v>
      </c>
      <c r="H11941" s="1">
        <v>7418</v>
      </c>
      <c r="I11941" s="1">
        <v>0</v>
      </c>
      <c r="J11941" s="1">
        <v>1</v>
      </c>
      <c r="K11941" s="1">
        <v>0</v>
      </c>
    </row>
    <row r="11942" spans="1:11" x14ac:dyDescent="0.2">
      <c r="A11942" s="1" t="s">
        <v>1705</v>
      </c>
      <c r="B11942" s="1" t="s">
        <v>1849</v>
      </c>
      <c r="C11942" s="1" t="str">
        <f>"66298856351813"</f>
        <v>66298856351813</v>
      </c>
      <c r="D11942" s="1" t="str">
        <f>"DF008"</f>
        <v>DF008</v>
      </c>
      <c r="E11942" s="1" t="s">
        <v>4579</v>
      </c>
      <c r="F11942" s="1">
        <v>2</v>
      </c>
      <c r="G11942" s="1">
        <v>3887</v>
      </c>
      <c r="H11942" s="1">
        <v>7774</v>
      </c>
      <c r="I11942" s="1">
        <v>0</v>
      </c>
      <c r="J11942" s="1">
        <v>2</v>
      </c>
      <c r="K11942" s="1">
        <v>0</v>
      </c>
    </row>
    <row r="11943" spans="1:11" x14ac:dyDescent="0.2">
      <c r="A11943" s="1" t="s">
        <v>1705</v>
      </c>
      <c r="B11943" s="1" t="s">
        <v>1850</v>
      </c>
      <c r="C11943" s="1" t="str">
        <f>"66298856391251"</f>
        <v>66298856391251</v>
      </c>
      <c r="D11943" s="1" t="str">
        <f>"DF031"</f>
        <v>DF031</v>
      </c>
      <c r="E11943" s="1" t="s">
        <v>4579</v>
      </c>
      <c r="F11943" s="1">
        <v>1</v>
      </c>
      <c r="G11943" s="1">
        <v>2466</v>
      </c>
      <c r="H11943" s="1">
        <v>2466</v>
      </c>
      <c r="I11943" s="1">
        <v>0</v>
      </c>
      <c r="J11943" s="1">
        <v>1</v>
      </c>
      <c r="K11943" s="1">
        <v>0</v>
      </c>
    </row>
    <row r="11944" spans="1:11" ht="30" x14ac:dyDescent="0.2">
      <c r="A11944" s="1" t="s">
        <v>1705</v>
      </c>
      <c r="B11944" s="1" t="s">
        <v>1851</v>
      </c>
      <c r="C11944" s="1" t="str">
        <f>"DF038"</f>
        <v>DF038</v>
      </c>
      <c r="D11944" s="1" t="str">
        <f>"DF038"</f>
        <v>DF038</v>
      </c>
      <c r="E11944" s="1" t="s">
        <v>4579</v>
      </c>
      <c r="F11944" s="1">
        <v>1</v>
      </c>
      <c r="G11944" s="1">
        <v>2151</v>
      </c>
      <c r="H11944" s="1">
        <v>2151</v>
      </c>
      <c r="I11944" s="1">
        <v>0</v>
      </c>
      <c r="J11944" s="1">
        <v>1</v>
      </c>
      <c r="K11944" s="1">
        <v>0</v>
      </c>
    </row>
    <row r="11945" spans="1:11" ht="30" x14ac:dyDescent="0.2">
      <c r="A11945" s="1" t="s">
        <v>1705</v>
      </c>
      <c r="B11945" s="1" t="s">
        <v>1852</v>
      </c>
      <c r="C11945" s="1" t="str">
        <f>"DF040"</f>
        <v>DF040</v>
      </c>
      <c r="D11945" s="1" t="str">
        <f>"DF040"</f>
        <v>DF040</v>
      </c>
      <c r="E11945" s="1" t="s">
        <v>4579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</row>
    <row r="11946" spans="1:11" x14ac:dyDescent="0.2">
      <c r="A11946" s="1" t="s">
        <v>1705</v>
      </c>
      <c r="B11946" s="1" t="s">
        <v>1853</v>
      </c>
      <c r="C11946" s="1" t="str">
        <f>"VS99850006125"</f>
        <v>VS99850006125</v>
      </c>
      <c r="D11946" s="1" t="str">
        <f>"VS99850006125"</f>
        <v>VS99850006125</v>
      </c>
      <c r="E11946" s="1" t="s">
        <v>4579</v>
      </c>
      <c r="F11946" s="1">
        <v>1</v>
      </c>
      <c r="G11946" s="1">
        <v>11539</v>
      </c>
      <c r="H11946" s="1">
        <v>11539</v>
      </c>
      <c r="I11946" s="1">
        <v>0</v>
      </c>
      <c r="J11946" s="1">
        <v>1</v>
      </c>
      <c r="K11946" s="1">
        <v>0</v>
      </c>
    </row>
    <row r="11947" spans="1:11" x14ac:dyDescent="0.2">
      <c r="A11947" s="1" t="s">
        <v>1705</v>
      </c>
      <c r="B11947" s="1" t="s">
        <v>1854</v>
      </c>
      <c r="C11947" s="1" t="str">
        <f>"H1039"</f>
        <v>H1039</v>
      </c>
      <c r="D11947" s="1" t="str">
        <f>"H1039"</f>
        <v>H1039</v>
      </c>
      <c r="E11947" s="1" t="s">
        <v>4579</v>
      </c>
      <c r="F11947" s="1">
        <v>1</v>
      </c>
      <c r="G11947" s="1">
        <v>2460</v>
      </c>
      <c r="H11947" s="1">
        <v>2460</v>
      </c>
      <c r="I11947" s="1">
        <v>0</v>
      </c>
      <c r="J11947" s="1">
        <v>1</v>
      </c>
      <c r="K11947" s="1">
        <v>0</v>
      </c>
    </row>
    <row r="11948" spans="1:11" x14ac:dyDescent="0.2">
      <c r="A11948" s="1" t="s">
        <v>1705</v>
      </c>
      <c r="B11948" s="1" t="s">
        <v>1854</v>
      </c>
      <c r="C11948" s="1" t="str">
        <f>"H1039B"</f>
        <v>H1039B</v>
      </c>
      <c r="D11948" s="1" t="str">
        <f>"H1039B"</f>
        <v>H1039B</v>
      </c>
      <c r="E11948" s="1" t="s">
        <v>4579</v>
      </c>
      <c r="F11948" s="1">
        <v>1</v>
      </c>
      <c r="G11948" s="1">
        <v>2420</v>
      </c>
      <c r="H11948" s="1">
        <v>2420</v>
      </c>
      <c r="I11948" s="1">
        <v>0</v>
      </c>
      <c r="J11948" s="1">
        <v>1</v>
      </c>
      <c r="K11948" s="1">
        <v>0</v>
      </c>
    </row>
    <row r="11949" spans="1:11" x14ac:dyDescent="0.2">
      <c r="A11949" s="1" t="s">
        <v>1705</v>
      </c>
      <c r="B11949" s="1" t="s">
        <v>1855</v>
      </c>
      <c r="C11949" s="1" t="str">
        <f>"66298856435245"</f>
        <v>66298856435245</v>
      </c>
      <c r="D11949" s="1" t="str">
        <f>"26T43CSV"</f>
        <v>26T43CSV</v>
      </c>
      <c r="E11949" s="1" t="s">
        <v>4579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</row>
    <row r="11950" spans="1:11" x14ac:dyDescent="0.2">
      <c r="A11950" s="1" t="s">
        <v>1705</v>
      </c>
      <c r="B11950" s="1" t="s">
        <v>1855</v>
      </c>
      <c r="C11950" s="1" t="str">
        <f>"66298856476201"</f>
        <v>66298856476201</v>
      </c>
      <c r="D11950" s="1" t="str">
        <f>"DF034"</f>
        <v>DF034</v>
      </c>
      <c r="E11950" s="1" t="s">
        <v>4579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</row>
    <row r="11951" spans="1:11" x14ac:dyDescent="0.2">
      <c r="A11951" s="1" t="s">
        <v>1705</v>
      </c>
      <c r="B11951" s="1" t="s">
        <v>1856</v>
      </c>
      <c r="C11951" s="1" t="str">
        <f>"66298856523499"</f>
        <v>66298856523499</v>
      </c>
      <c r="D11951" s="1" t="str">
        <f>"DF045"</f>
        <v>DF045</v>
      </c>
      <c r="E11951" s="1" t="s">
        <v>4579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</row>
    <row r="11952" spans="1:11" x14ac:dyDescent="0.2">
      <c r="A11952" s="1" t="s">
        <v>1705</v>
      </c>
      <c r="B11952" s="1" t="s">
        <v>1857</v>
      </c>
      <c r="C11952" s="1" t="str">
        <f>"66298856571785"</f>
        <v>66298856571785</v>
      </c>
      <c r="D11952" s="1" t="str">
        <f>"26T09CSV"</f>
        <v>26T09CSV</v>
      </c>
      <c r="E11952" s="1" t="s">
        <v>4579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</row>
    <row r="11953" spans="1:11" x14ac:dyDescent="0.2">
      <c r="A11953" s="1" t="s">
        <v>1705</v>
      </c>
      <c r="B11953" s="1" t="s">
        <v>1858</v>
      </c>
      <c r="C11953" s="1" t="str">
        <f>"66298856620185"</f>
        <v>66298856620185</v>
      </c>
      <c r="D11953" s="1" t="str">
        <f>"26T56CSV"</f>
        <v>26T56CSV</v>
      </c>
      <c r="E11953" s="1" t="s">
        <v>4579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</row>
    <row r="11954" spans="1:11" x14ac:dyDescent="0.2">
      <c r="A11954" s="1" t="s">
        <v>1705</v>
      </c>
      <c r="B11954" s="1" t="s">
        <v>1858</v>
      </c>
      <c r="C11954" s="1" t="str">
        <f>"66298856661585"</f>
        <v>66298856661585</v>
      </c>
      <c r="D11954" s="1" t="str">
        <f>"VS05700000013"</f>
        <v>VS05700000013</v>
      </c>
      <c r="E11954" s="1" t="s">
        <v>4579</v>
      </c>
      <c r="F11954" s="1">
        <v>1</v>
      </c>
      <c r="G11954" s="1">
        <v>5313</v>
      </c>
      <c r="H11954" s="1">
        <v>5313</v>
      </c>
      <c r="I11954" s="1">
        <v>0</v>
      </c>
      <c r="J11954" s="1">
        <v>1</v>
      </c>
      <c r="K11954" s="1">
        <v>0</v>
      </c>
    </row>
    <row r="11955" spans="1:11" x14ac:dyDescent="0.2">
      <c r="A11955" s="1" t="s">
        <v>1705</v>
      </c>
      <c r="B11955" s="1" t="s">
        <v>1859</v>
      </c>
      <c r="C11955" s="1" t="str">
        <f>"66298856705082"</f>
        <v>66298856705082</v>
      </c>
      <c r="D11955" s="1" t="str">
        <f>"26T73SEV"</f>
        <v>26T73SEV</v>
      </c>
      <c r="E11955" s="1" t="s">
        <v>4579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</row>
    <row r="11956" spans="1:11" x14ac:dyDescent="0.2">
      <c r="A11956" s="1" t="s">
        <v>1705</v>
      </c>
      <c r="B11956" s="1" t="s">
        <v>1860</v>
      </c>
      <c r="C11956" s="1" t="str">
        <f>"66298856743027"</f>
        <v>66298856743027</v>
      </c>
      <c r="D11956" s="1" t="str">
        <f>"26T26CSV"</f>
        <v>26T26CSV</v>
      </c>
      <c r="E11956" s="1" t="s">
        <v>4579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</row>
    <row r="11957" spans="1:11" ht="30" x14ac:dyDescent="0.2">
      <c r="A11957" s="1" t="s">
        <v>1705</v>
      </c>
      <c r="B11957" s="1" t="s">
        <v>1861</v>
      </c>
      <c r="C11957" s="1" t="str">
        <f>"P4V0210700223"</f>
        <v>P4V0210700223</v>
      </c>
      <c r="D11957" s="1" t="str">
        <f>"P4V0210700223"</f>
        <v>P4V0210700223</v>
      </c>
      <c r="E11957" s="1" t="s">
        <v>4579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</row>
    <row r="11958" spans="1:11" x14ac:dyDescent="0.2">
      <c r="A11958" s="1" t="s">
        <v>1705</v>
      </c>
      <c r="B11958" s="1" t="s">
        <v>1862</v>
      </c>
      <c r="C11958" s="1" t="str">
        <f>"66298856781394"</f>
        <v>66298856781394</v>
      </c>
      <c r="D11958" s="1" t="str">
        <f>"26T72SEV"</f>
        <v>26T72SEV</v>
      </c>
      <c r="E11958" s="1" t="s">
        <v>4579</v>
      </c>
      <c r="F11958" s="1">
        <v>3</v>
      </c>
      <c r="G11958" s="1">
        <v>8365</v>
      </c>
      <c r="H11958" s="1">
        <v>25095</v>
      </c>
      <c r="I11958" s="1">
        <v>0</v>
      </c>
      <c r="J11958" s="1">
        <v>3</v>
      </c>
      <c r="K11958" s="1">
        <v>0</v>
      </c>
    </row>
    <row r="11959" spans="1:11" x14ac:dyDescent="0.2">
      <c r="A11959" s="1" t="s">
        <v>1705</v>
      </c>
      <c r="B11959" s="1" t="s">
        <v>1862</v>
      </c>
      <c r="C11959" s="1" t="str">
        <f>"66298856822890"</f>
        <v>66298856822890</v>
      </c>
      <c r="D11959" s="1" t="str">
        <f>"DF037"</f>
        <v>DF037</v>
      </c>
      <c r="E11959" s="1" t="s">
        <v>4579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</row>
    <row r="11960" spans="1:11" x14ac:dyDescent="0.2">
      <c r="A11960" s="1" t="s">
        <v>1705</v>
      </c>
      <c r="B11960" s="1" t="s">
        <v>1862</v>
      </c>
      <c r="C11960" s="1" t="str">
        <f>"VS05700000110"</f>
        <v>VS05700000110</v>
      </c>
      <c r="D11960" s="1" t="str">
        <f>"VS05700000110"</f>
        <v>VS05700000110</v>
      </c>
      <c r="E11960" s="1" t="s">
        <v>4579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</row>
    <row r="11961" spans="1:11" x14ac:dyDescent="0.2">
      <c r="A11961" s="1" t="s">
        <v>1705</v>
      </c>
      <c r="B11961" s="1" t="s">
        <v>1863</v>
      </c>
      <c r="C11961" s="1" t="str">
        <f>"66298856864001"</f>
        <v>66298856864001</v>
      </c>
      <c r="D11961" s="1" t="str">
        <f>"DF050"</f>
        <v>DF050</v>
      </c>
      <c r="E11961" s="1" t="s">
        <v>4579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</row>
    <row r="11962" spans="1:11" x14ac:dyDescent="0.2">
      <c r="A11962" s="1" t="s">
        <v>1705</v>
      </c>
      <c r="B11962" s="1" t="s">
        <v>1864</v>
      </c>
      <c r="C11962" s="1" t="str">
        <f>"66298856901975"</f>
        <v>66298856901975</v>
      </c>
      <c r="D11962" s="1" t="str">
        <f>"24T41SEV"</f>
        <v>24T41SEV</v>
      </c>
      <c r="E11962" s="1" t="s">
        <v>4579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</row>
    <row r="11963" spans="1:11" x14ac:dyDescent="0.2">
      <c r="A11963" s="1" t="s">
        <v>1705</v>
      </c>
      <c r="B11963" s="1" t="s">
        <v>1865</v>
      </c>
      <c r="C11963" s="1" t="str">
        <f>"66298856940942"</f>
        <v>66298856940942</v>
      </c>
      <c r="D11963" s="1" t="str">
        <f>"24T32SEV"</f>
        <v>24T32SEV</v>
      </c>
      <c r="E11963" s="1" t="s">
        <v>4579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</row>
    <row r="11964" spans="1:11" x14ac:dyDescent="0.2">
      <c r="A11964" s="1" t="s">
        <v>1705</v>
      </c>
      <c r="B11964" s="1" t="s">
        <v>1865</v>
      </c>
      <c r="C11964" s="1" t="str">
        <f>"66298856946436"</f>
        <v>66298856946436</v>
      </c>
      <c r="D11964" s="1" t="str">
        <f>"DF047"</f>
        <v>DF047</v>
      </c>
      <c r="E11964" s="1" t="s">
        <v>4579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</row>
    <row r="11965" spans="1:11" x14ac:dyDescent="0.2">
      <c r="A11965" s="1" t="s">
        <v>1705</v>
      </c>
      <c r="B11965" s="1" t="s">
        <v>1866</v>
      </c>
      <c r="C11965" s="1" t="str">
        <f>"VS10700000830"</f>
        <v>VS10700000830</v>
      </c>
      <c r="D11965" s="1" t="str">
        <f>"VS10700000830"</f>
        <v>VS10700000830</v>
      </c>
      <c r="E11965" s="1" t="s">
        <v>4579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</row>
    <row r="11966" spans="1:11" ht="30" x14ac:dyDescent="0.2">
      <c r="A11966" s="1" t="s">
        <v>1705</v>
      </c>
      <c r="B11966" s="1" t="s">
        <v>1867</v>
      </c>
      <c r="C11966" s="1" t="str">
        <f>"VS10700000660"</f>
        <v>VS10700000660</v>
      </c>
      <c r="D11966" s="1" t="str">
        <f>"VS10700000660"</f>
        <v>VS10700000660</v>
      </c>
      <c r="E11966" s="1" t="s">
        <v>4579</v>
      </c>
      <c r="F11966" s="1">
        <v>2</v>
      </c>
      <c r="G11966" s="1">
        <v>3796</v>
      </c>
      <c r="H11966" s="1">
        <v>7592</v>
      </c>
      <c r="I11966" s="1">
        <v>0</v>
      </c>
      <c r="J11966" s="1">
        <v>2</v>
      </c>
      <c r="K11966" s="1">
        <v>0</v>
      </c>
    </row>
    <row r="11967" spans="1:11" x14ac:dyDescent="0.2">
      <c r="A11967" s="1" t="s">
        <v>1351</v>
      </c>
      <c r="B11967" s="1" t="s">
        <v>1868</v>
      </c>
      <c r="C11967" s="1" t="str">
        <f>"66298857004120"</f>
        <v>66298857004120</v>
      </c>
      <c r="D11967" s="1" t="str">
        <f>"TA087"</f>
        <v>TA087</v>
      </c>
      <c r="E11967" s="1" t="s">
        <v>4579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</row>
    <row r="11968" spans="1:11" x14ac:dyDescent="0.2">
      <c r="A11968" s="1" t="s">
        <v>1351</v>
      </c>
      <c r="B11968" s="1" t="s">
        <v>1869</v>
      </c>
      <c r="C11968" s="1" t="str">
        <f>"66298857044840"</f>
        <v>66298857044840</v>
      </c>
      <c r="D11968" s="1" t="str">
        <f>"TA095"</f>
        <v>TA095</v>
      </c>
      <c r="E11968" s="1" t="s">
        <v>4579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</row>
    <row r="11969" spans="1:11" x14ac:dyDescent="0.2">
      <c r="A11969" s="1" t="s">
        <v>1351</v>
      </c>
      <c r="B11969" s="1" t="s">
        <v>1870</v>
      </c>
      <c r="C11969" s="1" t="str">
        <f>"66298857090307"</f>
        <v>66298857090307</v>
      </c>
      <c r="D11969" s="1" t="str">
        <f>"TA015"</f>
        <v>TA015</v>
      </c>
      <c r="E11969" s="1" t="s">
        <v>4579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</row>
    <row r="11970" spans="1:11" x14ac:dyDescent="0.2">
      <c r="A11970" s="1" t="s">
        <v>1351</v>
      </c>
      <c r="B11970" s="1" t="s">
        <v>1870</v>
      </c>
      <c r="C11970" s="1" t="str">
        <f>"66298857095927"</f>
        <v>66298857095927</v>
      </c>
      <c r="D11970" s="1" t="str">
        <f>"TA004"</f>
        <v>TA004</v>
      </c>
      <c r="E11970" s="1" t="s">
        <v>4579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</row>
    <row r="11971" spans="1:11" x14ac:dyDescent="0.2">
      <c r="A11971" s="1" t="s">
        <v>1351</v>
      </c>
      <c r="B11971" s="1" t="s">
        <v>1871</v>
      </c>
      <c r="C11971" s="1" t="str">
        <f>"66298857152201"</f>
        <v>66298857152201</v>
      </c>
      <c r="D11971" s="1" t="str">
        <f>"TA010"</f>
        <v>TA010</v>
      </c>
      <c r="E11971" s="1" t="s">
        <v>4579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</row>
    <row r="11972" spans="1:11" x14ac:dyDescent="0.2">
      <c r="A11972" s="1" t="s">
        <v>1872</v>
      </c>
      <c r="B11972" s="1" t="s">
        <v>1873</v>
      </c>
      <c r="C11972" s="1" t="str">
        <f>"66298857191755"</f>
        <v>66298857191755</v>
      </c>
      <c r="D11972" s="1" t="str">
        <f>"80154D"</f>
        <v>80154D</v>
      </c>
      <c r="E11972" s="1" t="s">
        <v>4579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</row>
    <row r="11973" spans="1:11" x14ac:dyDescent="0.2">
      <c r="A11973" s="1" t="s">
        <v>1872</v>
      </c>
      <c r="B11973" s="1" t="s">
        <v>1874</v>
      </c>
      <c r="C11973" s="1" t="str">
        <f>"66298857231699"</f>
        <v>66298857231699</v>
      </c>
      <c r="D11973" s="1" t="str">
        <f>"56600H7H000H000"</f>
        <v>56600H7H000H000</v>
      </c>
      <c r="E11973" s="1" t="s">
        <v>4579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</row>
    <row r="11974" spans="1:11" x14ac:dyDescent="0.2">
      <c r="A11974" s="1" t="s">
        <v>1872</v>
      </c>
      <c r="B11974" s="1" t="s">
        <v>1875</v>
      </c>
      <c r="C11974" s="1" t="str">
        <f>"56500H2J000H000"</f>
        <v>56500H2J000H000</v>
      </c>
      <c r="D11974" s="1" t="str">
        <f>"56500H2J000H000"</f>
        <v>56500H2J000H000</v>
      </c>
      <c r="E11974" s="1" t="s">
        <v>4579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0</v>
      </c>
    </row>
    <row r="11975" spans="1:11" x14ac:dyDescent="0.2">
      <c r="A11975" s="1" t="s">
        <v>1872</v>
      </c>
      <c r="B11975" s="1" t="s">
        <v>1876</v>
      </c>
      <c r="C11975" s="1" t="str">
        <f>"56500H2A230H000"</f>
        <v>56500H2A230H000</v>
      </c>
      <c r="D11975" s="1" t="str">
        <f>"56500H2A230H000"</f>
        <v>56500H2A230H000</v>
      </c>
      <c r="E11975" s="1" t="s">
        <v>4579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</row>
    <row r="11976" spans="1:11" x14ac:dyDescent="0.2">
      <c r="A11976" s="1" t="s">
        <v>1872</v>
      </c>
      <c r="B11976" s="1" t="s">
        <v>1877</v>
      </c>
      <c r="C11976" s="1" t="str">
        <f>"EMKD00059"</f>
        <v>EMKD00059</v>
      </c>
      <c r="D11976" s="1" t="str">
        <f>"EMKD00059"</f>
        <v>EMKD00059</v>
      </c>
      <c r="E11976" s="1" t="s">
        <v>4579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</row>
    <row r="11977" spans="1:11" x14ac:dyDescent="0.2">
      <c r="A11977" s="1" t="s">
        <v>1872</v>
      </c>
      <c r="B11977" s="1" t="s">
        <v>1878</v>
      </c>
      <c r="C11977" s="1" t="str">
        <f>"EMKD00218"</f>
        <v>EMKD00218</v>
      </c>
      <c r="D11977" s="1" t="str">
        <f>"EMKD00218"</f>
        <v>EMKD00218</v>
      </c>
      <c r="E11977" s="1" t="s">
        <v>4579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</row>
    <row r="11978" spans="1:11" x14ac:dyDescent="0.2">
      <c r="A11978" s="1" t="s">
        <v>1872</v>
      </c>
      <c r="B11978" s="1" t="s">
        <v>1879</v>
      </c>
      <c r="C11978" s="1" t="str">
        <f>"56500H37230H000"</f>
        <v>56500H37230H000</v>
      </c>
      <c r="D11978" s="1" t="str">
        <f>"56500H37230H000"</f>
        <v>56500H37230H000</v>
      </c>
      <c r="E11978" s="1" t="s">
        <v>4579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</row>
    <row r="11979" spans="1:11" x14ac:dyDescent="0.2">
      <c r="A11979" s="1" t="s">
        <v>1872</v>
      </c>
      <c r="B11979" s="1" t="s">
        <v>1880</v>
      </c>
      <c r="C11979" s="1" t="str">
        <f>"56600H7H010H000"</f>
        <v>56600H7H010H000</v>
      </c>
      <c r="D11979" s="1" t="str">
        <f>"56600H7H010H000"</f>
        <v>56600H7H010H000</v>
      </c>
      <c r="E11979" s="1" t="s">
        <v>4579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</row>
    <row r="11980" spans="1:11" x14ac:dyDescent="0.2">
      <c r="A11980" s="1" t="s">
        <v>1872</v>
      </c>
      <c r="B11980" s="1" t="s">
        <v>1881</v>
      </c>
      <c r="C11980" s="1" t="str">
        <f>"56600H2J000H000"</f>
        <v>56600H2J000H000</v>
      </c>
      <c r="D11980" s="1" t="str">
        <f>"56600H2J000H000"</f>
        <v>56600H2J000H000</v>
      </c>
      <c r="E11980" s="1" t="s">
        <v>4579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</row>
    <row r="11981" spans="1:11" x14ac:dyDescent="0.2">
      <c r="A11981" s="1" t="s">
        <v>1872</v>
      </c>
      <c r="B11981" s="1" t="s">
        <v>1882</v>
      </c>
      <c r="C11981" s="1" t="str">
        <f>"56600H2A230H000"</f>
        <v>56600H2A230H000</v>
      </c>
      <c r="D11981" s="1" t="str">
        <f>"56600H2A230H000"</f>
        <v>56600H2A230H000</v>
      </c>
      <c r="E11981" s="1" t="s">
        <v>4579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</row>
    <row r="11982" spans="1:11" x14ac:dyDescent="0.2">
      <c r="A11982" s="1" t="s">
        <v>1872</v>
      </c>
      <c r="B11982" s="1" t="s">
        <v>1883</v>
      </c>
      <c r="C11982" s="1" t="str">
        <f>"EMKD00054"</f>
        <v>EMKD00054</v>
      </c>
      <c r="D11982" s="1" t="str">
        <f>"EMKD00054"</f>
        <v>EMKD00054</v>
      </c>
      <c r="E11982" s="1" t="s">
        <v>4579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</row>
    <row r="11983" spans="1:11" x14ac:dyDescent="0.2">
      <c r="A11983" s="1" t="s">
        <v>1872</v>
      </c>
      <c r="B11983" s="1" t="s">
        <v>1884</v>
      </c>
      <c r="C11983" s="1" t="str">
        <f>"EMKD00219"</f>
        <v>EMKD00219</v>
      </c>
      <c r="D11983" s="1" t="str">
        <f>"EMKD00219"</f>
        <v>EMKD00219</v>
      </c>
      <c r="E11983" s="1" t="s">
        <v>4579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</row>
    <row r="11984" spans="1:11" x14ac:dyDescent="0.2">
      <c r="A11984" s="1" t="s">
        <v>1872</v>
      </c>
      <c r="B11984" s="1" t="s">
        <v>1885</v>
      </c>
      <c r="C11984" s="1" t="str">
        <f>"56600H37230H000"</f>
        <v>56600H37230H000</v>
      </c>
      <c r="D11984" s="1" t="str">
        <f>"56600H37230H000"</f>
        <v>56600H37230H000</v>
      </c>
      <c r="E11984" s="1" t="s">
        <v>4579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</row>
    <row r="11985" spans="1:11" x14ac:dyDescent="0.2">
      <c r="A11985" s="1" t="s">
        <v>1872</v>
      </c>
      <c r="B11985" s="1" t="s">
        <v>1886</v>
      </c>
      <c r="C11985" s="1" t="str">
        <f>"66298857269930"</f>
        <v>66298857269930</v>
      </c>
      <c r="D11985" s="1" t="str">
        <f>"2PB-F6280-00"</f>
        <v>2PB-F6280-00</v>
      </c>
      <c r="E11985" s="1" t="s">
        <v>4579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</row>
    <row r="11986" spans="1:11" x14ac:dyDescent="0.2">
      <c r="A11986" s="1" t="s">
        <v>1872</v>
      </c>
      <c r="B11986" s="1" t="s">
        <v>1887</v>
      </c>
      <c r="C11986" s="1" t="str">
        <f>"66298857309008"</f>
        <v>66298857309008</v>
      </c>
      <c r="D11986" s="1" t="str">
        <f>"400785"</f>
        <v>400785</v>
      </c>
      <c r="E11986" s="1" t="s">
        <v>4579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</row>
    <row r="11987" spans="1:11" x14ac:dyDescent="0.2">
      <c r="A11987" s="1" t="s">
        <v>1872</v>
      </c>
      <c r="B11987" s="1" t="s">
        <v>1888</v>
      </c>
      <c r="C11987" s="1" t="str">
        <f>"66298857386447"</f>
        <v>66298857386447</v>
      </c>
      <c r="D11987" s="1" t="str">
        <f>"KA046-A"</f>
        <v>KA046-A</v>
      </c>
      <c r="E11987" s="1" t="s">
        <v>4579</v>
      </c>
      <c r="F11987" s="1">
        <v>1</v>
      </c>
      <c r="G11987" s="1">
        <v>2623</v>
      </c>
      <c r="H11987" s="1">
        <v>2623</v>
      </c>
      <c r="I11987" s="1">
        <v>0</v>
      </c>
      <c r="J11987" s="1">
        <v>1</v>
      </c>
      <c r="K11987" s="1">
        <v>0</v>
      </c>
    </row>
    <row r="11988" spans="1:11" x14ac:dyDescent="0.2">
      <c r="A11988" s="1" t="s">
        <v>1872</v>
      </c>
      <c r="B11988" s="1" t="s">
        <v>1889</v>
      </c>
      <c r="C11988" s="1" t="str">
        <f>"66298857346723"</f>
        <v>66298857346723</v>
      </c>
      <c r="D11988" s="1" t="str">
        <f>"KA045-A"</f>
        <v>KA045-A</v>
      </c>
      <c r="E11988" s="1" t="s">
        <v>4579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</row>
    <row r="11989" spans="1:11" x14ac:dyDescent="0.2">
      <c r="A11989" s="1" t="s">
        <v>1872</v>
      </c>
      <c r="B11989" s="1" t="s">
        <v>1890</v>
      </c>
      <c r="C11989" s="1" t="str">
        <f>"10524"</f>
        <v>10524</v>
      </c>
      <c r="D11989" s="1" t="str">
        <f>"10524"</f>
        <v>10524</v>
      </c>
      <c r="E11989" s="1" t="s">
        <v>4579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</row>
    <row r="11990" spans="1:11" x14ac:dyDescent="0.2">
      <c r="A11990" s="1" t="s">
        <v>1872</v>
      </c>
      <c r="B11990" s="1" t="s">
        <v>1891</v>
      </c>
      <c r="C11990" s="1" t="str">
        <f>"66298857429744"</f>
        <v>66298857429744</v>
      </c>
      <c r="D11990" s="1" t="str">
        <f>"K055"</f>
        <v>K055</v>
      </c>
      <c r="E11990" s="1" t="s">
        <v>4579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</row>
    <row r="11991" spans="1:11" x14ac:dyDescent="0.2">
      <c r="A11991" s="1" t="s">
        <v>1872</v>
      </c>
      <c r="B11991" s="1" t="s">
        <v>1892</v>
      </c>
      <c r="C11991" s="1" t="str">
        <f>"66298857469901"</f>
        <v>66298857469901</v>
      </c>
      <c r="D11991" s="1" t="str">
        <f>"00178"</f>
        <v>00178</v>
      </c>
      <c r="E11991" s="1" t="s">
        <v>4579</v>
      </c>
      <c r="F11991" s="1">
        <v>2</v>
      </c>
      <c r="G11991" s="1">
        <v>2810</v>
      </c>
      <c r="H11991" s="1">
        <v>5620</v>
      </c>
      <c r="I11991" s="1">
        <v>0</v>
      </c>
      <c r="J11991" s="1">
        <v>2</v>
      </c>
      <c r="K11991" s="1">
        <v>0</v>
      </c>
    </row>
    <row r="11992" spans="1:11" x14ac:dyDescent="0.2">
      <c r="A11992" s="1" t="s">
        <v>1872</v>
      </c>
      <c r="B11992" s="1" t="s">
        <v>1893</v>
      </c>
      <c r="C11992" s="1" t="str">
        <f>"KA015"</f>
        <v>KA015</v>
      </c>
      <c r="D11992" s="1" t="str">
        <f>"KA015"</f>
        <v>KA015</v>
      </c>
      <c r="E11992" s="1" t="s">
        <v>4579</v>
      </c>
      <c r="F11992" s="1">
        <v>2</v>
      </c>
      <c r="G11992" s="1">
        <v>3264</v>
      </c>
      <c r="H11992" s="1">
        <v>6528</v>
      </c>
      <c r="I11992" s="1">
        <v>0</v>
      </c>
      <c r="J11992" s="1">
        <v>2</v>
      </c>
      <c r="K11992" s="1">
        <v>0</v>
      </c>
    </row>
    <row r="11993" spans="1:11" x14ac:dyDescent="0.2">
      <c r="A11993" s="1" t="s">
        <v>1872</v>
      </c>
      <c r="B11993" s="1" t="s">
        <v>1894</v>
      </c>
      <c r="C11993" s="1" t="str">
        <f>"YXC-M8"</f>
        <v>YXC-M8</v>
      </c>
      <c r="D11993" s="1" t="str">
        <f>"YXC-M8"</f>
        <v>YXC-M8</v>
      </c>
      <c r="E11993" s="1" t="s">
        <v>4579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</row>
    <row r="11994" spans="1:11" x14ac:dyDescent="0.2">
      <c r="A11994" s="1" t="s">
        <v>1872</v>
      </c>
      <c r="B11994" s="1" t="s">
        <v>1895</v>
      </c>
      <c r="C11994" s="1" t="str">
        <f>"66298857519524"</f>
        <v>66298857519524</v>
      </c>
      <c r="D11994" s="1" t="str">
        <f>"400787"</f>
        <v>400787</v>
      </c>
      <c r="E11994" s="1" t="s">
        <v>4579</v>
      </c>
      <c r="F11994" s="1">
        <v>2</v>
      </c>
      <c r="G11994" s="1">
        <v>1234</v>
      </c>
      <c r="H11994" s="1">
        <v>2468</v>
      </c>
      <c r="I11994" s="1">
        <v>0</v>
      </c>
      <c r="J11994" s="1">
        <v>2</v>
      </c>
      <c r="K11994" s="1">
        <v>0</v>
      </c>
    </row>
    <row r="11995" spans="1:11" ht="30" x14ac:dyDescent="0.2">
      <c r="A11995" s="1" t="s">
        <v>1872</v>
      </c>
      <c r="B11995" s="1" t="s">
        <v>1896</v>
      </c>
      <c r="C11995" s="1" t="str">
        <f>"KA010"</f>
        <v>KA010</v>
      </c>
      <c r="D11995" s="1" t="str">
        <f>"KA010"</f>
        <v>KA010</v>
      </c>
      <c r="E11995" s="1" t="s">
        <v>4579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</row>
    <row r="11996" spans="1:11" ht="30" x14ac:dyDescent="0.2">
      <c r="A11996" s="1" t="s">
        <v>1872</v>
      </c>
      <c r="B11996" s="1" t="s">
        <v>1897</v>
      </c>
      <c r="C11996" s="1" t="str">
        <f>"KA029"</f>
        <v>KA029</v>
      </c>
      <c r="D11996" s="1" t="str">
        <f>"KA029"</f>
        <v>KA029</v>
      </c>
      <c r="E11996" s="1" t="s">
        <v>4579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</row>
    <row r="11997" spans="1:11" ht="30" x14ac:dyDescent="0.2">
      <c r="A11997" s="1" t="s">
        <v>1872</v>
      </c>
      <c r="B11997" s="1" t="s">
        <v>1898</v>
      </c>
      <c r="C11997" s="1" t="str">
        <f>"123991"</f>
        <v>123991</v>
      </c>
      <c r="D11997" s="1" t="str">
        <f>"123991"</f>
        <v>123991</v>
      </c>
      <c r="E11997" s="1" t="s">
        <v>4579</v>
      </c>
      <c r="F11997" s="1">
        <v>2</v>
      </c>
      <c r="G11997" s="1">
        <v>4810.13</v>
      </c>
      <c r="H11997" s="1">
        <v>9620</v>
      </c>
      <c r="I11997" s="1">
        <v>0</v>
      </c>
      <c r="J11997" s="1">
        <v>2</v>
      </c>
      <c r="K11997" s="1">
        <v>0</v>
      </c>
    </row>
    <row r="11998" spans="1:11" x14ac:dyDescent="0.2">
      <c r="A11998" s="1" t="s">
        <v>1872</v>
      </c>
      <c r="B11998" s="1" t="s">
        <v>1899</v>
      </c>
      <c r="C11998" s="1" t="str">
        <f>"66298857565368"</f>
        <v>66298857565368</v>
      </c>
      <c r="D11998" s="1" t="str">
        <f>"KA007"</f>
        <v>KA007</v>
      </c>
      <c r="E11998" s="1" t="s">
        <v>4579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</row>
    <row r="11999" spans="1:11" x14ac:dyDescent="0.2">
      <c r="A11999" s="1" t="s">
        <v>1872</v>
      </c>
      <c r="B11999" s="1" t="s">
        <v>1900</v>
      </c>
      <c r="C11999" s="1" t="str">
        <f>"66298857610174"</f>
        <v>66298857610174</v>
      </c>
      <c r="D11999" s="1" t="str">
        <f>"400008"</f>
        <v>400008</v>
      </c>
      <c r="E11999" s="1" t="s">
        <v>4579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</row>
    <row r="12000" spans="1:11" x14ac:dyDescent="0.2">
      <c r="A12000" s="1" t="s">
        <v>1872</v>
      </c>
      <c r="B12000" s="1" t="s">
        <v>1901</v>
      </c>
      <c r="C12000" s="1" t="str">
        <f>"7363"</f>
        <v>7363</v>
      </c>
      <c r="D12000" s="1" t="str">
        <f>"7363"</f>
        <v>7363</v>
      </c>
      <c r="E12000" s="1" t="s">
        <v>4579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</row>
    <row r="12001" spans="1:11" x14ac:dyDescent="0.2">
      <c r="A12001" s="1" t="s">
        <v>1872</v>
      </c>
      <c r="B12001" s="1" t="s">
        <v>1902</v>
      </c>
      <c r="C12001" s="1" t="str">
        <f>"123497"</f>
        <v>123497</v>
      </c>
      <c r="D12001" s="1" t="str">
        <f>"123947"</f>
        <v>123947</v>
      </c>
      <c r="E12001" s="1" t="s">
        <v>4579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</row>
    <row r="12002" spans="1:11" x14ac:dyDescent="0.2">
      <c r="A12002" s="1" t="s">
        <v>1872</v>
      </c>
      <c r="B12002" s="1" t="s">
        <v>1903</v>
      </c>
      <c r="C12002" s="1" t="str">
        <f>"11705"</f>
        <v>11705</v>
      </c>
      <c r="D12002" s="1" t="str">
        <f>"11705"</f>
        <v>11705</v>
      </c>
      <c r="E12002" s="1" t="s">
        <v>4579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</row>
    <row r="12003" spans="1:11" x14ac:dyDescent="0.2">
      <c r="A12003" s="1" t="s">
        <v>1872</v>
      </c>
      <c r="B12003" s="1" t="s">
        <v>1904</v>
      </c>
      <c r="C12003" s="1" t="str">
        <f>"66298857716136"</f>
        <v>66298857716136</v>
      </c>
      <c r="D12003" s="1" t="str">
        <f>"400790"</f>
        <v>400790</v>
      </c>
      <c r="E12003" s="1" t="s">
        <v>4579</v>
      </c>
      <c r="F12003" s="1">
        <v>1</v>
      </c>
      <c r="G12003" s="1">
        <v>1795</v>
      </c>
      <c r="H12003" s="1">
        <v>1795</v>
      </c>
      <c r="I12003" s="1">
        <v>0</v>
      </c>
      <c r="J12003" s="1">
        <v>1</v>
      </c>
      <c r="K12003" s="1">
        <v>0</v>
      </c>
    </row>
    <row r="12004" spans="1:11" x14ac:dyDescent="0.2">
      <c r="A12004" s="1" t="s">
        <v>1872</v>
      </c>
      <c r="B12004" s="1" t="s">
        <v>1905</v>
      </c>
      <c r="C12004" s="1" t="str">
        <f>"66298857652018"</f>
        <v>66298857652018</v>
      </c>
      <c r="D12004" s="1" t="str">
        <f>"E11"</f>
        <v>E11</v>
      </c>
      <c r="E12004" s="1" t="s">
        <v>4579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</row>
    <row r="12005" spans="1:11" x14ac:dyDescent="0.2">
      <c r="A12005" s="1" t="s">
        <v>1872</v>
      </c>
      <c r="B12005" s="1" t="s">
        <v>1905</v>
      </c>
      <c r="C12005" s="1" t="str">
        <f>"66298857658097"</f>
        <v>66298857658097</v>
      </c>
      <c r="D12005" s="1" t="str">
        <f>"KA008"</f>
        <v>KA008</v>
      </c>
      <c r="E12005" s="1" t="s">
        <v>4579</v>
      </c>
      <c r="F12005" s="1">
        <v>1</v>
      </c>
      <c r="G12005" s="1">
        <v>4120</v>
      </c>
      <c r="H12005" s="1">
        <v>4120</v>
      </c>
      <c r="I12005" s="1">
        <v>0</v>
      </c>
      <c r="J12005" s="1">
        <v>1</v>
      </c>
      <c r="K12005" s="1">
        <v>0</v>
      </c>
    </row>
    <row r="12006" spans="1:11" x14ac:dyDescent="0.2">
      <c r="A12006" s="1" t="s">
        <v>1872</v>
      </c>
      <c r="B12006" s="1" t="s">
        <v>1906</v>
      </c>
      <c r="C12006" s="1" t="str">
        <f>"KA001"</f>
        <v>KA001</v>
      </c>
      <c r="D12006" s="1" t="str">
        <f>"KA001"</f>
        <v>KA001</v>
      </c>
      <c r="E12006" s="1" t="s">
        <v>4579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</row>
    <row r="12007" spans="1:11" x14ac:dyDescent="0.2">
      <c r="A12007" s="1" t="s">
        <v>1872</v>
      </c>
      <c r="B12007" s="1" t="s">
        <v>1907</v>
      </c>
      <c r="C12007" s="1" t="str">
        <f>"66298857803964"</f>
        <v>66298857803964</v>
      </c>
      <c r="D12007" s="1" t="str">
        <f>"400009"</f>
        <v>400009</v>
      </c>
      <c r="E12007" s="1" t="s">
        <v>4579</v>
      </c>
      <c r="F12007" s="1">
        <v>1</v>
      </c>
      <c r="G12007" s="1">
        <v>881</v>
      </c>
      <c r="H12007" s="1">
        <v>881</v>
      </c>
      <c r="I12007" s="1">
        <v>0</v>
      </c>
      <c r="J12007" s="1">
        <v>1</v>
      </c>
      <c r="K12007" s="1">
        <v>0</v>
      </c>
    </row>
    <row r="12008" spans="1:11" x14ac:dyDescent="0.2">
      <c r="A12008" s="1" t="s">
        <v>1872</v>
      </c>
      <c r="B12008" s="1" t="s">
        <v>1908</v>
      </c>
      <c r="C12008" s="1" t="str">
        <f>"66298857760619"</f>
        <v>66298857760619</v>
      </c>
      <c r="D12008" s="1" t="str">
        <f>"84932"</f>
        <v>84932</v>
      </c>
      <c r="E12008" s="1" t="s">
        <v>4579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</row>
    <row r="12009" spans="1:11" x14ac:dyDescent="0.2">
      <c r="A12009" s="1" t="s">
        <v>1872</v>
      </c>
      <c r="B12009" s="1" t="s">
        <v>1909</v>
      </c>
      <c r="C12009" s="1" t="str">
        <f>"66298857845199"</f>
        <v>66298857845199</v>
      </c>
      <c r="D12009" s="1" t="str">
        <f>"120757"</f>
        <v>120757</v>
      </c>
      <c r="E12009" s="1" t="s">
        <v>4579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</row>
    <row r="12010" spans="1:11" x14ac:dyDescent="0.2">
      <c r="A12010" s="1" t="s">
        <v>1872</v>
      </c>
      <c r="B12010" s="1" t="s">
        <v>1910</v>
      </c>
      <c r="C12010" s="1" t="str">
        <f>"124002"</f>
        <v>124002</v>
      </c>
      <c r="D12010" s="1" t="str">
        <f>"124002"</f>
        <v>124002</v>
      </c>
      <c r="E12010" s="1" t="s">
        <v>4579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</row>
    <row r="12011" spans="1:11" ht="30" x14ac:dyDescent="0.2">
      <c r="A12011" s="1" t="s">
        <v>1872</v>
      </c>
      <c r="B12011" s="1" t="s">
        <v>1911</v>
      </c>
      <c r="C12011" s="1" t="str">
        <f>"66298857886957"</f>
        <v>66298857886957</v>
      </c>
      <c r="D12011" s="1" t="str">
        <f>"00110"</f>
        <v>00110</v>
      </c>
      <c r="E12011" s="1" t="s">
        <v>4579</v>
      </c>
      <c r="F12011" s="1">
        <v>1</v>
      </c>
      <c r="G12011" s="1">
        <v>3640</v>
      </c>
      <c r="H12011" s="1">
        <v>3640</v>
      </c>
      <c r="I12011" s="1">
        <v>0</v>
      </c>
      <c r="J12011" s="1">
        <v>1</v>
      </c>
      <c r="K12011" s="1">
        <v>0</v>
      </c>
    </row>
    <row r="12012" spans="1:11" x14ac:dyDescent="0.2">
      <c r="A12012" s="1" t="s">
        <v>1872</v>
      </c>
      <c r="B12012" s="1" t="s">
        <v>1912</v>
      </c>
      <c r="C12012" s="1" t="str">
        <f>"ESP-NEW-INVICTA"</f>
        <v>ESP-NEW-INVICTA</v>
      </c>
      <c r="D12012" s="1" t="str">
        <f>"ESP-NEW-INVICTA"</f>
        <v>ESP-NEW-INVICTA</v>
      </c>
      <c r="E12012" s="1" t="s">
        <v>4579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</row>
    <row r="12013" spans="1:11" x14ac:dyDescent="0.2">
      <c r="A12013" s="1" t="s">
        <v>1872</v>
      </c>
      <c r="B12013" s="1" t="s">
        <v>1913</v>
      </c>
      <c r="C12013" s="1" t="str">
        <f>"124024"</f>
        <v>124024</v>
      </c>
      <c r="D12013" s="1" t="str">
        <f>"124024"</f>
        <v>124024</v>
      </c>
      <c r="E12013" s="1" t="s">
        <v>4579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</row>
    <row r="12014" spans="1:11" x14ac:dyDescent="0.2">
      <c r="A12014" s="1" t="s">
        <v>1872</v>
      </c>
      <c r="B12014" s="1" t="s">
        <v>1914</v>
      </c>
      <c r="C12014" s="1" t="str">
        <f>"66298857930127"</f>
        <v>66298857930127</v>
      </c>
      <c r="D12014" s="1" t="str">
        <f>"KA045"</f>
        <v>KA045</v>
      </c>
      <c r="E12014" s="1" t="s">
        <v>4579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</row>
    <row r="12015" spans="1:11" x14ac:dyDescent="0.2">
      <c r="A12015" s="1" t="s">
        <v>1872</v>
      </c>
      <c r="B12015" s="1" t="s">
        <v>1914</v>
      </c>
      <c r="C12015" s="1" t="str">
        <f>"66298857936666"</f>
        <v>66298857936666</v>
      </c>
      <c r="D12015" s="1" t="str">
        <f>"KA056"</f>
        <v>KA056</v>
      </c>
      <c r="E12015" s="1" t="s">
        <v>4579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</row>
    <row r="12016" spans="1:11" x14ac:dyDescent="0.2">
      <c r="A12016" s="1" t="s">
        <v>1872</v>
      </c>
      <c r="B12016" s="1" t="s">
        <v>1914</v>
      </c>
      <c r="C12016" s="1" t="str">
        <f>"66298858001142"</f>
        <v>66298858001142</v>
      </c>
      <c r="D12016" s="1" t="str">
        <f>"KA046"</f>
        <v>KA046</v>
      </c>
      <c r="E12016" s="1" t="s">
        <v>4579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</row>
    <row r="12017" spans="1:11" x14ac:dyDescent="0.2">
      <c r="A12017" s="1" t="s">
        <v>1872</v>
      </c>
      <c r="B12017" s="1" t="s">
        <v>1915</v>
      </c>
      <c r="C12017" s="1" t="str">
        <f>"66298858077872"</f>
        <v>66298858077872</v>
      </c>
      <c r="D12017" s="1" t="str">
        <f>"400786"</f>
        <v>400786</v>
      </c>
      <c r="E12017" s="1" t="s">
        <v>4579</v>
      </c>
      <c r="F12017" s="1">
        <v>1</v>
      </c>
      <c r="G12017" s="1">
        <v>1309</v>
      </c>
      <c r="H12017" s="1">
        <v>1309</v>
      </c>
      <c r="I12017" s="1">
        <v>0</v>
      </c>
      <c r="J12017" s="1">
        <v>1</v>
      </c>
      <c r="K12017" s="1">
        <v>0</v>
      </c>
    </row>
    <row r="12018" spans="1:11" x14ac:dyDescent="0.2">
      <c r="A12018" s="1" t="s">
        <v>1872</v>
      </c>
      <c r="B12018" s="1" t="s">
        <v>1916</v>
      </c>
      <c r="C12018" s="1" t="str">
        <f>"66298858039116"</f>
        <v>66298858039116</v>
      </c>
      <c r="D12018" s="1" t="str">
        <f>"82653"</f>
        <v>82653</v>
      </c>
      <c r="E12018" s="1" t="s">
        <v>4579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</row>
    <row r="12019" spans="1:11" x14ac:dyDescent="0.2">
      <c r="A12019" s="1" t="s">
        <v>1872</v>
      </c>
      <c r="B12019" s="1" t="s">
        <v>1916</v>
      </c>
      <c r="C12019" s="1" t="str">
        <f>"15849"</f>
        <v>15849</v>
      </c>
      <c r="D12019" s="1" t="str">
        <f>"15849"</f>
        <v>15849</v>
      </c>
      <c r="E12019" s="1" t="s">
        <v>4579</v>
      </c>
      <c r="F12019" s="1">
        <v>2</v>
      </c>
      <c r="G12019" s="1">
        <v>3235</v>
      </c>
      <c r="H12019" s="1">
        <v>6470</v>
      </c>
      <c r="I12019" s="1">
        <v>0</v>
      </c>
      <c r="J12019" s="1">
        <v>2</v>
      </c>
      <c r="K12019" s="1">
        <v>0</v>
      </c>
    </row>
    <row r="12020" spans="1:11" x14ac:dyDescent="0.2">
      <c r="A12020" s="1" t="s">
        <v>1872</v>
      </c>
      <c r="B12020" s="1" t="s">
        <v>1917</v>
      </c>
      <c r="C12020" s="1" t="str">
        <f>"66298858118772"</f>
        <v>66298858118772</v>
      </c>
      <c r="D12020" s="1" t="str">
        <f>"00151"</f>
        <v>00151</v>
      </c>
      <c r="E12020" s="1" t="s">
        <v>4579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</row>
    <row r="12021" spans="1:11" x14ac:dyDescent="0.2">
      <c r="A12021" s="1" t="s">
        <v>1872</v>
      </c>
      <c r="B12021" s="1" t="s">
        <v>1918</v>
      </c>
      <c r="C12021" s="1" t="str">
        <f>"66298858162850"</f>
        <v>66298858162850</v>
      </c>
      <c r="D12021" s="1" t="str">
        <f>"E18"</f>
        <v>E18</v>
      </c>
      <c r="E12021" s="1" t="s">
        <v>4579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</row>
    <row r="12022" spans="1:11" x14ac:dyDescent="0.2">
      <c r="A12022" s="1" t="s">
        <v>1872</v>
      </c>
      <c r="B12022" s="1" t="s">
        <v>1919</v>
      </c>
      <c r="C12022" s="1" t="str">
        <f>"66298858203227"</f>
        <v>66298858203227</v>
      </c>
      <c r="D12022" s="1" t="str">
        <f>"400905"</f>
        <v>400905</v>
      </c>
      <c r="E12022" s="1" t="s">
        <v>4579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</row>
    <row r="12023" spans="1:11" x14ac:dyDescent="0.2">
      <c r="A12023" s="1" t="s">
        <v>1872</v>
      </c>
      <c r="B12023" s="1" t="s">
        <v>1920</v>
      </c>
      <c r="C12023" s="1" t="str">
        <f>"66298858241165"</f>
        <v>66298858241165</v>
      </c>
      <c r="D12023" s="1" t="str">
        <f>"400789"</f>
        <v>400789</v>
      </c>
      <c r="E12023" s="1" t="s">
        <v>4579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</row>
    <row r="12024" spans="1:11" ht="30" x14ac:dyDescent="0.2">
      <c r="A12024" s="1" t="s">
        <v>1872</v>
      </c>
      <c r="B12024" s="1" t="s">
        <v>1921</v>
      </c>
      <c r="C12024" s="1" t="str">
        <f>"66298858280670"</f>
        <v>66298858280670</v>
      </c>
      <c r="D12024" s="1" t="str">
        <f>"400791"</f>
        <v>400791</v>
      </c>
      <c r="E12024" s="1" t="s">
        <v>4579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</row>
    <row r="12025" spans="1:11" x14ac:dyDescent="0.2">
      <c r="A12025" s="1" t="s">
        <v>1872</v>
      </c>
      <c r="B12025" s="1" t="s">
        <v>1922</v>
      </c>
      <c r="C12025" s="1" t="str">
        <f>"KA003"</f>
        <v>KA003</v>
      </c>
      <c r="D12025" s="1" t="str">
        <f>"KA003"</f>
        <v>KA003</v>
      </c>
      <c r="E12025" s="1" t="s">
        <v>4579</v>
      </c>
      <c r="F12025" s="1">
        <v>1</v>
      </c>
      <c r="G12025" s="1">
        <v>3412</v>
      </c>
      <c r="H12025" s="1">
        <v>3412</v>
      </c>
      <c r="I12025" s="1">
        <v>0</v>
      </c>
      <c r="J12025" s="1">
        <v>1</v>
      </c>
      <c r="K12025" s="1">
        <v>0</v>
      </c>
    </row>
    <row r="12026" spans="1:11" x14ac:dyDescent="0.2">
      <c r="A12026" s="1" t="s">
        <v>1872</v>
      </c>
      <c r="B12026" s="1" t="s">
        <v>1923</v>
      </c>
      <c r="C12026" s="1" t="str">
        <f>"YXC-M10"</f>
        <v>YXC-M10</v>
      </c>
      <c r="D12026" s="1" t="str">
        <f>"YXC-M10"</f>
        <v>YXC-M10</v>
      </c>
      <c r="E12026" s="1" t="s">
        <v>4579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</row>
    <row r="12027" spans="1:11" x14ac:dyDescent="0.2">
      <c r="A12027" s="1" t="s">
        <v>1872</v>
      </c>
      <c r="B12027" s="1" t="s">
        <v>1923</v>
      </c>
      <c r="C12027" s="1" t="str">
        <f>"K050"</f>
        <v>K050</v>
      </c>
      <c r="D12027" s="1" t="str">
        <f>"K050"</f>
        <v>K050</v>
      </c>
      <c r="E12027" s="1" t="s">
        <v>4579</v>
      </c>
      <c r="F12027" s="1">
        <v>1</v>
      </c>
      <c r="G12027" s="1">
        <v>6730</v>
      </c>
      <c r="H12027" s="1">
        <v>6730</v>
      </c>
      <c r="I12027" s="1">
        <v>0</v>
      </c>
      <c r="J12027" s="1">
        <v>1</v>
      </c>
      <c r="K12027" s="1">
        <v>0</v>
      </c>
    </row>
    <row r="12028" spans="1:11" x14ac:dyDescent="0.2">
      <c r="A12028" s="1" t="s">
        <v>1872</v>
      </c>
      <c r="B12028" s="1" t="s">
        <v>1924</v>
      </c>
      <c r="C12028" s="1" t="str">
        <f>"66298858361901"</f>
        <v>66298858361901</v>
      </c>
      <c r="D12028" s="1" t="str">
        <f>"82132"</f>
        <v>82132</v>
      </c>
      <c r="E12028" s="1" t="s">
        <v>4579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</row>
    <row r="12029" spans="1:11" x14ac:dyDescent="0.2">
      <c r="A12029" s="1" t="s">
        <v>1872</v>
      </c>
      <c r="B12029" s="1" t="s">
        <v>1925</v>
      </c>
      <c r="C12029" s="1" t="str">
        <f>"KA009"</f>
        <v>KA009</v>
      </c>
      <c r="D12029" s="1" t="str">
        <f>"KA009"</f>
        <v>KA009</v>
      </c>
      <c r="E12029" s="1" t="s">
        <v>4579</v>
      </c>
      <c r="F12029" s="1">
        <v>1</v>
      </c>
      <c r="G12029" s="1">
        <v>2937.6</v>
      </c>
      <c r="H12029" s="1">
        <v>2938</v>
      </c>
      <c r="I12029" s="1">
        <v>0</v>
      </c>
      <c r="J12029" s="1">
        <v>1</v>
      </c>
      <c r="K12029" s="1">
        <v>0</v>
      </c>
    </row>
    <row r="12030" spans="1:11" x14ac:dyDescent="0.2">
      <c r="A12030" s="1" t="s">
        <v>1872</v>
      </c>
      <c r="B12030" s="1" t="s">
        <v>1926</v>
      </c>
      <c r="C12030" s="1" t="str">
        <f>"66298858403804"</f>
        <v>66298858403804</v>
      </c>
      <c r="D12030" s="1" t="str">
        <f>"00171"</f>
        <v>00171</v>
      </c>
      <c r="E12030" s="1" t="s">
        <v>4579</v>
      </c>
      <c r="F12030" s="1">
        <v>2</v>
      </c>
      <c r="G12030" s="1">
        <v>2810</v>
      </c>
      <c r="H12030" s="1">
        <v>5620</v>
      </c>
      <c r="I12030" s="1">
        <v>0</v>
      </c>
      <c r="J12030" s="1">
        <v>2</v>
      </c>
      <c r="K12030" s="1">
        <v>0</v>
      </c>
    </row>
    <row r="12031" spans="1:11" x14ac:dyDescent="0.2">
      <c r="A12031" s="1" t="s">
        <v>1872</v>
      </c>
      <c r="B12031" s="1" t="s">
        <v>1927</v>
      </c>
      <c r="C12031" s="1" t="str">
        <f>"66298858319097"</f>
        <v>66298858319097</v>
      </c>
      <c r="D12031" s="1" t="str">
        <f>"K058"</f>
        <v>K058</v>
      </c>
      <c r="E12031" s="1" t="s">
        <v>4579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</row>
    <row r="12032" spans="1:11" x14ac:dyDescent="0.2">
      <c r="A12032" s="1" t="s">
        <v>1872</v>
      </c>
      <c r="B12032" s="1" t="s">
        <v>1928</v>
      </c>
      <c r="C12032" s="1" t="str">
        <f>"KA030"</f>
        <v>KA030</v>
      </c>
      <c r="D12032" s="1" t="str">
        <f>"KA030"</f>
        <v>KA030</v>
      </c>
      <c r="E12032" s="1" t="s">
        <v>4579</v>
      </c>
      <c r="F12032" s="1">
        <v>2</v>
      </c>
      <c r="G12032" s="1">
        <v>4370</v>
      </c>
      <c r="H12032" s="1">
        <v>8740</v>
      </c>
      <c r="I12032" s="1">
        <v>0</v>
      </c>
      <c r="J12032" s="1">
        <v>2</v>
      </c>
      <c r="K12032" s="1">
        <v>0</v>
      </c>
    </row>
    <row r="12033" spans="1:11" x14ac:dyDescent="0.2">
      <c r="A12033" s="1" t="s">
        <v>1872</v>
      </c>
      <c r="B12033" s="1" t="s">
        <v>1929</v>
      </c>
      <c r="C12033" s="1" t="str">
        <f>"12312"</f>
        <v>12312</v>
      </c>
      <c r="D12033" s="1" t="str">
        <f>"12312"</f>
        <v>12312</v>
      </c>
      <c r="E12033" s="1" t="s">
        <v>4579</v>
      </c>
      <c r="F12033" s="1">
        <v>1</v>
      </c>
      <c r="G12033" s="1">
        <v>6045.38</v>
      </c>
      <c r="H12033" s="1">
        <v>6045</v>
      </c>
      <c r="I12033" s="1">
        <v>0</v>
      </c>
      <c r="J12033" s="1">
        <v>1</v>
      </c>
      <c r="K12033" s="1">
        <v>0</v>
      </c>
    </row>
    <row r="12034" spans="1:11" x14ac:dyDescent="0.2">
      <c r="A12034" s="1" t="s">
        <v>1872</v>
      </c>
      <c r="B12034" s="1" t="s">
        <v>1929</v>
      </c>
      <c r="C12034" s="1" t="str">
        <f>"KA037"</f>
        <v>KA037</v>
      </c>
      <c r="D12034" s="1" t="str">
        <f>"KA037"</f>
        <v>KA037</v>
      </c>
      <c r="E12034" s="1" t="s">
        <v>4579</v>
      </c>
      <c r="F12034" s="1">
        <v>2</v>
      </c>
      <c r="G12034" s="1">
        <v>3855.6</v>
      </c>
      <c r="H12034" s="1">
        <v>7711</v>
      </c>
      <c r="I12034" s="1">
        <v>0</v>
      </c>
      <c r="J12034" s="1">
        <v>2</v>
      </c>
      <c r="K12034" s="1">
        <v>0</v>
      </c>
    </row>
    <row r="12035" spans="1:11" x14ac:dyDescent="0.2">
      <c r="A12035" s="1" t="s">
        <v>1872</v>
      </c>
      <c r="B12035" s="1" t="s">
        <v>1930</v>
      </c>
      <c r="C12035" s="1" t="str">
        <f>"KA006"</f>
        <v>KA006</v>
      </c>
      <c r="D12035" s="1" t="str">
        <f>"KA006"</f>
        <v>KA006</v>
      </c>
      <c r="E12035" s="1" t="s">
        <v>4579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</row>
    <row r="12036" spans="1:11" x14ac:dyDescent="0.2">
      <c r="A12036" s="1" t="s">
        <v>1872</v>
      </c>
      <c r="B12036" s="1" t="s">
        <v>1931</v>
      </c>
      <c r="C12036" s="1" t="str">
        <f>"66298858446595"</f>
        <v>66298858446595</v>
      </c>
      <c r="D12036" s="1" t="str">
        <f>"3343"</f>
        <v>3343</v>
      </c>
      <c r="E12036" s="1" t="s">
        <v>4579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</row>
    <row r="12037" spans="1:11" x14ac:dyDescent="0.2">
      <c r="A12037" s="1" t="s">
        <v>1872</v>
      </c>
      <c r="B12037" s="1" t="s">
        <v>1932</v>
      </c>
      <c r="C12037" s="1" t="str">
        <f>"KA033"</f>
        <v>KA033</v>
      </c>
      <c r="D12037" s="1" t="str">
        <f>"KA033"</f>
        <v>KA033</v>
      </c>
      <c r="E12037" s="1" t="s">
        <v>4579</v>
      </c>
      <c r="F12037" s="1">
        <v>2</v>
      </c>
      <c r="G12037" s="1">
        <v>7176</v>
      </c>
      <c r="H12037" s="1">
        <v>14352</v>
      </c>
      <c r="I12037" s="1">
        <v>0</v>
      </c>
      <c r="J12037" s="1">
        <v>2</v>
      </c>
      <c r="K12037" s="1">
        <v>0</v>
      </c>
    </row>
    <row r="12038" spans="1:11" x14ac:dyDescent="0.2">
      <c r="A12038" s="1" t="s">
        <v>1872</v>
      </c>
      <c r="B12038" s="1" t="s">
        <v>1932</v>
      </c>
      <c r="C12038" s="1" t="str">
        <f>"1318"</f>
        <v>1318</v>
      </c>
      <c r="D12038" s="1" t="str">
        <f>"1318"</f>
        <v>1318</v>
      </c>
      <c r="E12038" s="1" t="s">
        <v>4579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</row>
    <row r="12039" spans="1:11" x14ac:dyDescent="0.2">
      <c r="A12039" s="1" t="s">
        <v>1872</v>
      </c>
      <c r="B12039" s="1" t="s">
        <v>1933</v>
      </c>
      <c r="C12039" s="1" t="str">
        <f>"66298858634762"</f>
        <v>66298858634762</v>
      </c>
      <c r="D12039" s="1" t="str">
        <f>"K014-ROJO"</f>
        <v>K014-ROJO</v>
      </c>
      <c r="E12039" s="1" t="s">
        <v>4579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</row>
    <row r="12040" spans="1:11" x14ac:dyDescent="0.2">
      <c r="A12040" s="1" t="s">
        <v>1872</v>
      </c>
      <c r="B12040" s="1" t="s">
        <v>1934</v>
      </c>
      <c r="C12040" s="1" t="str">
        <f>"66298858486231"</f>
        <v>66298858486231</v>
      </c>
      <c r="D12040" s="1" t="str">
        <f>"K012-AZUL"</f>
        <v>K012-AZUL</v>
      </c>
      <c r="E12040" s="1" t="s">
        <v>4579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</row>
    <row r="12041" spans="1:11" x14ac:dyDescent="0.2">
      <c r="A12041" s="1" t="s">
        <v>1872</v>
      </c>
      <c r="B12041" s="1" t="s">
        <v>1934</v>
      </c>
      <c r="C12041" s="1" t="str">
        <f>"66298858528388"</f>
        <v>66298858528388</v>
      </c>
      <c r="D12041" s="1" t="str">
        <f>"K020-NEGRO"</f>
        <v>K020-NEGRO</v>
      </c>
      <c r="E12041" s="1" t="s">
        <v>4579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</row>
    <row r="12042" spans="1:11" x14ac:dyDescent="0.2">
      <c r="A12042" s="1" t="s">
        <v>1872</v>
      </c>
      <c r="B12042" s="1" t="s">
        <v>1934</v>
      </c>
      <c r="C12042" s="1" t="str">
        <f>"1515"</f>
        <v>1515</v>
      </c>
      <c r="D12042" s="1" t="str">
        <f>"1515"</f>
        <v>1515</v>
      </c>
      <c r="E12042" s="1" t="s">
        <v>4579</v>
      </c>
      <c r="F12042" s="1">
        <v>3</v>
      </c>
      <c r="G12042" s="1">
        <v>6597</v>
      </c>
      <c r="H12042" s="1">
        <v>19791</v>
      </c>
      <c r="I12042" s="1">
        <v>0</v>
      </c>
      <c r="J12042" s="1">
        <v>3</v>
      </c>
      <c r="K12042" s="1">
        <v>0</v>
      </c>
    </row>
    <row r="12043" spans="1:11" x14ac:dyDescent="0.2">
      <c r="A12043" s="1" t="s">
        <v>1872</v>
      </c>
      <c r="B12043" s="1" t="s">
        <v>1935</v>
      </c>
      <c r="C12043" s="1" t="str">
        <f>"K015-AZUL"</f>
        <v>K015-AZUL</v>
      </c>
      <c r="D12043" s="1" t="str">
        <f>"K015-AZUL"</f>
        <v>K015-AZUL</v>
      </c>
      <c r="E12043" s="1" t="s">
        <v>4579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</row>
    <row r="12044" spans="1:11" x14ac:dyDescent="0.2">
      <c r="A12044" s="1" t="s">
        <v>1872</v>
      </c>
      <c r="B12044" s="1" t="s">
        <v>1936</v>
      </c>
      <c r="C12044" s="1" t="str">
        <f>"K015-NEGRO"</f>
        <v>K015-NEGRO</v>
      </c>
      <c r="D12044" s="1" t="str">
        <f>"K015-NEGRO"</f>
        <v>K015-NEGRO</v>
      </c>
      <c r="E12044" s="1" t="s">
        <v>4579</v>
      </c>
      <c r="F12044" s="1">
        <v>3</v>
      </c>
      <c r="G12044" s="1">
        <v>6170</v>
      </c>
      <c r="H12044" s="1">
        <v>18510</v>
      </c>
      <c r="I12044" s="1">
        <v>0</v>
      </c>
      <c r="J12044" s="1">
        <v>3</v>
      </c>
      <c r="K12044" s="1">
        <v>0</v>
      </c>
    </row>
    <row r="12045" spans="1:11" x14ac:dyDescent="0.2">
      <c r="A12045" s="1" t="s">
        <v>1872</v>
      </c>
      <c r="B12045" s="1" t="s">
        <v>1937</v>
      </c>
      <c r="C12045" s="1" t="str">
        <f>"66298858791085"</f>
        <v>66298858791085</v>
      </c>
      <c r="D12045" s="1" t="str">
        <f>"0011E-AZUL"</f>
        <v>0011E-AZUL</v>
      </c>
      <c r="E12045" s="1" t="s">
        <v>4579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</row>
    <row r="12046" spans="1:11" x14ac:dyDescent="0.2">
      <c r="A12046" s="1" t="s">
        <v>1872</v>
      </c>
      <c r="B12046" s="1" t="s">
        <v>1937</v>
      </c>
      <c r="C12046" s="1" t="str">
        <f>"66298858796504"</f>
        <v>66298858796504</v>
      </c>
      <c r="D12046" s="1" t="str">
        <f>"K032-AZUL"</f>
        <v>K032-AZUL</v>
      </c>
      <c r="E12046" s="1" t="s">
        <v>4579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</row>
    <row r="12047" spans="1:11" x14ac:dyDescent="0.2">
      <c r="A12047" s="1" t="s">
        <v>1872</v>
      </c>
      <c r="B12047" s="1" t="s">
        <v>1937</v>
      </c>
      <c r="C12047" s="1" t="str">
        <f>"66298858849888"</f>
        <v>66298858849888</v>
      </c>
      <c r="D12047" s="1" t="str">
        <f>"K054-AZUL"</f>
        <v>K054-AZUL</v>
      </c>
      <c r="E12047" s="1" t="s">
        <v>4579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</row>
    <row r="12048" spans="1:11" ht="30" x14ac:dyDescent="0.2">
      <c r="A12048" s="1" t="s">
        <v>1872</v>
      </c>
      <c r="B12048" s="1" t="s">
        <v>1938</v>
      </c>
      <c r="C12048" s="1" t="str">
        <f>"66298858899267"</f>
        <v>66298858899267</v>
      </c>
      <c r="D12048" s="1" t="str">
        <f>"0011E-CROMADO"</f>
        <v>0011E-CROMADO</v>
      </c>
      <c r="E12048" s="1" t="s">
        <v>4579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</row>
    <row r="12049" spans="1:11" x14ac:dyDescent="0.2">
      <c r="A12049" s="1" t="s">
        <v>1872</v>
      </c>
      <c r="B12049" s="1" t="s">
        <v>1939</v>
      </c>
      <c r="C12049" s="1" t="str">
        <f>"66298858959747"</f>
        <v>66298858959747</v>
      </c>
      <c r="D12049" s="1" t="str">
        <f>"K054-DORADO"</f>
        <v>K054-DORADO</v>
      </c>
      <c r="E12049" s="1" t="s">
        <v>4579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</row>
    <row r="12050" spans="1:11" x14ac:dyDescent="0.2">
      <c r="A12050" s="1" t="s">
        <v>1872</v>
      </c>
      <c r="B12050" s="1" t="s">
        <v>1940</v>
      </c>
      <c r="C12050" s="1" t="str">
        <f>"66298859023202"</f>
        <v>66298859023202</v>
      </c>
      <c r="D12050" s="1" t="str">
        <f>"0011E-NEGRO"</f>
        <v>0011E-NEGRO</v>
      </c>
      <c r="E12050" s="1" t="s">
        <v>4579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</row>
    <row r="12051" spans="1:11" x14ac:dyDescent="0.2">
      <c r="A12051" s="1" t="s">
        <v>1872</v>
      </c>
      <c r="B12051" s="1" t="s">
        <v>1941</v>
      </c>
      <c r="C12051" s="1" t="str">
        <f>"66298859074963"</f>
        <v>66298859074963</v>
      </c>
      <c r="D12051" s="1" t="str">
        <f>"0011E-ROJO"</f>
        <v>0011E-ROJO</v>
      </c>
      <c r="E12051" s="1" t="s">
        <v>4579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</row>
    <row r="12052" spans="1:11" x14ac:dyDescent="0.2">
      <c r="A12052" s="1" t="s">
        <v>1872</v>
      </c>
      <c r="B12052" s="1" t="s">
        <v>1941</v>
      </c>
      <c r="C12052" s="1" t="str">
        <f>"66298859083204"</f>
        <v>66298859083204</v>
      </c>
      <c r="D12052" s="1" t="str">
        <f>"K032-ROJO"</f>
        <v>K032-ROJO</v>
      </c>
      <c r="E12052" s="1" t="s">
        <v>4579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</row>
    <row r="12053" spans="1:11" x14ac:dyDescent="0.2">
      <c r="A12053" s="1" t="s">
        <v>1872</v>
      </c>
      <c r="B12053" s="1" t="s">
        <v>1942</v>
      </c>
      <c r="C12053" s="1" t="str">
        <f>"66298858683354"</f>
        <v>66298858683354</v>
      </c>
      <c r="D12053" s="1" t="str">
        <f>"K048"</f>
        <v>K048</v>
      </c>
      <c r="E12053" s="1" t="s">
        <v>4579</v>
      </c>
      <c r="F12053" s="1">
        <v>1</v>
      </c>
      <c r="G12053" s="1">
        <v>5552</v>
      </c>
      <c r="H12053" s="1">
        <v>5552</v>
      </c>
      <c r="I12053" s="1">
        <v>0</v>
      </c>
      <c r="J12053" s="1">
        <v>1</v>
      </c>
      <c r="K12053" s="1">
        <v>0</v>
      </c>
    </row>
    <row r="12054" spans="1:11" x14ac:dyDescent="0.2">
      <c r="A12054" s="1" t="s">
        <v>1872</v>
      </c>
      <c r="B12054" s="1" t="s">
        <v>1942</v>
      </c>
      <c r="C12054" s="1" t="str">
        <f>"66298858690804"</f>
        <v>66298858690804</v>
      </c>
      <c r="D12054" s="1" t="str">
        <f>"KA035"</f>
        <v>KA035</v>
      </c>
      <c r="E12054" s="1" t="s">
        <v>4579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</row>
    <row r="12055" spans="1:11" x14ac:dyDescent="0.2">
      <c r="A12055" s="1" t="s">
        <v>1872</v>
      </c>
      <c r="B12055" s="1" t="s">
        <v>1942</v>
      </c>
      <c r="C12055" s="1" t="str">
        <f>"66298858697414"</f>
        <v>66298858697414</v>
      </c>
      <c r="D12055" s="1" t="str">
        <f>"K066"</f>
        <v>K066</v>
      </c>
      <c r="E12055" s="1" t="s">
        <v>4579</v>
      </c>
      <c r="F12055" s="1">
        <v>1</v>
      </c>
      <c r="G12055" s="1">
        <v>8686</v>
      </c>
      <c r="H12055" s="1">
        <v>8686</v>
      </c>
      <c r="I12055" s="1">
        <v>0</v>
      </c>
      <c r="J12055" s="1">
        <v>1</v>
      </c>
      <c r="K12055" s="1">
        <v>0</v>
      </c>
    </row>
    <row r="12056" spans="1:11" x14ac:dyDescent="0.2">
      <c r="A12056" s="1" t="s">
        <v>1872</v>
      </c>
      <c r="B12056" s="1" t="s">
        <v>1942</v>
      </c>
      <c r="C12056" s="1" t="str">
        <f>"66298858703158"</f>
        <v>66298858703158</v>
      </c>
      <c r="D12056" s="1" t="str">
        <f>"KA057"</f>
        <v>KA057</v>
      </c>
      <c r="E12056" s="1" t="s">
        <v>4579</v>
      </c>
      <c r="F12056" s="1">
        <v>1</v>
      </c>
      <c r="G12056" s="1">
        <v>12071</v>
      </c>
      <c r="H12056" s="1">
        <v>12071</v>
      </c>
      <c r="I12056" s="1">
        <v>0</v>
      </c>
      <c r="J12056" s="1">
        <v>1</v>
      </c>
      <c r="K12056" s="1">
        <v>0</v>
      </c>
    </row>
    <row r="12057" spans="1:11" x14ac:dyDescent="0.2">
      <c r="A12057" s="1" t="s">
        <v>1872</v>
      </c>
      <c r="B12057" s="1" t="s">
        <v>1943</v>
      </c>
      <c r="C12057" s="1" t="str">
        <f>"66298880865721"</f>
        <v>66298880865721</v>
      </c>
      <c r="D12057" s="1" t="str">
        <f>"KA053"</f>
        <v>KA053</v>
      </c>
      <c r="E12057" s="1" t="s">
        <v>4579</v>
      </c>
      <c r="F12057" s="1">
        <v>2</v>
      </c>
      <c r="G12057" s="1">
        <v>10835</v>
      </c>
      <c r="H12057" s="1">
        <v>21670</v>
      </c>
      <c r="I12057" s="1">
        <v>0</v>
      </c>
      <c r="J12057" s="1">
        <v>2</v>
      </c>
      <c r="K12057" s="1">
        <v>0</v>
      </c>
    </row>
    <row r="12058" spans="1:11" x14ac:dyDescent="0.2">
      <c r="A12058" s="1" t="s">
        <v>1872</v>
      </c>
      <c r="B12058" s="1" t="s">
        <v>1944</v>
      </c>
      <c r="C12058" s="1" t="str">
        <f>"66298880908070"</f>
        <v>66298880908070</v>
      </c>
      <c r="D12058" s="1" t="str">
        <f>"124013"</f>
        <v>124013</v>
      </c>
      <c r="E12058" s="1" t="s">
        <v>4579</v>
      </c>
      <c r="F12058" s="1">
        <v>1</v>
      </c>
      <c r="G12058" s="1">
        <v>12227</v>
      </c>
      <c r="H12058" s="1">
        <v>12227</v>
      </c>
      <c r="I12058" s="1">
        <v>0</v>
      </c>
      <c r="J12058" s="1">
        <v>1</v>
      </c>
      <c r="K12058" s="1">
        <v>0</v>
      </c>
    </row>
    <row r="12059" spans="1:11" x14ac:dyDescent="0.2">
      <c r="A12059" s="1" t="s">
        <v>18</v>
      </c>
      <c r="B12059" s="1" t="s">
        <v>1945</v>
      </c>
      <c r="C12059" s="1" t="str">
        <f>"4746-AZUL"</f>
        <v>4746-AZUL</v>
      </c>
      <c r="D12059" s="1" t="str">
        <f>"4746-AZUL"</f>
        <v>4746-AZUL</v>
      </c>
      <c r="E12059" s="1" t="s">
        <v>4579</v>
      </c>
      <c r="F12059" s="1">
        <v>1</v>
      </c>
      <c r="G12059" s="1">
        <v>327.72</v>
      </c>
      <c r="H12059" s="1">
        <v>328</v>
      </c>
      <c r="I12059" s="1">
        <v>0</v>
      </c>
      <c r="J12059" s="1">
        <v>1</v>
      </c>
      <c r="K12059" s="1">
        <v>0</v>
      </c>
    </row>
    <row r="12060" spans="1:11" x14ac:dyDescent="0.2">
      <c r="A12060" s="1" t="s">
        <v>18</v>
      </c>
      <c r="B12060" s="1" t="s">
        <v>1946</v>
      </c>
      <c r="C12060" s="1" t="str">
        <f>"4746-ROJO"</f>
        <v>4746-ROJO</v>
      </c>
      <c r="D12060" s="1" t="str">
        <f>"4746-ROJO"</f>
        <v>4746-ROJO</v>
      </c>
      <c r="E12060" s="1" t="s">
        <v>4579</v>
      </c>
      <c r="F12060" s="1">
        <v>1</v>
      </c>
      <c r="G12060" s="1">
        <v>327.72</v>
      </c>
      <c r="H12060" s="1">
        <v>328</v>
      </c>
      <c r="I12060" s="1">
        <v>0</v>
      </c>
      <c r="J12060" s="1">
        <v>1</v>
      </c>
      <c r="K12060" s="1">
        <v>0</v>
      </c>
    </row>
    <row r="12061" spans="1:11" x14ac:dyDescent="0.2">
      <c r="A12061" s="1" t="s">
        <v>18</v>
      </c>
      <c r="B12061" s="1" t="s">
        <v>1947</v>
      </c>
      <c r="C12061" s="1" t="str">
        <f>"4746-VERDE"</f>
        <v>4746-VERDE</v>
      </c>
      <c r="D12061" s="1" t="str">
        <f>"4746-VERDE"</f>
        <v>4746-VERDE</v>
      </c>
      <c r="E12061" s="1" t="s">
        <v>4579</v>
      </c>
      <c r="F12061" s="1">
        <v>1</v>
      </c>
      <c r="G12061" s="1">
        <v>327.72</v>
      </c>
      <c r="H12061" s="1">
        <v>328</v>
      </c>
      <c r="I12061" s="1">
        <v>0</v>
      </c>
      <c r="J12061" s="1">
        <v>1</v>
      </c>
      <c r="K12061" s="1">
        <v>0</v>
      </c>
    </row>
    <row r="12062" spans="1:11" x14ac:dyDescent="0.2">
      <c r="A12062" s="1" t="s">
        <v>1948</v>
      </c>
      <c r="B12062" s="1" t="s">
        <v>1949</v>
      </c>
      <c r="C12062" s="1" t="str">
        <f>"66298880952409"</f>
        <v>66298880952409</v>
      </c>
      <c r="D12062" s="1" t="str">
        <f>"44011H2C020HF01"</f>
        <v>44011H2C020HF01</v>
      </c>
      <c r="E12062" s="1" t="s">
        <v>4579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</row>
    <row r="12063" spans="1:11" x14ac:dyDescent="0.2">
      <c r="A12063" s="1" t="s">
        <v>1948</v>
      </c>
      <c r="B12063" s="1" t="s">
        <v>1950</v>
      </c>
      <c r="C12063" s="1" t="str">
        <f>"A210-ROJO"</f>
        <v>A210-ROJO</v>
      </c>
      <c r="D12063" s="1" t="str">
        <f>"A210-ROJO"</f>
        <v>A210-ROJO</v>
      </c>
      <c r="E12063" s="1" t="s">
        <v>4579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</row>
    <row r="12064" spans="1:11" ht="30" x14ac:dyDescent="0.2">
      <c r="A12064" s="1" t="s">
        <v>1951</v>
      </c>
      <c r="B12064" s="1" t="s">
        <v>1952</v>
      </c>
      <c r="C12064" s="1" t="str">
        <f>"TS35"</f>
        <v>TS35</v>
      </c>
      <c r="D12064" s="1" t="str">
        <f>"TS35"</f>
        <v>TS35</v>
      </c>
      <c r="E12064" s="1" t="s">
        <v>4579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</row>
    <row r="12065" spans="1:11" x14ac:dyDescent="0.2">
      <c r="A12065" s="1" t="s">
        <v>1951</v>
      </c>
      <c r="B12065" s="1" t="s">
        <v>1953</v>
      </c>
      <c r="C12065" s="1" t="str">
        <f>"FB011"</f>
        <v>FB011</v>
      </c>
      <c r="D12065" s="1" t="str">
        <f>"FB011"</f>
        <v>FB011</v>
      </c>
      <c r="E12065" s="1" t="s">
        <v>4579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</row>
    <row r="12066" spans="1:11" x14ac:dyDescent="0.2">
      <c r="A12066" s="1" t="s">
        <v>1951</v>
      </c>
      <c r="B12066" s="1" t="s">
        <v>1954</v>
      </c>
      <c r="C12066" s="1" t="str">
        <f>"384"</f>
        <v>384</v>
      </c>
      <c r="D12066" s="1" t="str">
        <f>"384"</f>
        <v>384</v>
      </c>
      <c r="E12066" s="1" t="s">
        <v>4579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</row>
    <row r="12067" spans="1:11" x14ac:dyDescent="0.2">
      <c r="A12067" s="1" t="s">
        <v>1951</v>
      </c>
      <c r="B12067" s="1" t="s">
        <v>1955</v>
      </c>
      <c r="C12067" s="1" t="str">
        <f>"66298880992931"</f>
        <v>66298880992931</v>
      </c>
      <c r="D12067" s="1" t="str">
        <f>"400704"</f>
        <v>400704</v>
      </c>
      <c r="E12067" s="1" t="s">
        <v>4579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</row>
    <row r="12068" spans="1:11" x14ac:dyDescent="0.2">
      <c r="A12068" s="1" t="s">
        <v>1951</v>
      </c>
      <c r="B12068" s="1" t="s">
        <v>1956</v>
      </c>
      <c r="C12068" s="1" t="str">
        <f>"66298881033171"</f>
        <v>66298881033171</v>
      </c>
      <c r="D12068" s="1" t="str">
        <f>"31120-K51-601GH"</f>
        <v>31120-K51-601GH</v>
      </c>
      <c r="E12068" s="1" t="s">
        <v>4579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</row>
    <row r="12069" spans="1:11" x14ac:dyDescent="0.2">
      <c r="A12069" s="1" t="s">
        <v>1951</v>
      </c>
      <c r="B12069" s="1" t="s">
        <v>1957</v>
      </c>
      <c r="C12069" s="1" t="str">
        <f>"66298881147441"</f>
        <v>66298881147441</v>
      </c>
      <c r="D12069" s="1" t="str">
        <f>"31120-KTE-911HB"</f>
        <v>31120-KTE-911HB</v>
      </c>
      <c r="E12069" s="1" t="s">
        <v>4579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</row>
    <row r="12070" spans="1:11" x14ac:dyDescent="0.2">
      <c r="A12070" s="1" t="s">
        <v>1951</v>
      </c>
      <c r="B12070" s="1" t="s">
        <v>1958</v>
      </c>
      <c r="C12070" s="1" t="str">
        <f>"66298881201528"</f>
        <v>66298881201528</v>
      </c>
      <c r="D12070" s="1" t="str">
        <f>"31120-KSP-900HB"</f>
        <v>31120-KSP-900HB</v>
      </c>
      <c r="E12070" s="1" t="s">
        <v>4579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</row>
    <row r="12071" spans="1:11" x14ac:dyDescent="0.2">
      <c r="A12071" s="1" t="s">
        <v>1951</v>
      </c>
      <c r="B12071" s="1" t="s">
        <v>1959</v>
      </c>
      <c r="C12071" s="1" t="str">
        <f>"66298881238898"</f>
        <v>66298881238898</v>
      </c>
      <c r="D12071" s="1" t="str">
        <f>"400708"</f>
        <v>400708</v>
      </c>
      <c r="E12071" s="1" t="s">
        <v>4579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</row>
    <row r="12072" spans="1:11" x14ac:dyDescent="0.2">
      <c r="A12072" s="1" t="s">
        <v>1951</v>
      </c>
      <c r="B12072" s="1" t="s">
        <v>1960</v>
      </c>
      <c r="C12072" s="1" t="str">
        <f>"66298881322052"</f>
        <v>66298881322052</v>
      </c>
      <c r="D12072" s="1" t="str">
        <f>"400023"</f>
        <v>400023</v>
      </c>
      <c r="E12072" s="1" t="s">
        <v>4579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</row>
    <row r="12073" spans="1:11" x14ac:dyDescent="0.2">
      <c r="A12073" s="1" t="s">
        <v>1951</v>
      </c>
      <c r="B12073" s="1" t="s">
        <v>1961</v>
      </c>
      <c r="C12073" s="1" t="str">
        <f>"B085"</f>
        <v>B085</v>
      </c>
      <c r="D12073" s="1" t="str">
        <f>"B085"</f>
        <v>B085</v>
      </c>
      <c r="E12073" s="1" t="s">
        <v>4579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</row>
    <row r="12074" spans="1:11" x14ac:dyDescent="0.2">
      <c r="A12074" s="1" t="s">
        <v>1951</v>
      </c>
      <c r="B12074" s="1" t="s">
        <v>1961</v>
      </c>
      <c r="C12074" s="1" t="str">
        <f>"FB013"</f>
        <v>FB013</v>
      </c>
      <c r="D12074" s="1" t="str">
        <f>"FB013"</f>
        <v>FB013</v>
      </c>
      <c r="E12074" s="1" t="s">
        <v>4579</v>
      </c>
      <c r="F12074" s="1">
        <v>2</v>
      </c>
      <c r="G12074" s="1">
        <v>9900</v>
      </c>
      <c r="H12074" s="1">
        <v>19800</v>
      </c>
      <c r="I12074" s="1">
        <v>0</v>
      </c>
      <c r="J12074" s="1">
        <v>2</v>
      </c>
      <c r="K12074" s="1">
        <v>0</v>
      </c>
    </row>
    <row r="12075" spans="1:11" x14ac:dyDescent="0.2">
      <c r="A12075" s="1" t="s">
        <v>1951</v>
      </c>
      <c r="B12075" s="1" t="s">
        <v>1962</v>
      </c>
      <c r="C12075" s="1" t="str">
        <f>"66298881278169"</f>
        <v>66298881278169</v>
      </c>
      <c r="D12075" s="1" t="str">
        <f>"400702"</f>
        <v>400702</v>
      </c>
      <c r="E12075" s="1" t="s">
        <v>4579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</row>
    <row r="12076" spans="1:11" x14ac:dyDescent="0.2">
      <c r="A12076" s="1" t="s">
        <v>1951</v>
      </c>
      <c r="B12076" s="1" t="s">
        <v>1963</v>
      </c>
      <c r="C12076" s="1" t="str">
        <f>"FB019"</f>
        <v>FB019</v>
      </c>
      <c r="D12076" s="1" t="str">
        <f>"FB019"</f>
        <v>FB019</v>
      </c>
      <c r="E12076" s="1" t="s">
        <v>4579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</row>
    <row r="12077" spans="1:11" x14ac:dyDescent="0.2">
      <c r="A12077" s="1" t="s">
        <v>1951</v>
      </c>
      <c r="B12077" s="1" t="s">
        <v>1964</v>
      </c>
      <c r="C12077" s="1" t="str">
        <f>"ESTAT-EX100"</f>
        <v>ESTAT-EX100</v>
      </c>
      <c r="D12077" s="1" t="str">
        <f>"ESTAT-EX100"</f>
        <v>ESTAT-EX100</v>
      </c>
      <c r="E12077" s="1" t="s">
        <v>4579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</row>
    <row r="12078" spans="1:11" x14ac:dyDescent="0.2">
      <c r="A12078" s="1" t="s">
        <v>1951</v>
      </c>
      <c r="B12078" s="1" t="s">
        <v>1965</v>
      </c>
      <c r="C12078" s="1" t="str">
        <f>"66298881365586"</f>
        <v>66298881365586</v>
      </c>
      <c r="D12078" s="1" t="str">
        <f>"31120-KST-941HB"</f>
        <v>31120-KST-941HB</v>
      </c>
      <c r="E12078" s="1" t="s">
        <v>4579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</row>
    <row r="12079" spans="1:11" x14ac:dyDescent="0.2">
      <c r="A12079" s="1" t="s">
        <v>1951</v>
      </c>
      <c r="B12079" s="1" t="s">
        <v>1966</v>
      </c>
      <c r="C12079" s="1" t="str">
        <f>"66298881406785"</f>
        <v>66298881406785</v>
      </c>
      <c r="D12079" s="1" t="str">
        <f>"31120-KVH-871HB"</f>
        <v>31120-KVH-871HB</v>
      </c>
      <c r="E12079" s="1" t="s">
        <v>4579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</row>
    <row r="12080" spans="1:11" x14ac:dyDescent="0.2">
      <c r="A12080" s="1" t="s">
        <v>1951</v>
      </c>
      <c r="B12080" s="1" t="s">
        <v>1967</v>
      </c>
      <c r="C12080" s="1" t="str">
        <f>"66298881445246"</f>
        <v>66298881445246</v>
      </c>
      <c r="D12080" s="1" t="str">
        <f>"JP-3510-07HB"</f>
        <v>JP-3510-07HB</v>
      </c>
      <c r="E12080" s="1" t="s">
        <v>4579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</row>
    <row r="12081" spans="1:11" x14ac:dyDescent="0.2">
      <c r="A12081" s="1" t="s">
        <v>1951</v>
      </c>
      <c r="B12081" s="1" t="s">
        <v>1967</v>
      </c>
      <c r="C12081" s="1" t="str">
        <f>"66298881489147"</f>
        <v>66298881489147</v>
      </c>
      <c r="D12081" s="1" t="str">
        <f>"FB002"</f>
        <v>FB002</v>
      </c>
      <c r="E12081" s="1" t="s">
        <v>4579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</row>
    <row r="12082" spans="1:11" x14ac:dyDescent="0.2">
      <c r="A12082" s="1" t="s">
        <v>1951</v>
      </c>
      <c r="B12082" s="1" t="s">
        <v>1968</v>
      </c>
      <c r="C12082" s="1" t="str">
        <f>"66298881532529"</f>
        <v>66298881532529</v>
      </c>
      <c r="D12082" s="1" t="str">
        <f>"FB003"</f>
        <v>FB003</v>
      </c>
      <c r="E12082" s="1" t="s">
        <v>4579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</row>
    <row r="12083" spans="1:11" x14ac:dyDescent="0.2">
      <c r="A12083" s="1" t="s">
        <v>1951</v>
      </c>
      <c r="B12083" s="1" t="s">
        <v>1969</v>
      </c>
      <c r="C12083" s="1" t="str">
        <f>"66298881573312"</f>
        <v>66298881573312</v>
      </c>
      <c r="D12083" s="1" t="str">
        <f>"400703"</f>
        <v>400703</v>
      </c>
      <c r="E12083" s="1" t="s">
        <v>4579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</row>
    <row r="12084" spans="1:11" x14ac:dyDescent="0.2">
      <c r="A12084" s="1" t="s">
        <v>1951</v>
      </c>
      <c r="B12084" s="1" t="s">
        <v>1970</v>
      </c>
      <c r="C12084" s="1" t="str">
        <f>"FB012"</f>
        <v>FB012</v>
      </c>
      <c r="D12084" s="1" t="str">
        <f>"FB012"</f>
        <v>FB012</v>
      </c>
      <c r="E12084" s="1" t="s">
        <v>4579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</row>
    <row r="12085" spans="1:11" x14ac:dyDescent="0.2">
      <c r="A12085" s="1" t="s">
        <v>1951</v>
      </c>
      <c r="B12085" s="1" t="s">
        <v>1971</v>
      </c>
      <c r="C12085" s="1" t="str">
        <f>"12598"</f>
        <v>12598</v>
      </c>
      <c r="D12085" s="1" t="str">
        <f>"12598"</f>
        <v>12598</v>
      </c>
      <c r="E12085" s="1" t="s">
        <v>4579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</row>
    <row r="12086" spans="1:11" x14ac:dyDescent="0.2">
      <c r="A12086" s="1" t="s">
        <v>1951</v>
      </c>
      <c r="B12086" s="1" t="s">
        <v>1972</v>
      </c>
      <c r="C12086" s="1" t="str">
        <f>"66298881628745"</f>
        <v>66298881628745</v>
      </c>
      <c r="D12086" s="1" t="str">
        <f>"400705"</f>
        <v>400705</v>
      </c>
      <c r="E12086" s="1" t="s">
        <v>4579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</row>
    <row r="12087" spans="1:11" x14ac:dyDescent="0.2">
      <c r="A12087" s="1" t="s">
        <v>1951</v>
      </c>
      <c r="B12087" s="1" t="s">
        <v>1973</v>
      </c>
      <c r="C12087" s="1" t="str">
        <f>"7821"</f>
        <v>7821</v>
      </c>
      <c r="D12087" s="1" t="str">
        <f>"7821"</f>
        <v>7821</v>
      </c>
      <c r="E12087" s="1" t="s">
        <v>4579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</row>
    <row r="12088" spans="1:11" x14ac:dyDescent="0.2">
      <c r="A12088" s="1" t="s">
        <v>1951</v>
      </c>
      <c r="B12088" s="1" t="s">
        <v>1974</v>
      </c>
      <c r="C12088" s="1" t="str">
        <f>"66298881683654"</f>
        <v>66298881683654</v>
      </c>
      <c r="D12088" s="1" t="str">
        <f>"400710"</f>
        <v>400710</v>
      </c>
      <c r="E12088" s="1" t="s">
        <v>4579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</row>
    <row r="12089" spans="1:11" x14ac:dyDescent="0.2">
      <c r="A12089" s="1" t="s">
        <v>1951</v>
      </c>
      <c r="B12089" s="1" t="s">
        <v>1975</v>
      </c>
      <c r="C12089" s="1" t="str">
        <f>"66298881728965"</f>
        <v>66298881728965</v>
      </c>
      <c r="D12089" s="1" t="str">
        <f>"400713"</f>
        <v>400713</v>
      </c>
      <c r="E12089" s="1" t="s">
        <v>4579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</row>
    <row r="12090" spans="1:11" x14ac:dyDescent="0.2">
      <c r="A12090" s="1" t="s">
        <v>1951</v>
      </c>
      <c r="B12090" s="1" t="s">
        <v>1976</v>
      </c>
      <c r="C12090" s="1" t="str">
        <f>"66298881771543"</f>
        <v>66298881771543</v>
      </c>
      <c r="D12090" s="1" t="str">
        <f>"400709"</f>
        <v>400709</v>
      </c>
      <c r="E12090" s="1" t="s">
        <v>4579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</row>
    <row r="12091" spans="1:11" x14ac:dyDescent="0.2">
      <c r="A12091" s="1" t="s">
        <v>1951</v>
      </c>
      <c r="B12091" s="1" t="s">
        <v>1977</v>
      </c>
      <c r="C12091" s="1" t="str">
        <f>"66298881882959"</f>
        <v>66298881882959</v>
      </c>
      <c r="D12091" s="1" t="str">
        <f>"400707"</f>
        <v>400707</v>
      </c>
      <c r="E12091" s="1" t="s">
        <v>4579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</row>
    <row r="12092" spans="1:11" x14ac:dyDescent="0.2">
      <c r="A12092" s="1" t="s">
        <v>1951</v>
      </c>
      <c r="B12092" s="1" t="s">
        <v>1978</v>
      </c>
      <c r="C12092" s="1" t="str">
        <f>"66298881819426"</f>
        <v>66298881819426</v>
      </c>
      <c r="D12092" s="1" t="str">
        <f>"JL351003"</f>
        <v>JL351003</v>
      </c>
      <c r="E12092" s="1" t="s">
        <v>4579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</row>
    <row r="12093" spans="1:11" x14ac:dyDescent="0.2">
      <c r="A12093" s="1" t="s">
        <v>1951</v>
      </c>
      <c r="B12093" s="1" t="s">
        <v>1978</v>
      </c>
      <c r="C12093" s="1" t="str">
        <f>"66298881827378"</f>
        <v>66298881827378</v>
      </c>
      <c r="D12093" s="1" t="str">
        <f>"JL-3510-03HB"</f>
        <v>JL-3510-03HB</v>
      </c>
      <c r="E12093" s="1" t="s">
        <v>4579</v>
      </c>
      <c r="F12093" s="1">
        <v>1</v>
      </c>
      <c r="G12093" s="1">
        <v>27500</v>
      </c>
      <c r="H12093" s="1">
        <v>27500</v>
      </c>
      <c r="I12093" s="1">
        <v>0</v>
      </c>
      <c r="J12093" s="1">
        <v>1</v>
      </c>
      <c r="K12093" s="1">
        <v>0</v>
      </c>
    </row>
    <row r="12094" spans="1:11" ht="30" x14ac:dyDescent="0.2">
      <c r="A12094" s="1" t="s">
        <v>1951</v>
      </c>
      <c r="B12094" s="1" t="s">
        <v>1979</v>
      </c>
      <c r="C12094" s="1" t="str">
        <f>"FB026"</f>
        <v>FB026</v>
      </c>
      <c r="D12094" s="1" t="str">
        <f>"FB026"</f>
        <v>FB026</v>
      </c>
      <c r="E12094" s="1" t="s">
        <v>4579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</row>
    <row r="12095" spans="1:11" x14ac:dyDescent="0.2">
      <c r="A12095" s="1" t="s">
        <v>1951</v>
      </c>
      <c r="B12095" s="1" t="s">
        <v>1980</v>
      </c>
      <c r="C12095" s="1" t="str">
        <f>"66298881922102"</f>
        <v>66298881922102</v>
      </c>
      <c r="D12095" s="1" t="str">
        <f>"400712"</f>
        <v>400712</v>
      </c>
      <c r="E12095" s="1" t="s">
        <v>4579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</row>
    <row r="12096" spans="1:11" x14ac:dyDescent="0.2">
      <c r="A12096" s="1" t="s">
        <v>1951</v>
      </c>
      <c r="B12096" s="1" t="s">
        <v>1981</v>
      </c>
      <c r="C12096" s="1" t="str">
        <f>"BK045"</f>
        <v>BK045</v>
      </c>
      <c r="D12096" s="1" t="str">
        <f>"BK045"</f>
        <v>BK045</v>
      </c>
      <c r="E12096" s="1" t="s">
        <v>4579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</row>
    <row r="12097" spans="1:11" x14ac:dyDescent="0.2">
      <c r="A12097" s="1" t="s">
        <v>1951</v>
      </c>
      <c r="B12097" s="1" t="s">
        <v>1982</v>
      </c>
      <c r="C12097" s="1" t="str">
        <f>"66298881959954"</f>
        <v>66298881959954</v>
      </c>
      <c r="D12097" s="1" t="str">
        <f>"APY311200016"</f>
        <v>APY311200016</v>
      </c>
      <c r="E12097" s="1" t="s">
        <v>4579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</row>
    <row r="12098" spans="1:11" x14ac:dyDescent="0.2">
      <c r="A12098" s="1" t="s">
        <v>1951</v>
      </c>
      <c r="B12098" s="1" t="s">
        <v>1983</v>
      </c>
      <c r="C12098" s="1" t="str">
        <f>"66298882004514"</f>
        <v>66298882004514</v>
      </c>
      <c r="D12098" s="1" t="str">
        <f>"400711"</f>
        <v>400711</v>
      </c>
      <c r="E12098" s="1" t="s">
        <v>4579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</row>
    <row r="12099" spans="1:11" x14ac:dyDescent="0.2">
      <c r="A12099" s="1" t="s">
        <v>1951</v>
      </c>
      <c r="B12099" s="1" t="s">
        <v>1984</v>
      </c>
      <c r="C12099" s="1" t="str">
        <f>"379"</f>
        <v>379</v>
      </c>
      <c r="D12099" s="1" t="str">
        <f>"379"</f>
        <v>379</v>
      </c>
      <c r="E12099" s="1" t="s">
        <v>4579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</row>
    <row r="12100" spans="1:11" x14ac:dyDescent="0.2">
      <c r="A12100" s="1" t="s">
        <v>1951</v>
      </c>
      <c r="B12100" s="1" t="s">
        <v>1985</v>
      </c>
      <c r="C12100" s="1" t="str">
        <f>"66298882042209"</f>
        <v>66298882042209</v>
      </c>
      <c r="D12100" s="1" t="str">
        <f>"FB008"</f>
        <v>FB008</v>
      </c>
      <c r="E12100" s="1" t="s">
        <v>4579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</row>
    <row r="12101" spans="1:11" x14ac:dyDescent="0.2">
      <c r="A12101" s="1" t="s">
        <v>1951</v>
      </c>
      <c r="B12101" s="1" t="s">
        <v>1986</v>
      </c>
      <c r="C12101" s="1" t="str">
        <f>"8023"</f>
        <v>8023</v>
      </c>
      <c r="D12101" s="1" t="str">
        <f>"8023"</f>
        <v>8023</v>
      </c>
      <c r="E12101" s="1" t="s">
        <v>4579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</row>
    <row r="12102" spans="1:11" ht="30" x14ac:dyDescent="0.2">
      <c r="A12102" s="1" t="s">
        <v>1951</v>
      </c>
      <c r="B12102" s="1" t="s">
        <v>1987</v>
      </c>
      <c r="C12102" s="1" t="str">
        <f>"K353186600"</f>
        <v>K353186600</v>
      </c>
      <c r="D12102" s="1" t="str">
        <f>"K353186600"</f>
        <v>K353186600</v>
      </c>
      <c r="E12102" s="1" t="s">
        <v>4579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</row>
    <row r="12103" spans="1:11" x14ac:dyDescent="0.2">
      <c r="A12103" s="1" t="s">
        <v>1951</v>
      </c>
      <c r="B12103" s="1" t="s">
        <v>1988</v>
      </c>
      <c r="C12103" s="1" t="str">
        <f>"66298882082757"</f>
        <v>66298882082757</v>
      </c>
      <c r="D12103" s="1" t="str">
        <f>"12518"</f>
        <v>12518</v>
      </c>
      <c r="E12103" s="1" t="s">
        <v>4579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</row>
    <row r="12104" spans="1:11" x14ac:dyDescent="0.2">
      <c r="A12104" s="1" t="s">
        <v>608</v>
      </c>
      <c r="B12104" s="1" t="s">
        <v>1989</v>
      </c>
      <c r="C12104" s="1" t="str">
        <f>"26608"</f>
        <v>26608</v>
      </c>
      <c r="D12104" s="1" t="str">
        <f>"26608"</f>
        <v>26608</v>
      </c>
      <c r="E12104" s="1" t="s">
        <v>4579</v>
      </c>
      <c r="F12104" s="1">
        <v>2</v>
      </c>
      <c r="G12104" s="1">
        <v>221.85</v>
      </c>
      <c r="H12104" s="1">
        <v>444</v>
      </c>
      <c r="I12104" s="1">
        <v>0</v>
      </c>
      <c r="J12104" s="1">
        <v>2</v>
      </c>
      <c r="K12104" s="1">
        <v>0</v>
      </c>
    </row>
    <row r="12105" spans="1:11" x14ac:dyDescent="0.2">
      <c r="A12105" s="1" t="s">
        <v>608</v>
      </c>
      <c r="B12105" s="1" t="s">
        <v>1990</v>
      </c>
      <c r="C12105" s="1" t="str">
        <f>"66298882164309"</f>
        <v>66298882164309</v>
      </c>
      <c r="D12105" s="1" t="str">
        <f>"1401"</f>
        <v>1401</v>
      </c>
      <c r="E12105" s="1" t="s">
        <v>4579</v>
      </c>
      <c r="F12105" s="1">
        <v>1</v>
      </c>
      <c r="G12105" s="1">
        <v>188</v>
      </c>
      <c r="H12105" s="1">
        <v>188</v>
      </c>
      <c r="I12105" s="1">
        <v>0</v>
      </c>
      <c r="J12105" s="1">
        <v>1</v>
      </c>
      <c r="K12105" s="1">
        <v>0</v>
      </c>
    </row>
    <row r="12106" spans="1:11" x14ac:dyDescent="0.2">
      <c r="A12106" s="1" t="s">
        <v>608</v>
      </c>
      <c r="B12106" s="1" t="s">
        <v>1990</v>
      </c>
      <c r="C12106" s="1" t="str">
        <f>"66298882202201"</f>
        <v>66298882202201</v>
      </c>
      <c r="D12106" s="1" t="str">
        <f>"884"</f>
        <v>884</v>
      </c>
      <c r="E12106" s="1" t="s">
        <v>4579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</row>
    <row r="12107" spans="1:11" x14ac:dyDescent="0.2">
      <c r="A12107" s="1" t="s">
        <v>608</v>
      </c>
      <c r="B12107" s="1" t="s">
        <v>1991</v>
      </c>
      <c r="C12107" s="1" t="str">
        <f>"66298882121525"</f>
        <v>66298882121525</v>
      </c>
      <c r="D12107" s="1" t="str">
        <f>"5892"</f>
        <v>5892</v>
      </c>
      <c r="E12107" s="1" t="s">
        <v>4579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</row>
    <row r="12108" spans="1:11" x14ac:dyDescent="0.2">
      <c r="A12108" s="1" t="s">
        <v>608</v>
      </c>
      <c r="B12108" s="1" t="s">
        <v>1992</v>
      </c>
      <c r="C12108" s="1" t="str">
        <f>"386"</f>
        <v>386</v>
      </c>
      <c r="D12108" s="1" t="str">
        <f>"386"</f>
        <v>386</v>
      </c>
      <c r="E12108" s="1" t="s">
        <v>4579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</row>
    <row r="12109" spans="1:11" x14ac:dyDescent="0.2">
      <c r="A12109" s="1" t="s">
        <v>98</v>
      </c>
      <c r="B12109" s="1" t="s">
        <v>1993</v>
      </c>
      <c r="C12109" s="1" t="str">
        <f>"66298882242016"</f>
        <v>66298882242016</v>
      </c>
      <c r="D12109" s="1" t="str">
        <f>"H152"</f>
        <v>H152</v>
      </c>
      <c r="E12109" s="1" t="s">
        <v>4579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</row>
    <row r="12110" spans="1:11" x14ac:dyDescent="0.2">
      <c r="A12110" s="1" t="s">
        <v>98</v>
      </c>
      <c r="B12110" s="1" t="s">
        <v>1994</v>
      </c>
      <c r="C12110" s="1" t="str">
        <f>"66298882281732"</f>
        <v>66298882281732</v>
      </c>
      <c r="D12110" s="1" t="str">
        <f>"H024"</f>
        <v>H024</v>
      </c>
      <c r="E12110" s="1" t="s">
        <v>4579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</row>
    <row r="12111" spans="1:11" x14ac:dyDescent="0.2">
      <c r="A12111" s="1" t="s">
        <v>98</v>
      </c>
      <c r="B12111" s="1" t="s">
        <v>1995</v>
      </c>
      <c r="C12111" s="1" t="str">
        <f>"66298882322011"</f>
        <v>66298882322011</v>
      </c>
      <c r="D12111" s="1" t="str">
        <f>"H078"</f>
        <v>H078</v>
      </c>
      <c r="E12111" s="1" t="s">
        <v>4579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</row>
    <row r="12112" spans="1:11" x14ac:dyDescent="0.2">
      <c r="A12112" s="1" t="s">
        <v>98</v>
      </c>
      <c r="B12112" s="1" t="s">
        <v>1996</v>
      </c>
      <c r="C12112" s="1" t="str">
        <f>"66298882364438"</f>
        <v>66298882364438</v>
      </c>
      <c r="D12112" s="1" t="str">
        <f>"H077"</f>
        <v>H077</v>
      </c>
      <c r="E12112" s="1" t="s">
        <v>4579</v>
      </c>
      <c r="F12112" s="1">
        <v>1</v>
      </c>
      <c r="G12112" s="1">
        <v>2930</v>
      </c>
      <c r="H12112" s="1">
        <v>2930</v>
      </c>
      <c r="I12112" s="1">
        <v>0</v>
      </c>
      <c r="J12112" s="1">
        <v>1</v>
      </c>
      <c r="K12112" s="1">
        <v>0</v>
      </c>
    </row>
    <row r="12113" spans="1:11" x14ac:dyDescent="0.2">
      <c r="A12113" s="1" t="s">
        <v>98</v>
      </c>
      <c r="B12113" s="1" t="s">
        <v>1997</v>
      </c>
      <c r="C12113" s="1" t="str">
        <f>"66298882440869"</f>
        <v>66298882440869</v>
      </c>
      <c r="D12113" s="1" t="str">
        <f>"H050"</f>
        <v>H050</v>
      </c>
      <c r="E12113" s="1" t="s">
        <v>4579</v>
      </c>
      <c r="F12113" s="1">
        <v>1</v>
      </c>
      <c r="G12113" s="1">
        <v>4272</v>
      </c>
      <c r="H12113" s="1">
        <v>4272</v>
      </c>
      <c r="I12113" s="1">
        <v>0</v>
      </c>
      <c r="J12113" s="1">
        <v>1</v>
      </c>
      <c r="K12113" s="1">
        <v>0</v>
      </c>
    </row>
    <row r="12114" spans="1:11" x14ac:dyDescent="0.2">
      <c r="A12114" s="1" t="s">
        <v>98</v>
      </c>
      <c r="B12114" s="1" t="s">
        <v>1998</v>
      </c>
      <c r="C12114" s="1" t="str">
        <f>"66298882482443"</f>
        <v>66298882482443</v>
      </c>
      <c r="D12114" s="1" t="str">
        <f>"H129"</f>
        <v>H129</v>
      </c>
      <c r="E12114" s="1" t="s">
        <v>4579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</row>
    <row r="12115" spans="1:11" x14ac:dyDescent="0.2">
      <c r="A12115" s="1" t="s">
        <v>98</v>
      </c>
      <c r="B12115" s="1" t="s">
        <v>1998</v>
      </c>
      <c r="C12115" s="1" t="str">
        <f>"66298882529116"</f>
        <v>66298882529116</v>
      </c>
      <c r="D12115" s="1" t="str">
        <f>"H211"</f>
        <v>H211</v>
      </c>
      <c r="E12115" s="1" t="s">
        <v>4579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</row>
    <row r="12116" spans="1:11" x14ac:dyDescent="0.2">
      <c r="A12116" s="1" t="s">
        <v>98</v>
      </c>
      <c r="B12116" s="1" t="s">
        <v>1998</v>
      </c>
      <c r="C12116" s="1" t="str">
        <f>"66298882535007"</f>
        <v>66298882535007</v>
      </c>
      <c r="D12116" s="1" t="str">
        <f>"H214"</f>
        <v>H214</v>
      </c>
      <c r="E12116" s="1" t="s">
        <v>4579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</row>
    <row r="12117" spans="1:11" x14ac:dyDescent="0.2">
      <c r="A12117" s="1" t="s">
        <v>98</v>
      </c>
      <c r="B12117" s="1" t="s">
        <v>1999</v>
      </c>
      <c r="C12117" s="1" t="str">
        <f>"66298882592849"</f>
        <v>66298882592849</v>
      </c>
      <c r="D12117" s="1" t="str">
        <f>"H080"</f>
        <v>H080</v>
      </c>
      <c r="E12117" s="1" t="s">
        <v>4579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</row>
    <row r="12118" spans="1:11" x14ac:dyDescent="0.2">
      <c r="A12118" s="1" t="s">
        <v>98</v>
      </c>
      <c r="B12118" s="1" t="s">
        <v>2000</v>
      </c>
      <c r="C12118" s="1" t="str">
        <f>"66298882401408"</f>
        <v>66298882401408</v>
      </c>
      <c r="D12118" s="1" t="str">
        <f>"H022"</f>
        <v>H022</v>
      </c>
      <c r="E12118" s="1" t="s">
        <v>4579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</row>
    <row r="12119" spans="1:11" x14ac:dyDescent="0.2">
      <c r="A12119" s="1" t="s">
        <v>98</v>
      </c>
      <c r="B12119" s="1" t="s">
        <v>2001</v>
      </c>
      <c r="C12119" s="1" t="str">
        <f>"66298882637854"</f>
        <v>66298882637854</v>
      </c>
      <c r="D12119" s="1" t="str">
        <f>"13524"</f>
        <v>13524</v>
      </c>
      <c r="E12119" s="1" t="s">
        <v>4579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</row>
    <row r="12120" spans="1:11" x14ac:dyDescent="0.2">
      <c r="A12120" s="1" t="s">
        <v>98</v>
      </c>
      <c r="B12120" s="1" t="s">
        <v>2002</v>
      </c>
      <c r="C12120" s="1" t="str">
        <f>"66298882682249"</f>
        <v>66298882682249</v>
      </c>
      <c r="D12120" s="1" t="str">
        <f>"13525"</f>
        <v>13525</v>
      </c>
      <c r="E12120" s="1" t="s">
        <v>4579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</row>
    <row r="12121" spans="1:11" x14ac:dyDescent="0.2">
      <c r="A12121" s="1" t="s">
        <v>98</v>
      </c>
      <c r="B12121" s="1" t="s">
        <v>2003</v>
      </c>
      <c r="C12121" s="1" t="str">
        <f>"66298882721361"</f>
        <v>66298882721361</v>
      </c>
      <c r="D12121" s="1" t="str">
        <f>"H042"</f>
        <v>H042</v>
      </c>
      <c r="E12121" s="1" t="s">
        <v>4579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</row>
    <row r="12122" spans="1:11" x14ac:dyDescent="0.2">
      <c r="A12122" s="1" t="s">
        <v>2004</v>
      </c>
      <c r="B12122" s="1" t="s">
        <v>2005</v>
      </c>
      <c r="C12122" s="1" t="str">
        <f>"66298882764419"</f>
        <v>66298882764419</v>
      </c>
      <c r="D12122" s="1" t="str">
        <f>"KN-556"</f>
        <v>KN-556</v>
      </c>
      <c r="E12122" s="1" t="s">
        <v>4579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</row>
    <row r="12123" spans="1:11" x14ac:dyDescent="0.2">
      <c r="A12123" s="1" t="s">
        <v>2004</v>
      </c>
      <c r="B12123" s="1" t="s">
        <v>2006</v>
      </c>
      <c r="C12123" s="1" t="str">
        <f>"66298882804595"</f>
        <v>66298882804595</v>
      </c>
      <c r="D12123" s="1" t="str">
        <f>"KN-132"</f>
        <v>KN-132</v>
      </c>
      <c r="E12123" s="1" t="s">
        <v>4579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</row>
    <row r="12124" spans="1:11" x14ac:dyDescent="0.2">
      <c r="A12124" s="1" t="s">
        <v>2004</v>
      </c>
      <c r="B12124" s="1" t="s">
        <v>2007</v>
      </c>
      <c r="C12124" s="1" t="str">
        <f>"66298882846876"</f>
        <v>66298882846876</v>
      </c>
      <c r="D12124" s="1" t="str">
        <f>"KN-153"</f>
        <v>KN-153</v>
      </c>
      <c r="E12124" s="1" t="s">
        <v>4579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</row>
    <row r="12125" spans="1:11" x14ac:dyDescent="0.2">
      <c r="A12125" s="1" t="s">
        <v>2004</v>
      </c>
      <c r="B12125" s="1" t="s">
        <v>2008</v>
      </c>
      <c r="C12125" s="1" t="str">
        <f>"66298882886278"</f>
        <v>66298882886278</v>
      </c>
      <c r="D12125" s="1" t="str">
        <f>"KN-401"</f>
        <v>KN-401</v>
      </c>
      <c r="E12125" s="1" t="s">
        <v>4579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</row>
    <row r="12126" spans="1:11" x14ac:dyDescent="0.2">
      <c r="A12126" s="1" t="s">
        <v>2004</v>
      </c>
      <c r="B12126" s="1" t="s">
        <v>2009</v>
      </c>
      <c r="C12126" s="1" t="str">
        <f>"66298882924312"</f>
        <v>66298882924312</v>
      </c>
      <c r="D12126" s="1" t="str">
        <f>"KN-170"</f>
        <v>KN-170</v>
      </c>
      <c r="E12126" s="1" t="s">
        <v>4579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</row>
    <row r="12127" spans="1:11" x14ac:dyDescent="0.2">
      <c r="A12127" s="1" t="s">
        <v>2004</v>
      </c>
      <c r="B12127" s="1" t="s">
        <v>2010</v>
      </c>
      <c r="C12127" s="1" t="str">
        <f>"66298882966865"</f>
        <v>66298882966865</v>
      </c>
      <c r="D12127" s="1" t="str">
        <f>"FFC039"</f>
        <v>FFC039</v>
      </c>
      <c r="E12127" s="1" t="s">
        <v>4579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</row>
    <row r="12128" spans="1:11" x14ac:dyDescent="0.2">
      <c r="A12128" s="1" t="s">
        <v>2004</v>
      </c>
      <c r="B12128" s="1" t="s">
        <v>2010</v>
      </c>
      <c r="C12128" s="1" t="str">
        <f>"11357"</f>
        <v>11357</v>
      </c>
      <c r="D12128" s="1" t="str">
        <f>"11357"</f>
        <v>11357</v>
      </c>
      <c r="E12128" s="1" t="s">
        <v>4579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</row>
    <row r="12129" spans="1:11" x14ac:dyDescent="0.2">
      <c r="A12129" s="1" t="s">
        <v>2004</v>
      </c>
      <c r="B12129" s="1" t="s">
        <v>2011</v>
      </c>
      <c r="C12129" s="1" t="str">
        <f>"12194"</f>
        <v>12194</v>
      </c>
      <c r="D12129" s="1" t="str">
        <f>"12194"</f>
        <v>12194</v>
      </c>
      <c r="E12129" s="1" t="s">
        <v>4579</v>
      </c>
      <c r="F12129" s="1">
        <v>2</v>
      </c>
      <c r="G12129" s="1">
        <v>2717.65</v>
      </c>
      <c r="H12129" s="1">
        <v>5435</v>
      </c>
      <c r="I12129" s="1">
        <v>0</v>
      </c>
      <c r="J12129" s="1">
        <v>2</v>
      </c>
      <c r="K12129" s="1">
        <v>0</v>
      </c>
    </row>
    <row r="12130" spans="1:11" x14ac:dyDescent="0.2">
      <c r="A12130" s="1" t="s">
        <v>2004</v>
      </c>
      <c r="B12130" s="1" t="s">
        <v>2012</v>
      </c>
      <c r="C12130" s="1" t="str">
        <f>"66298883007613"</f>
        <v>66298883007613</v>
      </c>
      <c r="D12130" s="1" t="str">
        <f>"SD004"</f>
        <v>SD004</v>
      </c>
      <c r="E12130" s="1" t="s">
        <v>4579</v>
      </c>
      <c r="F12130" s="1">
        <v>2</v>
      </c>
      <c r="G12130" s="1">
        <v>2106</v>
      </c>
      <c r="H12130" s="1">
        <v>4212</v>
      </c>
      <c r="I12130" s="1">
        <v>0</v>
      </c>
      <c r="J12130" s="1">
        <v>2</v>
      </c>
      <c r="K12130" s="1">
        <v>0</v>
      </c>
    </row>
    <row r="12131" spans="1:11" x14ac:dyDescent="0.2">
      <c r="A12131" s="1" t="s">
        <v>2004</v>
      </c>
      <c r="B12131" s="1" t="s">
        <v>2013</v>
      </c>
      <c r="C12131" s="1" t="str">
        <f>"11359"</f>
        <v>11359</v>
      </c>
      <c r="D12131" s="1" t="str">
        <f>"11359"</f>
        <v>11359</v>
      </c>
      <c r="E12131" s="1" t="s">
        <v>4579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</row>
    <row r="12132" spans="1:11" x14ac:dyDescent="0.2">
      <c r="A12132" s="1" t="s">
        <v>2004</v>
      </c>
      <c r="B12132" s="1" t="s">
        <v>2014</v>
      </c>
      <c r="C12132" s="1" t="str">
        <f>"11353"</f>
        <v>11353</v>
      </c>
      <c r="D12132" s="1" t="str">
        <f>"11353"</f>
        <v>11353</v>
      </c>
      <c r="E12132" s="1" t="s">
        <v>4579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</row>
    <row r="12133" spans="1:11" x14ac:dyDescent="0.2">
      <c r="A12133" s="1" t="s">
        <v>2004</v>
      </c>
      <c r="B12133" s="1" t="s">
        <v>2015</v>
      </c>
      <c r="C12133" s="1" t="str">
        <f>"66298883047007"</f>
        <v>66298883047007</v>
      </c>
      <c r="D12133" s="1" t="str">
        <f>"11427-673-541"</f>
        <v>11427-673-541</v>
      </c>
      <c r="E12133" s="1" t="s">
        <v>4579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</row>
    <row r="12134" spans="1:11" x14ac:dyDescent="0.2">
      <c r="A12134" s="1" t="s">
        <v>2004</v>
      </c>
      <c r="B12134" s="1" t="s">
        <v>2016</v>
      </c>
      <c r="C12134" s="1" t="str">
        <f>"66298883087002"</f>
        <v>66298883087002</v>
      </c>
      <c r="D12134" s="1" t="str">
        <f>"15412-300-325BR"</f>
        <v>15412-300-325BR</v>
      </c>
      <c r="E12134" s="1" t="s">
        <v>4579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</row>
    <row r="12135" spans="1:11" x14ac:dyDescent="0.2">
      <c r="A12135" s="1" t="s">
        <v>2004</v>
      </c>
      <c r="B12135" s="1" t="s">
        <v>2017</v>
      </c>
      <c r="C12135" s="1" t="str">
        <f>"66298883130265"</f>
        <v>66298883130265</v>
      </c>
      <c r="D12135" s="1" t="str">
        <f>"SD001"</f>
        <v>SD001</v>
      </c>
      <c r="E12135" s="1" t="s">
        <v>4579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</row>
    <row r="12136" spans="1:11" x14ac:dyDescent="0.2">
      <c r="A12136" s="1" t="s">
        <v>2004</v>
      </c>
      <c r="B12136" s="1" t="s">
        <v>2018</v>
      </c>
      <c r="C12136" s="1" t="str">
        <f>"66298883173248"</f>
        <v>66298883173248</v>
      </c>
      <c r="D12136" s="1" t="str">
        <f>"80747"</f>
        <v>80747</v>
      </c>
      <c r="E12136" s="1" t="s">
        <v>4579</v>
      </c>
      <c r="F12136" s="1">
        <v>2</v>
      </c>
      <c r="G12136" s="1">
        <v>495</v>
      </c>
      <c r="H12136" s="1">
        <v>990</v>
      </c>
      <c r="I12136" s="1">
        <v>0</v>
      </c>
      <c r="J12136" s="1">
        <v>2</v>
      </c>
      <c r="K12136" s="1">
        <v>0</v>
      </c>
    </row>
    <row r="12137" spans="1:11" x14ac:dyDescent="0.2">
      <c r="A12137" s="1" t="s">
        <v>2004</v>
      </c>
      <c r="B12137" s="1" t="s">
        <v>2018</v>
      </c>
      <c r="C12137" s="1" t="str">
        <f>"B040"</f>
        <v>B040</v>
      </c>
      <c r="D12137" s="1" t="str">
        <f>"B040"</f>
        <v>B040</v>
      </c>
      <c r="E12137" s="1" t="s">
        <v>4579</v>
      </c>
      <c r="F12137" s="1">
        <v>2</v>
      </c>
      <c r="G12137" s="1">
        <v>1100</v>
      </c>
      <c r="H12137" s="1">
        <v>2200</v>
      </c>
      <c r="I12137" s="1">
        <v>0</v>
      </c>
      <c r="J12137" s="1">
        <v>2</v>
      </c>
      <c r="K12137" s="1">
        <v>0</v>
      </c>
    </row>
    <row r="12138" spans="1:11" x14ac:dyDescent="0.2">
      <c r="A12138" s="1" t="s">
        <v>2004</v>
      </c>
      <c r="B12138" s="1" t="s">
        <v>2019</v>
      </c>
      <c r="C12138" s="1" t="str">
        <f>"66298883212201"</f>
        <v>66298883212201</v>
      </c>
      <c r="D12138" s="1" t="str">
        <f>"400191"</f>
        <v>400191</v>
      </c>
      <c r="E12138" s="1" t="s">
        <v>4579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</row>
    <row r="12139" spans="1:11" x14ac:dyDescent="0.2">
      <c r="A12139" s="1" t="s">
        <v>2004</v>
      </c>
      <c r="B12139" s="1" t="s">
        <v>2020</v>
      </c>
      <c r="C12139" s="1" t="str">
        <f>"66298883257864"</f>
        <v>66298883257864</v>
      </c>
      <c r="D12139" s="1" t="str">
        <f>"16510-25C00HB"</f>
        <v>16510-25C00HB</v>
      </c>
      <c r="E12139" s="1" t="s">
        <v>4579</v>
      </c>
      <c r="F12139" s="1">
        <v>3</v>
      </c>
      <c r="G12139" s="1">
        <v>1647</v>
      </c>
      <c r="H12139" s="1">
        <v>4941</v>
      </c>
      <c r="I12139" s="1">
        <v>0</v>
      </c>
      <c r="J12139" s="1">
        <v>3</v>
      </c>
      <c r="K12139" s="1">
        <v>0</v>
      </c>
    </row>
    <row r="12140" spans="1:11" x14ac:dyDescent="0.2">
      <c r="A12140" s="1" t="s">
        <v>2004</v>
      </c>
      <c r="B12140" s="1" t="s">
        <v>2021</v>
      </c>
      <c r="C12140" s="1" t="str">
        <f>"16510-37450HB"</f>
        <v>16510-37450HB</v>
      </c>
      <c r="D12140" s="1" t="str">
        <f>"16510-37450HB"</f>
        <v>16510-37450HB</v>
      </c>
      <c r="E12140" s="1" t="s">
        <v>4579</v>
      </c>
      <c r="F12140" s="1">
        <v>5</v>
      </c>
      <c r="G12140" s="1">
        <v>1217</v>
      </c>
      <c r="H12140" s="1">
        <v>6085</v>
      </c>
      <c r="I12140" s="1">
        <v>0</v>
      </c>
      <c r="J12140" s="1">
        <v>5</v>
      </c>
      <c r="K12140" s="1">
        <v>0</v>
      </c>
    </row>
    <row r="12141" spans="1:11" x14ac:dyDescent="0.2">
      <c r="A12141" s="1" t="s">
        <v>2004</v>
      </c>
      <c r="B12141" s="1" t="s">
        <v>2022</v>
      </c>
      <c r="C12141" s="1" t="str">
        <f>"4347"</f>
        <v>4347</v>
      </c>
      <c r="D12141" s="1" t="str">
        <f>"4347"</f>
        <v>4347</v>
      </c>
      <c r="E12141" s="1" t="s">
        <v>4579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</row>
    <row r="12142" spans="1:11" ht="30" x14ac:dyDescent="0.2">
      <c r="A12142" s="1" t="s">
        <v>2004</v>
      </c>
      <c r="B12142" s="1" t="s">
        <v>2023</v>
      </c>
      <c r="C12142" s="1" t="str">
        <f>"S001"</f>
        <v>S001</v>
      </c>
      <c r="D12142" s="1" t="str">
        <f>"S001"</f>
        <v>S001</v>
      </c>
      <c r="E12142" s="1" t="s">
        <v>4579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</row>
    <row r="12143" spans="1:11" ht="30" x14ac:dyDescent="0.2">
      <c r="A12143" s="1" t="s">
        <v>2004</v>
      </c>
      <c r="B12143" s="1" t="s">
        <v>2023</v>
      </c>
      <c r="C12143" s="1" t="str">
        <f>"21C-E3440-00"</f>
        <v>21C-E3440-00</v>
      </c>
      <c r="D12143" s="1" t="str">
        <f>"21C-E3440-00"</f>
        <v>21C-E3440-00</v>
      </c>
      <c r="E12143" s="1" t="s">
        <v>4579</v>
      </c>
      <c r="F12143" s="1">
        <v>4</v>
      </c>
      <c r="G12143" s="1">
        <v>1089</v>
      </c>
      <c r="H12143" s="1">
        <v>4356</v>
      </c>
      <c r="I12143" s="1">
        <v>0</v>
      </c>
      <c r="J12143" s="1">
        <v>4</v>
      </c>
      <c r="K12143" s="1">
        <v>0</v>
      </c>
    </row>
    <row r="12144" spans="1:11" x14ac:dyDescent="0.2">
      <c r="A12144" s="1" t="s">
        <v>2004</v>
      </c>
      <c r="B12144" s="1" t="s">
        <v>2024</v>
      </c>
      <c r="C12144" s="1" t="str">
        <f>"16510-33G00-001HB"</f>
        <v>16510-33G00-001HB</v>
      </c>
      <c r="D12144" s="1" t="str">
        <f>"16510-33G00-001HB"</f>
        <v>16510-33G00-001HB</v>
      </c>
      <c r="E12144" s="1" t="s">
        <v>4579</v>
      </c>
      <c r="F12144" s="1">
        <v>4</v>
      </c>
      <c r="G12144" s="1">
        <v>881</v>
      </c>
      <c r="H12144" s="1">
        <v>3524</v>
      </c>
      <c r="I12144" s="1">
        <v>0</v>
      </c>
      <c r="J12144" s="1">
        <v>4</v>
      </c>
      <c r="K12144" s="1">
        <v>0</v>
      </c>
    </row>
    <row r="12145" spans="1:11" ht="30" x14ac:dyDescent="0.2">
      <c r="A12145" s="1" t="s">
        <v>2004</v>
      </c>
      <c r="B12145" s="1" t="s">
        <v>2025</v>
      </c>
      <c r="C12145" s="1" t="str">
        <f>"66298883338501"</f>
        <v>66298883338501</v>
      </c>
      <c r="D12145" s="1" t="str">
        <f>"S004"</f>
        <v>S004</v>
      </c>
      <c r="E12145" s="1" t="s">
        <v>4579</v>
      </c>
      <c r="F12145" s="1">
        <v>5</v>
      </c>
      <c r="G12145" s="1">
        <v>480</v>
      </c>
      <c r="H12145" s="1">
        <v>2400</v>
      </c>
      <c r="I12145" s="1">
        <v>0</v>
      </c>
      <c r="J12145" s="1">
        <v>5</v>
      </c>
      <c r="K12145" s="1">
        <v>0</v>
      </c>
    </row>
    <row r="12146" spans="1:11" ht="30" x14ac:dyDescent="0.2">
      <c r="A12146" s="1" t="s">
        <v>2004</v>
      </c>
      <c r="B12146" s="1" t="s">
        <v>2025</v>
      </c>
      <c r="C12146" s="1" t="str">
        <f>"66298883375287"</f>
        <v>66298883375287</v>
      </c>
      <c r="D12146" s="1" t="str">
        <f>"85180"</f>
        <v>85180</v>
      </c>
      <c r="E12146" s="1" t="s">
        <v>4579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</row>
    <row r="12147" spans="1:11" ht="30" x14ac:dyDescent="0.2">
      <c r="A12147" s="1" t="s">
        <v>2004</v>
      </c>
      <c r="B12147" s="1" t="s">
        <v>2025</v>
      </c>
      <c r="C12147" s="1" t="str">
        <f>"1053"</f>
        <v>1053</v>
      </c>
      <c r="D12147" s="1" t="str">
        <f>"1053"</f>
        <v>1053</v>
      </c>
      <c r="E12147" s="1" t="s">
        <v>4579</v>
      </c>
      <c r="F12147" s="1">
        <v>1</v>
      </c>
      <c r="G12147" s="1">
        <v>1386.55</v>
      </c>
      <c r="H12147" s="1">
        <v>1387</v>
      </c>
      <c r="I12147" s="1">
        <v>0</v>
      </c>
      <c r="J12147" s="1">
        <v>1</v>
      </c>
      <c r="K12147" s="1">
        <v>0</v>
      </c>
    </row>
    <row r="12148" spans="1:11" ht="30" x14ac:dyDescent="0.2">
      <c r="A12148" s="1" t="s">
        <v>2004</v>
      </c>
      <c r="B12148" s="1" t="s">
        <v>2025</v>
      </c>
      <c r="C12148" s="1" t="str">
        <f>"B00202"</f>
        <v>B00202</v>
      </c>
      <c r="D12148" s="1" t="str">
        <f>"B00202"</f>
        <v>B00202</v>
      </c>
      <c r="E12148" s="1" t="s">
        <v>4579</v>
      </c>
      <c r="F12148" s="1">
        <v>1</v>
      </c>
      <c r="G12148" s="1">
        <v>930</v>
      </c>
      <c r="H12148" s="1">
        <v>930</v>
      </c>
      <c r="I12148" s="1">
        <v>0</v>
      </c>
      <c r="J12148" s="1">
        <v>1</v>
      </c>
      <c r="K12148" s="1">
        <v>0</v>
      </c>
    </row>
    <row r="12149" spans="1:11" ht="30" x14ac:dyDescent="0.2">
      <c r="A12149" s="1" t="s">
        <v>2004</v>
      </c>
      <c r="B12149" s="1" t="s">
        <v>2025</v>
      </c>
      <c r="C12149" s="1" t="str">
        <f>"16510-45H10-000"</f>
        <v>16510-45H10-000</v>
      </c>
      <c r="D12149" s="1" t="str">
        <f>"16510-45H10-000"</f>
        <v>16510-45H10-000</v>
      </c>
      <c r="E12149" s="1" t="s">
        <v>4579</v>
      </c>
      <c r="F12149" s="1">
        <v>8</v>
      </c>
      <c r="G12149" s="1">
        <v>820</v>
      </c>
      <c r="H12149" s="1">
        <v>6560</v>
      </c>
      <c r="I12149" s="1">
        <v>0</v>
      </c>
      <c r="J12149" s="1">
        <v>8</v>
      </c>
      <c r="K12149" s="1">
        <v>0</v>
      </c>
    </row>
    <row r="12150" spans="1:11" x14ac:dyDescent="0.2">
      <c r="A12150" s="1" t="s">
        <v>2004</v>
      </c>
      <c r="B12150" s="1" t="s">
        <v>2026</v>
      </c>
      <c r="C12150" s="1" t="str">
        <f>"66298883415061"</f>
        <v>66298883415061</v>
      </c>
      <c r="D12150" s="1" t="str">
        <f>"16510-45040HB"</f>
        <v>16510-45040HB</v>
      </c>
      <c r="E12150" s="1" t="s">
        <v>4579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</row>
    <row r="12151" spans="1:11" x14ac:dyDescent="0.2">
      <c r="A12151" s="1" t="s">
        <v>2004</v>
      </c>
      <c r="B12151" s="1" t="s">
        <v>2026</v>
      </c>
      <c r="C12151" s="1" t="str">
        <f>"66298883457442"</f>
        <v>66298883457442</v>
      </c>
      <c r="D12151" s="1" t="str">
        <f>"16500-45810BR"</f>
        <v>16500-45810BR</v>
      </c>
      <c r="E12151" s="1" t="s">
        <v>4579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</row>
    <row r="12152" spans="1:11" x14ac:dyDescent="0.2">
      <c r="A12152" s="1" t="s">
        <v>2004</v>
      </c>
      <c r="B12152" s="1" t="s">
        <v>2027</v>
      </c>
      <c r="C12152" s="1" t="str">
        <f>"16510-07J00HB"</f>
        <v>16510-07J00HB</v>
      </c>
      <c r="D12152" s="1" t="str">
        <f>"16510-07J00HB"</f>
        <v>16510-07J00HB</v>
      </c>
      <c r="E12152" s="1" t="s">
        <v>4579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</row>
    <row r="12153" spans="1:11" ht="30" x14ac:dyDescent="0.2">
      <c r="A12153" s="1" t="s">
        <v>2004</v>
      </c>
      <c r="B12153" s="1" t="s">
        <v>2028</v>
      </c>
      <c r="C12153" s="1" t="str">
        <f>"66298883496183"</f>
        <v>66298883496183</v>
      </c>
      <c r="D12153" s="1" t="str">
        <f>"SD002"</f>
        <v>SD002</v>
      </c>
      <c r="E12153" s="1" t="s">
        <v>4579</v>
      </c>
      <c r="F12153" s="1">
        <v>4</v>
      </c>
      <c r="G12153" s="1">
        <v>1700.5</v>
      </c>
      <c r="H12153" s="1">
        <v>6802</v>
      </c>
      <c r="I12153" s="1">
        <v>0</v>
      </c>
      <c r="J12153" s="1">
        <v>4</v>
      </c>
      <c r="K12153" s="1">
        <v>0</v>
      </c>
    </row>
    <row r="12154" spans="1:11" x14ac:dyDescent="0.2">
      <c r="A12154" s="1" t="s">
        <v>2004</v>
      </c>
      <c r="B12154" s="1" t="s">
        <v>2029</v>
      </c>
      <c r="C12154" s="1" t="str">
        <f>"66298883534870"</f>
        <v>66298883534870</v>
      </c>
      <c r="D12154" s="1" t="str">
        <f>"16510-HN910"</f>
        <v>16510-HN910</v>
      </c>
      <c r="E12154" s="1" t="s">
        <v>4579</v>
      </c>
      <c r="F12154" s="1">
        <v>2</v>
      </c>
      <c r="G12154" s="1">
        <v>3482</v>
      </c>
      <c r="H12154" s="1">
        <v>6964</v>
      </c>
      <c r="I12154" s="1">
        <v>0</v>
      </c>
      <c r="J12154" s="1">
        <v>2</v>
      </c>
      <c r="K12154" s="1">
        <v>0</v>
      </c>
    </row>
    <row r="12155" spans="1:11" x14ac:dyDescent="0.2">
      <c r="A12155" s="1" t="s">
        <v>2004</v>
      </c>
      <c r="B12155" s="1" t="s">
        <v>2030</v>
      </c>
      <c r="C12155" s="1" t="str">
        <f>"66298883578273"</f>
        <v>66298883578273</v>
      </c>
      <c r="D12155" s="1" t="str">
        <f>"82637"</f>
        <v>82637</v>
      </c>
      <c r="E12155" s="1" t="s">
        <v>4579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</row>
    <row r="12156" spans="1:11" x14ac:dyDescent="0.2">
      <c r="A12156" s="1" t="s">
        <v>2004</v>
      </c>
      <c r="B12156" s="1" t="s">
        <v>2030</v>
      </c>
      <c r="C12156" s="1" t="str">
        <f>"66298883585597"</f>
        <v>66298883585597</v>
      </c>
      <c r="D12156" s="1" t="str">
        <f>"S003"</f>
        <v>S003</v>
      </c>
      <c r="E12156" s="1" t="s">
        <v>4579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</row>
    <row r="12157" spans="1:11" x14ac:dyDescent="0.2">
      <c r="A12157" s="1" t="s">
        <v>2004</v>
      </c>
      <c r="B12157" s="1" t="s">
        <v>2031</v>
      </c>
      <c r="C12157" s="1" t="str">
        <f>"B018"</f>
        <v>B018</v>
      </c>
      <c r="D12157" s="1" t="str">
        <f>"B018"</f>
        <v>B018</v>
      </c>
      <c r="E12157" s="1" t="s">
        <v>4579</v>
      </c>
      <c r="F12157" s="1">
        <v>2</v>
      </c>
      <c r="G12157" s="1">
        <v>2110</v>
      </c>
      <c r="H12157" s="1">
        <v>4220</v>
      </c>
      <c r="I12157" s="1">
        <v>0</v>
      </c>
      <c r="J12157" s="1">
        <v>2</v>
      </c>
      <c r="K12157" s="1">
        <v>0</v>
      </c>
    </row>
    <row r="12158" spans="1:11" x14ac:dyDescent="0.2">
      <c r="A12158" s="1" t="s">
        <v>2004</v>
      </c>
      <c r="B12158" s="1" t="s">
        <v>2032</v>
      </c>
      <c r="C12158" s="1" t="str">
        <f>"200144"</f>
        <v>200144</v>
      </c>
      <c r="D12158" s="1" t="str">
        <f>"200144"</f>
        <v>200144</v>
      </c>
      <c r="E12158" s="1" t="s">
        <v>4579</v>
      </c>
      <c r="F12158" s="1">
        <v>2</v>
      </c>
      <c r="G12158" s="1">
        <v>1630</v>
      </c>
      <c r="H12158" s="1">
        <v>3260</v>
      </c>
      <c r="I12158" s="1">
        <v>0</v>
      </c>
      <c r="J12158" s="1">
        <v>2</v>
      </c>
      <c r="K12158" s="1">
        <v>0</v>
      </c>
    </row>
    <row r="12159" spans="1:11" x14ac:dyDescent="0.2">
      <c r="A12159" s="1" t="s">
        <v>2004</v>
      </c>
      <c r="B12159" s="1" t="s">
        <v>2033</v>
      </c>
      <c r="C12159" s="1" t="str">
        <f>"1772"</f>
        <v>1772</v>
      </c>
      <c r="D12159" s="1" t="str">
        <f>"1772"</f>
        <v>1772</v>
      </c>
      <c r="E12159" s="1" t="s">
        <v>4579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</row>
    <row r="12160" spans="1:11" ht="30" x14ac:dyDescent="0.2">
      <c r="A12160" s="1" t="s">
        <v>2004</v>
      </c>
      <c r="B12160" s="1" t="s">
        <v>2034</v>
      </c>
      <c r="C12160" s="1" t="str">
        <f>"66298884086323"</f>
        <v>66298884086323</v>
      </c>
      <c r="D12160" s="1" t="str">
        <f>"B021"</f>
        <v>B021</v>
      </c>
      <c r="E12160" s="1" t="s">
        <v>4579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</row>
    <row r="12161" spans="1:11" x14ac:dyDescent="0.2">
      <c r="A12161" s="1" t="s">
        <v>2004</v>
      </c>
      <c r="B12161" s="1" t="s">
        <v>2035</v>
      </c>
      <c r="C12161" s="1" t="str">
        <f>"66298883640445"</f>
        <v>66298883640445</v>
      </c>
      <c r="D12161" s="1" t="str">
        <f>"12080"</f>
        <v>12080</v>
      </c>
      <c r="E12161" s="1" t="s">
        <v>4579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</row>
    <row r="12162" spans="1:11" x14ac:dyDescent="0.2">
      <c r="A12162" s="1" t="s">
        <v>2004</v>
      </c>
      <c r="B12162" s="1" t="s">
        <v>2036</v>
      </c>
      <c r="C12162" s="1" t="str">
        <f>"FVC018"</f>
        <v>FVC018</v>
      </c>
      <c r="D12162" s="1" t="str">
        <f>"FVC018"</f>
        <v>FVC018</v>
      </c>
      <c r="E12162" s="1" t="s">
        <v>4579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</row>
    <row r="12163" spans="1:11" x14ac:dyDescent="0.2">
      <c r="A12163" s="1" t="s">
        <v>2004</v>
      </c>
      <c r="B12163" s="1" t="s">
        <v>2037</v>
      </c>
      <c r="C12163" s="1" t="str">
        <f>"66298883676191"</f>
        <v>66298883676191</v>
      </c>
      <c r="D12163" s="1" t="str">
        <f>"SD005"</f>
        <v>SD005</v>
      </c>
      <c r="E12163" s="1" t="s">
        <v>4579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</row>
    <row r="12164" spans="1:11" x14ac:dyDescent="0.2">
      <c r="A12164" s="1" t="s">
        <v>2004</v>
      </c>
      <c r="B12164" s="1" t="s">
        <v>2038</v>
      </c>
      <c r="C12164" s="1" t="str">
        <f>"66298883717881"</f>
        <v>66298883717881</v>
      </c>
      <c r="D12164" s="1" t="str">
        <f>"SD003"</f>
        <v>SD003</v>
      </c>
      <c r="E12164" s="1" t="s">
        <v>4579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</row>
    <row r="12165" spans="1:11" x14ac:dyDescent="0.2">
      <c r="A12165" s="1" t="s">
        <v>2004</v>
      </c>
      <c r="B12165" s="1" t="s">
        <v>2039</v>
      </c>
      <c r="C12165" s="1" t="str">
        <f>"JE-5710-07"</f>
        <v>JE-5710-07</v>
      </c>
      <c r="D12165" s="1" t="str">
        <f>"JE-5710-07"</f>
        <v>JE-5710-07</v>
      </c>
      <c r="E12165" s="1" t="s">
        <v>4579</v>
      </c>
      <c r="F12165" s="1">
        <v>5</v>
      </c>
      <c r="G12165" s="1">
        <v>982</v>
      </c>
      <c r="H12165" s="1">
        <v>4910</v>
      </c>
      <c r="I12165" s="1">
        <v>0</v>
      </c>
      <c r="J12165" s="1">
        <v>5</v>
      </c>
      <c r="K12165" s="1">
        <v>0</v>
      </c>
    </row>
    <row r="12166" spans="1:11" x14ac:dyDescent="0.2">
      <c r="A12166" s="1" t="s">
        <v>2004</v>
      </c>
      <c r="B12166" s="1" t="s">
        <v>2040</v>
      </c>
      <c r="C12166" s="1" t="str">
        <f>"66298883764265"</f>
        <v>66298883764265</v>
      </c>
      <c r="D12166" s="1" t="str">
        <f>"DH-1210-10"</f>
        <v>DH-1210-10</v>
      </c>
      <c r="E12166" s="1" t="s">
        <v>4579</v>
      </c>
      <c r="F12166" s="1">
        <v>3</v>
      </c>
      <c r="G12166" s="1">
        <v>571</v>
      </c>
      <c r="H12166" s="1">
        <v>1713</v>
      </c>
      <c r="I12166" s="1">
        <v>0</v>
      </c>
      <c r="J12166" s="1">
        <v>3</v>
      </c>
      <c r="K12166" s="1">
        <v>0</v>
      </c>
    </row>
    <row r="12167" spans="1:11" ht="30" x14ac:dyDescent="0.2">
      <c r="A12167" s="1" t="s">
        <v>2004</v>
      </c>
      <c r="B12167" s="1" t="s">
        <v>2041</v>
      </c>
      <c r="C12167" s="1" t="str">
        <f>"66298883808013"</f>
        <v>66298883808013</v>
      </c>
      <c r="D12167" s="1" t="str">
        <f>"JG-5710-14HB"</f>
        <v>JG-5710-14HB</v>
      </c>
      <c r="E12167" s="1" t="s">
        <v>4579</v>
      </c>
      <c r="F12167" s="1">
        <v>3</v>
      </c>
      <c r="G12167" s="1">
        <v>1414</v>
      </c>
      <c r="H12167" s="1">
        <v>4242</v>
      </c>
      <c r="I12167" s="1">
        <v>0</v>
      </c>
      <c r="J12167" s="1">
        <v>3</v>
      </c>
      <c r="K12167" s="1">
        <v>0</v>
      </c>
    </row>
    <row r="12168" spans="1:11" ht="30" x14ac:dyDescent="0.2">
      <c r="A12168" s="1" t="s">
        <v>2004</v>
      </c>
      <c r="B12168" s="1" t="s">
        <v>2041</v>
      </c>
      <c r="C12168" s="1" t="str">
        <f>"1775"</f>
        <v>1775</v>
      </c>
      <c r="D12168" s="1" t="str">
        <f>"1775"</f>
        <v>1775</v>
      </c>
      <c r="E12168" s="1" t="s">
        <v>4579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</row>
    <row r="12169" spans="1:11" x14ac:dyDescent="0.2">
      <c r="A12169" s="1" t="s">
        <v>2004</v>
      </c>
      <c r="B12169" s="1" t="s">
        <v>2042</v>
      </c>
      <c r="C12169" s="1" t="str">
        <f>"66298883845172"</f>
        <v>66298883845172</v>
      </c>
      <c r="D12169" s="1" t="str">
        <f>"11427-721-779"</f>
        <v>11427-721-779</v>
      </c>
      <c r="E12169" s="1" t="s">
        <v>4579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</row>
    <row r="12170" spans="1:11" x14ac:dyDescent="0.2">
      <c r="A12170" s="1" t="s">
        <v>2004</v>
      </c>
      <c r="B12170" s="1" t="s">
        <v>2043</v>
      </c>
      <c r="C12170" s="1" t="str">
        <f>"66298883882424"</f>
        <v>66298883882424</v>
      </c>
      <c r="D12170" s="1" t="str">
        <f>"16510-24501"</f>
        <v>16510-24501</v>
      </c>
      <c r="E12170" s="1" t="s">
        <v>4579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</row>
    <row r="12171" spans="1:11" x14ac:dyDescent="0.2">
      <c r="A12171" s="1" t="s">
        <v>2004</v>
      </c>
      <c r="B12171" s="1" t="s">
        <v>2044</v>
      </c>
      <c r="C12171" s="1" t="str">
        <f>"10178"</f>
        <v>10178</v>
      </c>
      <c r="D12171" s="1" t="str">
        <f>"10178"</f>
        <v>10178</v>
      </c>
      <c r="E12171" s="1" t="s">
        <v>4579</v>
      </c>
      <c r="F12171" s="1">
        <v>1</v>
      </c>
      <c r="G12171" s="1">
        <v>1700</v>
      </c>
      <c r="H12171" s="1">
        <v>1700</v>
      </c>
      <c r="I12171" s="1">
        <v>0</v>
      </c>
      <c r="J12171" s="1">
        <v>1</v>
      </c>
      <c r="K12171" s="1">
        <v>0</v>
      </c>
    </row>
    <row r="12172" spans="1:11" x14ac:dyDescent="0.2">
      <c r="A12172" s="1" t="s">
        <v>2004</v>
      </c>
      <c r="B12172" s="1" t="s">
        <v>2045</v>
      </c>
      <c r="C12172" s="1" t="str">
        <f>"66298883924501"</f>
        <v>66298883924501</v>
      </c>
      <c r="D12172" s="1" t="str">
        <f>"15410-MB0-003"</f>
        <v>15410-MB0-003</v>
      </c>
      <c r="E12172" s="1" t="s">
        <v>4579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</row>
    <row r="12173" spans="1:11" x14ac:dyDescent="0.2">
      <c r="A12173" s="1" t="s">
        <v>2004</v>
      </c>
      <c r="B12173" s="1" t="s">
        <v>2046</v>
      </c>
      <c r="C12173" s="1" t="str">
        <f>"16510-26H00-000"</f>
        <v>16510-26H00-000</v>
      </c>
      <c r="D12173" s="1" t="str">
        <f>"16510-26H00-000"</f>
        <v>16510-26H00-000</v>
      </c>
      <c r="E12173" s="1" t="s">
        <v>4579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</row>
    <row r="12174" spans="1:11" ht="30" x14ac:dyDescent="0.2">
      <c r="A12174" s="1" t="s">
        <v>2004</v>
      </c>
      <c r="B12174" s="1" t="s">
        <v>2047</v>
      </c>
      <c r="C12174" s="1" t="str">
        <f>"66298883964095"</f>
        <v>66298883964095</v>
      </c>
      <c r="D12174" s="1" t="str">
        <f>"15410-KF0-315"</f>
        <v>15410-KF0-315</v>
      </c>
      <c r="E12174" s="1" t="s">
        <v>4579</v>
      </c>
      <c r="F12174" s="1">
        <v>10</v>
      </c>
      <c r="G12174" s="1">
        <v>661.5</v>
      </c>
      <c r="H12174" s="1">
        <v>6615</v>
      </c>
      <c r="I12174" s="1">
        <v>0</v>
      </c>
      <c r="J12174" s="1">
        <v>10</v>
      </c>
      <c r="K12174" s="1">
        <v>0</v>
      </c>
    </row>
    <row r="12175" spans="1:11" ht="30" x14ac:dyDescent="0.2">
      <c r="A12175" s="1" t="s">
        <v>2004</v>
      </c>
      <c r="B12175" s="1" t="s">
        <v>2048</v>
      </c>
      <c r="C12175" s="1" t="str">
        <f>"1995"</f>
        <v>1995</v>
      </c>
      <c r="D12175" s="1" t="str">
        <f>"1995"</f>
        <v>1995</v>
      </c>
      <c r="E12175" s="1" t="s">
        <v>4579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</row>
    <row r="12176" spans="1:11" ht="30" x14ac:dyDescent="0.2">
      <c r="A12176" s="1" t="s">
        <v>2004</v>
      </c>
      <c r="B12176" s="1" t="s">
        <v>2049</v>
      </c>
      <c r="C12176" s="1" t="str">
        <f>"66298884005785"</f>
        <v>66298884005785</v>
      </c>
      <c r="D12176" s="1" t="str">
        <f>"S056"</f>
        <v>S056</v>
      </c>
      <c r="E12176" s="1" t="s">
        <v>4579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</row>
    <row r="12177" spans="1:11" ht="30" x14ac:dyDescent="0.2">
      <c r="A12177" s="1" t="s">
        <v>2004</v>
      </c>
      <c r="B12177" s="1" t="s">
        <v>2050</v>
      </c>
      <c r="C12177" s="1" t="str">
        <f>"B045"</f>
        <v>B045</v>
      </c>
      <c r="D12177" s="1" t="str">
        <f>"B045"</f>
        <v>B045</v>
      </c>
      <c r="E12177" s="1" t="s">
        <v>4579</v>
      </c>
      <c r="F12177" s="1">
        <v>2</v>
      </c>
      <c r="G12177" s="1">
        <v>775</v>
      </c>
      <c r="H12177" s="1">
        <v>1550</v>
      </c>
      <c r="I12177" s="1">
        <v>0</v>
      </c>
      <c r="J12177" s="1">
        <v>2</v>
      </c>
      <c r="K12177" s="1">
        <v>0</v>
      </c>
    </row>
    <row r="12178" spans="1:11" x14ac:dyDescent="0.2">
      <c r="A12178" s="1" t="s">
        <v>2004</v>
      </c>
      <c r="B12178" s="1" t="s">
        <v>2051</v>
      </c>
      <c r="C12178" s="1" t="str">
        <f>"66298884046349"</f>
        <v>66298884046349</v>
      </c>
      <c r="D12178" s="1" t="str">
        <f>"JB025"</f>
        <v>JB025</v>
      </c>
      <c r="E12178" s="1" t="s">
        <v>4579</v>
      </c>
      <c r="F12178" s="1">
        <v>4</v>
      </c>
      <c r="G12178" s="1">
        <v>1830</v>
      </c>
      <c r="H12178" s="1">
        <v>7320</v>
      </c>
      <c r="I12178" s="1">
        <v>0</v>
      </c>
      <c r="J12178" s="1">
        <v>4</v>
      </c>
      <c r="K12178" s="1">
        <v>0</v>
      </c>
    </row>
    <row r="12179" spans="1:11" x14ac:dyDescent="0.2">
      <c r="A12179" s="1" t="s">
        <v>2004</v>
      </c>
      <c r="B12179" s="1" t="s">
        <v>2052</v>
      </c>
      <c r="C12179" s="1" t="str">
        <f>"66298884127410"</f>
        <v>66298884127410</v>
      </c>
      <c r="D12179" s="1" t="str">
        <f>"80750"</f>
        <v>80750</v>
      </c>
      <c r="E12179" s="1" t="s">
        <v>4579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</row>
    <row r="12180" spans="1:11" ht="30" x14ac:dyDescent="0.2">
      <c r="A12180" s="1" t="s">
        <v>2004</v>
      </c>
      <c r="B12180" s="1" t="s">
        <v>2053</v>
      </c>
      <c r="C12180" s="1" t="str">
        <f>"66298884164680"</f>
        <v>66298884164680</v>
      </c>
      <c r="D12180" s="1" t="str">
        <f>"400195"</f>
        <v>400195</v>
      </c>
      <c r="E12180" s="1" t="s">
        <v>4579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</row>
    <row r="12181" spans="1:11" x14ac:dyDescent="0.2">
      <c r="A12181" s="1" t="s">
        <v>2004</v>
      </c>
      <c r="B12181" s="1" t="s">
        <v>2054</v>
      </c>
      <c r="C12181" s="1" t="str">
        <f>"66298884201679"</f>
        <v>66298884201679</v>
      </c>
      <c r="D12181" s="1" t="str">
        <f>"FFC006"</f>
        <v>FFC006</v>
      </c>
      <c r="E12181" s="1" t="s">
        <v>4579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</row>
    <row r="12182" spans="1:11" x14ac:dyDescent="0.2">
      <c r="A12182" s="1" t="s">
        <v>2004</v>
      </c>
      <c r="B12182" s="1" t="s">
        <v>2055</v>
      </c>
      <c r="C12182" s="1" t="str">
        <f>"66298884242609"</f>
        <v>66298884242609</v>
      </c>
      <c r="D12182" s="1" t="str">
        <f>"85179"</f>
        <v>85179</v>
      </c>
      <c r="E12182" s="1" t="s">
        <v>4579</v>
      </c>
      <c r="F12182" s="1">
        <v>4</v>
      </c>
      <c r="G12182" s="1">
        <v>454</v>
      </c>
      <c r="H12182" s="1">
        <v>1816</v>
      </c>
      <c r="I12182" s="1">
        <v>0</v>
      </c>
      <c r="J12182" s="1">
        <v>4</v>
      </c>
      <c r="K12182" s="1">
        <v>0</v>
      </c>
    </row>
    <row r="12183" spans="1:11" x14ac:dyDescent="0.2">
      <c r="A12183" s="1" t="s">
        <v>2004</v>
      </c>
      <c r="B12183" s="1" t="s">
        <v>2055</v>
      </c>
      <c r="C12183" s="1" t="str">
        <f>"157-F3440-00HB"</f>
        <v>157-F3440-00HB</v>
      </c>
      <c r="D12183" s="1" t="str">
        <f>"157-F3440-00HB"</f>
        <v>157-F3440-00HB</v>
      </c>
      <c r="E12183" s="1" t="s">
        <v>4579</v>
      </c>
      <c r="F12183" s="1">
        <v>5</v>
      </c>
      <c r="G12183" s="1">
        <v>1296</v>
      </c>
      <c r="H12183" s="1">
        <v>6480</v>
      </c>
      <c r="I12183" s="1">
        <v>0</v>
      </c>
      <c r="J12183" s="1">
        <v>5</v>
      </c>
      <c r="K12183" s="1">
        <v>0</v>
      </c>
    </row>
    <row r="12184" spans="1:11" x14ac:dyDescent="0.2">
      <c r="A12184" s="1" t="s">
        <v>2004</v>
      </c>
      <c r="B12184" s="1" t="s">
        <v>2056</v>
      </c>
      <c r="C12184" s="1" t="str">
        <f>"66298884283102"</f>
        <v>66298884283102</v>
      </c>
      <c r="D12184" s="1" t="str">
        <f>"HA-2511"</f>
        <v>HA-2511</v>
      </c>
      <c r="E12184" s="1" t="s">
        <v>4579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</row>
    <row r="12185" spans="1:11" x14ac:dyDescent="0.2">
      <c r="A12185" s="1" t="s">
        <v>2004</v>
      </c>
      <c r="B12185" s="1" t="s">
        <v>2057</v>
      </c>
      <c r="C12185" s="1" t="str">
        <f>"66298884325557"</f>
        <v>66298884325557</v>
      </c>
      <c r="D12185" s="1" t="str">
        <f>"KA-2508"</f>
        <v>KA-2508</v>
      </c>
      <c r="E12185" s="1" t="s">
        <v>4579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</row>
    <row r="12186" spans="1:11" x14ac:dyDescent="0.2">
      <c r="A12186" s="1" t="s">
        <v>2004</v>
      </c>
      <c r="B12186" s="1" t="s">
        <v>2058</v>
      </c>
      <c r="C12186" s="1" t="str">
        <f>"66298884365876"</f>
        <v>66298884365876</v>
      </c>
      <c r="D12186" s="1" t="str">
        <f>"BA-2012"</f>
        <v>BA-2012</v>
      </c>
      <c r="E12186" s="1" t="s">
        <v>4579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</row>
    <row r="12187" spans="1:11" x14ac:dyDescent="0.2">
      <c r="A12187" s="1" t="s">
        <v>2004</v>
      </c>
      <c r="B12187" s="1" t="s">
        <v>2059</v>
      </c>
      <c r="C12187" s="1" t="str">
        <f>"66298884408576"</f>
        <v>66298884408576</v>
      </c>
      <c r="D12187" s="1" t="str">
        <f>"YA-1208"</f>
        <v>YA-1208</v>
      </c>
      <c r="E12187" s="1" t="s">
        <v>4579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</row>
    <row r="12188" spans="1:11" x14ac:dyDescent="0.2">
      <c r="A12188" s="1" t="s">
        <v>2004</v>
      </c>
      <c r="B12188" s="1" t="s">
        <v>2060</v>
      </c>
      <c r="C12188" s="1" t="str">
        <f>"66298884447663"</f>
        <v>66298884447663</v>
      </c>
      <c r="D12188" s="1" t="str">
        <f>"54S-E4450-00HB"</f>
        <v>54S-E4450-00HB</v>
      </c>
      <c r="E12188" s="1" t="s">
        <v>4579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</row>
    <row r="12189" spans="1:11" x14ac:dyDescent="0.2">
      <c r="A12189" s="1" t="s">
        <v>2004</v>
      </c>
      <c r="B12189" s="1" t="s">
        <v>2060</v>
      </c>
      <c r="C12189" s="1" t="str">
        <f>"66298884488185"</f>
        <v>66298884488185</v>
      </c>
      <c r="D12189" s="1" t="str">
        <f>"4D0-E4450-00HB"</f>
        <v>4D0-E4450-00HB</v>
      </c>
      <c r="E12189" s="1" t="s">
        <v>4579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</row>
    <row r="12190" spans="1:11" x14ac:dyDescent="0.2">
      <c r="A12190" s="1" t="s">
        <v>2004</v>
      </c>
      <c r="B12190" s="1" t="s">
        <v>2061</v>
      </c>
      <c r="C12190" s="1" t="str">
        <f>"12483"</f>
        <v>12483</v>
      </c>
      <c r="D12190" s="1" t="str">
        <f>"12483"</f>
        <v>12483</v>
      </c>
      <c r="E12190" s="1" t="s">
        <v>4579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</row>
    <row r="12191" spans="1:11" x14ac:dyDescent="0.2">
      <c r="A12191" s="1" t="s">
        <v>2004</v>
      </c>
      <c r="B12191" s="1" t="s">
        <v>2062</v>
      </c>
      <c r="C12191" s="1" t="str">
        <f>"49CC24"</f>
        <v>49CC24</v>
      </c>
      <c r="D12191" s="1" t="str">
        <f>"49CC24"</f>
        <v>49CC24</v>
      </c>
      <c r="E12191" s="1" t="s">
        <v>4579</v>
      </c>
      <c r="F12191" s="1">
        <v>2</v>
      </c>
      <c r="G12191" s="1">
        <v>2850</v>
      </c>
      <c r="H12191" s="1">
        <v>5700</v>
      </c>
      <c r="I12191" s="1">
        <v>0</v>
      </c>
      <c r="J12191" s="1">
        <v>2</v>
      </c>
      <c r="K12191" s="1">
        <v>0</v>
      </c>
    </row>
    <row r="12192" spans="1:11" x14ac:dyDescent="0.2">
      <c r="A12192" s="1" t="s">
        <v>2004</v>
      </c>
      <c r="B12192" s="1" t="s">
        <v>2063</v>
      </c>
      <c r="C12192" s="1" t="str">
        <f>"66298884529568"</f>
        <v>66298884529568</v>
      </c>
      <c r="D12192" s="1" t="str">
        <f>"17211-K70-600HB"</f>
        <v>17211-K70-600HB</v>
      </c>
      <c r="E12192" s="1" t="s">
        <v>4579</v>
      </c>
      <c r="F12192" s="1">
        <v>1</v>
      </c>
      <c r="G12192" s="1">
        <v>2648</v>
      </c>
      <c r="H12192" s="1">
        <v>2648</v>
      </c>
      <c r="I12192" s="1">
        <v>0</v>
      </c>
      <c r="J12192" s="1">
        <v>1</v>
      </c>
      <c r="K12192" s="1">
        <v>0</v>
      </c>
    </row>
    <row r="12193" spans="1:11" x14ac:dyDescent="0.2">
      <c r="A12193" s="1" t="s">
        <v>2004</v>
      </c>
      <c r="B12193" s="1" t="s">
        <v>2063</v>
      </c>
      <c r="C12193" s="1" t="str">
        <f>"66298884571731"</f>
        <v>66298884571731</v>
      </c>
      <c r="D12193" s="1" t="str">
        <f>"S038"</f>
        <v>S038</v>
      </c>
      <c r="E12193" s="1" t="s">
        <v>4579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</row>
    <row r="12194" spans="1:11" x14ac:dyDescent="0.2">
      <c r="A12194" s="1" t="s">
        <v>2004</v>
      </c>
      <c r="B12194" s="1" t="s">
        <v>2064</v>
      </c>
      <c r="C12194" s="1" t="str">
        <f>"66298884613812"</f>
        <v>66298884613812</v>
      </c>
      <c r="D12194" s="1" t="str">
        <f>"17211-KWF-950HB"</f>
        <v>17211-KWF-950HB</v>
      </c>
      <c r="E12194" s="1" t="s">
        <v>4579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</row>
    <row r="12195" spans="1:11" x14ac:dyDescent="0.2">
      <c r="A12195" s="1" t="s">
        <v>2004</v>
      </c>
      <c r="B12195" s="1" t="s">
        <v>2065</v>
      </c>
      <c r="C12195" s="1" t="str">
        <f>"66298884654202"</f>
        <v>66298884654202</v>
      </c>
      <c r="D12195" s="1" t="str">
        <f>"400172"</f>
        <v>400172</v>
      </c>
      <c r="E12195" s="1" t="s">
        <v>4579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</row>
    <row r="12196" spans="1:11" x14ac:dyDescent="0.2">
      <c r="A12196" s="1" t="s">
        <v>2004</v>
      </c>
      <c r="B12196" s="1" t="s">
        <v>2066</v>
      </c>
      <c r="C12196" s="1" t="str">
        <f>"66298884692045"</f>
        <v>66298884692045</v>
      </c>
      <c r="D12196" s="1" t="str">
        <f>"17211-KSP-900HB"</f>
        <v>17211-KSP-900HB</v>
      </c>
      <c r="E12196" s="1" t="s">
        <v>4579</v>
      </c>
      <c r="F12196" s="1">
        <v>1</v>
      </c>
      <c r="G12196" s="1">
        <v>1724</v>
      </c>
      <c r="H12196" s="1">
        <v>1724</v>
      </c>
      <c r="I12196" s="1">
        <v>0</v>
      </c>
      <c r="J12196" s="1">
        <v>1</v>
      </c>
      <c r="K12196" s="1">
        <v>0</v>
      </c>
    </row>
    <row r="12197" spans="1:11" x14ac:dyDescent="0.2">
      <c r="A12197" s="1" t="s">
        <v>2004</v>
      </c>
      <c r="B12197" s="1" t="s">
        <v>2067</v>
      </c>
      <c r="C12197" s="1" t="str">
        <f>"66298884781917"</f>
        <v>66298884781917</v>
      </c>
      <c r="D12197" s="1" t="str">
        <f>"17211-KYJ-640HB"</f>
        <v>17211-KYJ-640HB</v>
      </c>
      <c r="E12197" s="1" t="s">
        <v>4579</v>
      </c>
      <c r="F12197" s="1">
        <v>1</v>
      </c>
      <c r="G12197" s="1">
        <v>2149</v>
      </c>
      <c r="H12197" s="1">
        <v>2149</v>
      </c>
      <c r="I12197" s="1">
        <v>0</v>
      </c>
      <c r="J12197" s="1">
        <v>1</v>
      </c>
      <c r="K12197" s="1">
        <v>0</v>
      </c>
    </row>
    <row r="12198" spans="1:11" x14ac:dyDescent="0.2">
      <c r="A12198" s="1" t="s">
        <v>2004</v>
      </c>
      <c r="B12198" s="1" t="s">
        <v>2068</v>
      </c>
      <c r="C12198" s="1" t="str">
        <f>"66298884736504"</f>
        <v>66298884736504</v>
      </c>
      <c r="D12198" s="1" t="str">
        <f>"S024"</f>
        <v>S024</v>
      </c>
      <c r="E12198" s="1" t="s">
        <v>4579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</row>
    <row r="12199" spans="1:11" x14ac:dyDescent="0.2">
      <c r="A12199" s="1" t="s">
        <v>2004</v>
      </c>
      <c r="B12199" s="1" t="s">
        <v>2069</v>
      </c>
      <c r="C12199" s="1" t="str">
        <f>"66298884830308"</f>
        <v>66298884830308</v>
      </c>
      <c r="D12199" s="1" t="str">
        <f>"17213-KPF-960HB"</f>
        <v>17213-KPF-960HB</v>
      </c>
      <c r="E12199" s="1" t="s">
        <v>4579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</row>
    <row r="12200" spans="1:11" x14ac:dyDescent="0.2">
      <c r="A12200" s="1" t="s">
        <v>2004</v>
      </c>
      <c r="B12200" s="1" t="s">
        <v>2069</v>
      </c>
      <c r="C12200" s="1" t="str">
        <f>"66298884836635"</f>
        <v>66298884836635</v>
      </c>
      <c r="D12200" s="1" t="str">
        <f>"82020"</f>
        <v>82020</v>
      </c>
      <c r="E12200" s="1" t="s">
        <v>4579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</row>
    <row r="12201" spans="1:11" x14ac:dyDescent="0.2">
      <c r="A12201" s="1" t="s">
        <v>2004</v>
      </c>
      <c r="B12201" s="1" t="s">
        <v>2070</v>
      </c>
      <c r="C12201" s="1" t="str">
        <f>"66298884888679"</f>
        <v>66298884888679</v>
      </c>
      <c r="D12201" s="1" t="str">
        <f>"17213-397-003"</f>
        <v>17213-397-003</v>
      </c>
      <c r="E12201" s="1" t="s">
        <v>4579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</row>
    <row r="12202" spans="1:11" x14ac:dyDescent="0.2">
      <c r="A12202" s="1" t="s">
        <v>2004</v>
      </c>
      <c r="B12202" s="1" t="s">
        <v>2071</v>
      </c>
      <c r="C12202" s="1" t="str">
        <f>"66298884934540"</f>
        <v>66298884934540</v>
      </c>
      <c r="D12202" s="1" t="str">
        <f>"13538"</f>
        <v>13538</v>
      </c>
      <c r="E12202" s="1" t="s">
        <v>4579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</row>
    <row r="12203" spans="1:11" x14ac:dyDescent="0.2">
      <c r="A12203" s="1" t="s">
        <v>2004</v>
      </c>
      <c r="B12203" s="1" t="s">
        <v>2072</v>
      </c>
      <c r="C12203" s="1" t="str">
        <f>"66298884976362"</f>
        <v>66298884976362</v>
      </c>
      <c r="D12203" s="1" t="str">
        <f>"1535R"</f>
        <v>1535R</v>
      </c>
      <c r="E12203" s="1" t="s">
        <v>4579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</row>
    <row r="12204" spans="1:11" x14ac:dyDescent="0.2">
      <c r="A12204" s="1" t="s">
        <v>2004</v>
      </c>
      <c r="B12204" s="1" t="s">
        <v>2073</v>
      </c>
      <c r="C12204" s="1" t="str">
        <f>"1435C"</f>
        <v>1435C</v>
      </c>
      <c r="D12204" s="1" t="str">
        <f>"1435C"</f>
        <v>1435C</v>
      </c>
      <c r="E12204" s="1" t="s">
        <v>4579</v>
      </c>
      <c r="F12204" s="1">
        <v>2</v>
      </c>
      <c r="G12204" s="1">
        <v>2620</v>
      </c>
      <c r="H12204" s="1">
        <v>5240</v>
      </c>
      <c r="I12204" s="1">
        <v>0</v>
      </c>
      <c r="J12204" s="1">
        <v>2</v>
      </c>
      <c r="K12204" s="1">
        <v>0</v>
      </c>
    </row>
    <row r="12205" spans="1:11" x14ac:dyDescent="0.2">
      <c r="A12205" s="1" t="s">
        <v>2004</v>
      </c>
      <c r="B12205" s="1" t="s">
        <v>2074</v>
      </c>
      <c r="C12205" s="1" t="str">
        <f>"66298885015660"</f>
        <v>66298885015660</v>
      </c>
      <c r="D12205" s="1" t="str">
        <f>"400794"</f>
        <v>400794</v>
      </c>
      <c r="E12205" s="1" t="s">
        <v>4579</v>
      </c>
      <c r="F12205" s="1">
        <v>1</v>
      </c>
      <c r="G12205" s="1">
        <v>1419</v>
      </c>
      <c r="H12205" s="1">
        <v>1419</v>
      </c>
      <c r="I12205" s="1">
        <v>0</v>
      </c>
      <c r="J12205" s="1">
        <v>1</v>
      </c>
      <c r="K12205" s="1">
        <v>0</v>
      </c>
    </row>
    <row r="12206" spans="1:11" x14ac:dyDescent="0.2">
      <c r="A12206" s="1" t="s">
        <v>2004</v>
      </c>
      <c r="B12206" s="1" t="s">
        <v>2075</v>
      </c>
      <c r="C12206" s="1" t="str">
        <f>"12895-F"</f>
        <v>12895-F</v>
      </c>
      <c r="D12206" s="1" t="str">
        <f>"12895-F"</f>
        <v>12895-F</v>
      </c>
      <c r="E12206" s="1" t="s">
        <v>4579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</row>
    <row r="12207" spans="1:11" x14ac:dyDescent="0.2">
      <c r="A12207" s="1" t="s">
        <v>2004</v>
      </c>
      <c r="B12207" s="1" t="s">
        <v>2076</v>
      </c>
      <c r="C12207" s="1" t="str">
        <f>"66298885056060"</f>
        <v>66298885056060</v>
      </c>
      <c r="D12207" s="1" t="str">
        <f>"DX-1210-10"</f>
        <v>DX-1210-10</v>
      </c>
      <c r="E12207" s="1" t="s">
        <v>4579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</row>
    <row r="12208" spans="1:11" x14ac:dyDescent="0.2">
      <c r="A12208" s="1" t="s">
        <v>2004</v>
      </c>
      <c r="B12208" s="1" t="s">
        <v>2077</v>
      </c>
      <c r="C12208" s="1" t="str">
        <f>"66298885095983"</f>
        <v>66298885095983</v>
      </c>
      <c r="D12208" s="1" t="str">
        <f>"13780-27G10HB"</f>
        <v>13780-27G10HB</v>
      </c>
      <c r="E12208" s="1" t="s">
        <v>4579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</row>
    <row r="12209" spans="1:11" x14ac:dyDescent="0.2">
      <c r="A12209" s="1" t="s">
        <v>2004</v>
      </c>
      <c r="B12209" s="1" t="s">
        <v>2078</v>
      </c>
      <c r="C12209" s="1" t="str">
        <f>"13780H2J000H000"</f>
        <v>13780H2J000H000</v>
      </c>
      <c r="D12209" s="1" t="str">
        <f>"13780H2J000H000"</f>
        <v>13780H2J000H000</v>
      </c>
      <c r="E12209" s="1" t="s">
        <v>4579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</row>
    <row r="12210" spans="1:11" x14ac:dyDescent="0.2">
      <c r="A12210" s="1" t="s">
        <v>2004</v>
      </c>
      <c r="B12210" s="1" t="s">
        <v>2079</v>
      </c>
      <c r="C12210" s="1" t="str">
        <f>"66298885135465"</f>
        <v>66298885135465</v>
      </c>
      <c r="D12210" s="1" t="str">
        <f>"13780-42A01HB"</f>
        <v>13780-42A01HB</v>
      </c>
      <c r="E12210" s="1" t="s">
        <v>4579</v>
      </c>
      <c r="F12210" s="1">
        <v>1</v>
      </c>
      <c r="G12210" s="1">
        <v>1738</v>
      </c>
      <c r="H12210" s="1">
        <v>1738</v>
      </c>
      <c r="I12210" s="1">
        <v>0</v>
      </c>
      <c r="J12210" s="1">
        <v>1</v>
      </c>
      <c r="K12210" s="1">
        <v>0</v>
      </c>
    </row>
    <row r="12211" spans="1:11" x14ac:dyDescent="0.2">
      <c r="A12211" s="1" t="s">
        <v>2004</v>
      </c>
      <c r="B12211" s="1" t="s">
        <v>2080</v>
      </c>
      <c r="C12211" s="1" t="str">
        <f>"66298885174021"</f>
        <v>66298885174021</v>
      </c>
      <c r="D12211" s="1" t="str">
        <f>"13780-32E00HB"</f>
        <v>13780-32E00HB</v>
      </c>
      <c r="E12211" s="1" t="s">
        <v>4579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</row>
    <row r="12212" spans="1:11" x14ac:dyDescent="0.2">
      <c r="A12212" s="1" t="s">
        <v>2004</v>
      </c>
      <c r="B12212" s="1" t="s">
        <v>2081</v>
      </c>
      <c r="C12212" s="1" t="str">
        <f>"12216"</f>
        <v>12216</v>
      </c>
      <c r="D12212" s="1" t="str">
        <f>"12216"</f>
        <v>12216</v>
      </c>
      <c r="E12212" s="1" t="s">
        <v>4579</v>
      </c>
      <c r="F12212" s="1">
        <v>1</v>
      </c>
      <c r="G12212" s="1">
        <v>10330</v>
      </c>
      <c r="H12212" s="1">
        <v>10330</v>
      </c>
      <c r="I12212" s="1">
        <v>0</v>
      </c>
      <c r="J12212" s="1">
        <v>1</v>
      </c>
      <c r="K12212" s="1">
        <v>0</v>
      </c>
    </row>
    <row r="12213" spans="1:11" x14ac:dyDescent="0.2">
      <c r="A12213" s="1" t="s">
        <v>2004</v>
      </c>
      <c r="B12213" s="1" t="s">
        <v>2082</v>
      </c>
      <c r="C12213" s="1" t="str">
        <f>"66298885212952"</f>
        <v>66298885212952</v>
      </c>
      <c r="D12213" s="1" t="str">
        <f>"17211-KSY-900HB"</f>
        <v>17211-KSY-900HB</v>
      </c>
      <c r="E12213" s="1" t="s">
        <v>4579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</row>
    <row r="12214" spans="1:11" x14ac:dyDescent="0.2">
      <c r="A12214" s="1" t="s">
        <v>2004</v>
      </c>
      <c r="B12214" s="1" t="s">
        <v>2083</v>
      </c>
      <c r="C12214" s="1" t="str">
        <f>"10550"</f>
        <v>10550</v>
      </c>
      <c r="D12214" s="1" t="str">
        <f>"10550"</f>
        <v>10550</v>
      </c>
      <c r="E12214" s="1" t="s">
        <v>4579</v>
      </c>
      <c r="F12214" s="1">
        <v>1</v>
      </c>
      <c r="G12214" s="1">
        <v>4936.13</v>
      </c>
      <c r="H12214" s="1">
        <v>4936</v>
      </c>
      <c r="I12214" s="1">
        <v>0</v>
      </c>
      <c r="J12214" s="1">
        <v>1</v>
      </c>
      <c r="K12214" s="1">
        <v>0</v>
      </c>
    </row>
    <row r="12215" spans="1:11" x14ac:dyDescent="0.2">
      <c r="A12215" s="1" t="s">
        <v>2004</v>
      </c>
      <c r="B12215" s="1" t="s">
        <v>2084</v>
      </c>
      <c r="C12215" s="1" t="str">
        <f>"66298885294715"</f>
        <v>66298885294715</v>
      </c>
      <c r="D12215" s="1" t="str">
        <f>"21C-E4450-00"</f>
        <v>21C-E4450-00</v>
      </c>
      <c r="E12215" s="1" t="s">
        <v>4579</v>
      </c>
      <c r="F12215" s="1">
        <v>1</v>
      </c>
      <c r="G12215" s="1">
        <v>2556</v>
      </c>
      <c r="H12215" s="1">
        <v>2556</v>
      </c>
      <c r="I12215" s="1">
        <v>0</v>
      </c>
      <c r="J12215" s="1">
        <v>1</v>
      </c>
      <c r="K12215" s="1">
        <v>0</v>
      </c>
    </row>
    <row r="12216" spans="1:11" x14ac:dyDescent="0.2">
      <c r="A12216" s="1" t="s">
        <v>2004</v>
      </c>
      <c r="B12216" s="1" t="s">
        <v>2085</v>
      </c>
      <c r="C12216" s="1" t="str">
        <f>"66298885343080"</f>
        <v>66298885343080</v>
      </c>
      <c r="D12216" s="1" t="str">
        <f>"400173"</f>
        <v>400173</v>
      </c>
      <c r="E12216" s="1" t="s">
        <v>4579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</row>
    <row r="12217" spans="1:11" x14ac:dyDescent="0.2">
      <c r="A12217" s="1" t="s">
        <v>2004</v>
      </c>
      <c r="B12217" s="1" t="s">
        <v>2086</v>
      </c>
      <c r="C12217" s="1" t="str">
        <f>"66298885252434"</f>
        <v>66298885252434</v>
      </c>
      <c r="D12217" s="1" t="str">
        <f>"S002"</f>
        <v>S002</v>
      </c>
      <c r="E12217" s="1" t="s">
        <v>4579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</row>
    <row r="12218" spans="1:11" x14ac:dyDescent="0.2">
      <c r="A12218" s="1" t="s">
        <v>2004</v>
      </c>
      <c r="B12218" s="1" t="s">
        <v>2086</v>
      </c>
      <c r="C12218" s="1" t="str">
        <f>"13540"</f>
        <v>13540</v>
      </c>
      <c r="D12218" s="1" t="str">
        <f>"13540"</f>
        <v>13540</v>
      </c>
      <c r="E12218" s="1" t="s">
        <v>4579</v>
      </c>
      <c r="F12218" s="1">
        <v>1</v>
      </c>
      <c r="G12218" s="1">
        <v>2740</v>
      </c>
      <c r="H12218" s="1">
        <v>2740</v>
      </c>
      <c r="I12218" s="1">
        <v>0</v>
      </c>
      <c r="J12218" s="1">
        <v>1</v>
      </c>
      <c r="K12218" s="1">
        <v>0</v>
      </c>
    </row>
    <row r="12219" spans="1:11" x14ac:dyDescent="0.2">
      <c r="A12219" s="1" t="s">
        <v>2004</v>
      </c>
      <c r="B12219" s="1" t="s">
        <v>2087</v>
      </c>
      <c r="C12219" s="1" t="str">
        <f>"S4V0485200066"</f>
        <v>S4V0485200066</v>
      </c>
      <c r="D12219" s="1" t="str">
        <f>"S4V0485200066"</f>
        <v>S4V0485200066</v>
      </c>
      <c r="E12219" s="1" t="s">
        <v>4579</v>
      </c>
      <c r="F12219" s="1">
        <v>2</v>
      </c>
      <c r="G12219" s="1">
        <v>12410</v>
      </c>
      <c r="H12219" s="1">
        <v>24820</v>
      </c>
      <c r="I12219" s="1">
        <v>0</v>
      </c>
      <c r="J12219" s="1">
        <v>2</v>
      </c>
      <c r="K12219" s="1">
        <v>0</v>
      </c>
    </row>
    <row r="12220" spans="1:11" x14ac:dyDescent="0.2">
      <c r="A12220" s="1" t="s">
        <v>2004</v>
      </c>
      <c r="B12220" s="1" t="s">
        <v>2088</v>
      </c>
      <c r="C12220" s="1" t="str">
        <f>"66298885382653"</f>
        <v>66298885382653</v>
      </c>
      <c r="D12220" s="1" t="str">
        <f>"5VX-14451-00HB"</f>
        <v>5VX-14451-00HB</v>
      </c>
      <c r="E12220" s="1" t="s">
        <v>4579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</row>
    <row r="12221" spans="1:11" x14ac:dyDescent="0.2">
      <c r="A12221" s="1" t="s">
        <v>2004</v>
      </c>
      <c r="B12221" s="1" t="s">
        <v>2089</v>
      </c>
      <c r="C12221" s="1" t="str">
        <f>"66298885468255"</f>
        <v>66298885468255</v>
      </c>
      <c r="D12221" s="1" t="str">
        <f>"S026"</f>
        <v>S026</v>
      </c>
      <c r="E12221" s="1" t="s">
        <v>4579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</row>
    <row r="12222" spans="1:11" x14ac:dyDescent="0.2">
      <c r="A12222" s="1" t="s">
        <v>2004</v>
      </c>
      <c r="B12222" s="1" t="s">
        <v>2090</v>
      </c>
      <c r="C12222" s="1" t="str">
        <f>"66298885426943"</f>
        <v>66298885426943</v>
      </c>
      <c r="D12222" s="1" t="str">
        <f>"2GS-E4450-00HB"</f>
        <v>2GS-E4450-00HB</v>
      </c>
      <c r="E12222" s="1" t="s">
        <v>4579</v>
      </c>
      <c r="F12222" s="1">
        <v>2</v>
      </c>
      <c r="G12222" s="1">
        <v>2325</v>
      </c>
      <c r="H12222" s="1">
        <v>4650</v>
      </c>
      <c r="I12222" s="1">
        <v>0</v>
      </c>
      <c r="J12222" s="1">
        <v>2</v>
      </c>
      <c r="K12222" s="1">
        <v>0</v>
      </c>
    </row>
    <row r="12223" spans="1:11" x14ac:dyDescent="0.2">
      <c r="A12223" s="1" t="s">
        <v>2004</v>
      </c>
      <c r="B12223" s="1" t="s">
        <v>2091</v>
      </c>
      <c r="C12223" s="1" t="str">
        <f>"66298885511699"</f>
        <v>66298885511699</v>
      </c>
      <c r="D12223" s="1" t="str">
        <f>"13780-34J00HB"</f>
        <v>13780-34J00HB</v>
      </c>
      <c r="E12223" s="1" t="s">
        <v>4579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</row>
    <row r="12224" spans="1:11" x14ac:dyDescent="0.2">
      <c r="A12224" s="1" t="s">
        <v>2004</v>
      </c>
      <c r="B12224" s="1" t="s">
        <v>2091</v>
      </c>
      <c r="C12224" s="1" t="str">
        <f>"66298885518040"</f>
        <v>66298885518040</v>
      </c>
      <c r="D12224" s="1" t="str">
        <f>"S037"</f>
        <v>S037</v>
      </c>
      <c r="E12224" s="1" t="s">
        <v>4579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</row>
    <row r="12225" spans="1:11" x14ac:dyDescent="0.2">
      <c r="A12225" s="1" t="s">
        <v>2004</v>
      </c>
      <c r="B12225" s="1" t="s">
        <v>2092</v>
      </c>
      <c r="C12225" s="1" t="str">
        <f>"66298885568867"</f>
        <v>66298885568867</v>
      </c>
      <c r="D12225" s="1" t="str">
        <f>"13780-45F00-000"</f>
        <v>13780-45F00-000</v>
      </c>
      <c r="E12225" s="1" t="s">
        <v>4579</v>
      </c>
      <c r="F12225" s="1">
        <v>1</v>
      </c>
      <c r="G12225" s="1">
        <v>1123</v>
      </c>
      <c r="H12225" s="1">
        <v>1123</v>
      </c>
      <c r="I12225" s="1">
        <v>0</v>
      </c>
      <c r="J12225" s="1">
        <v>1</v>
      </c>
      <c r="K12225" s="1">
        <v>0</v>
      </c>
    </row>
    <row r="12226" spans="1:11" x14ac:dyDescent="0.2">
      <c r="A12226" s="1" t="s">
        <v>2004</v>
      </c>
      <c r="B12226" s="1" t="s">
        <v>2093</v>
      </c>
      <c r="C12226" s="1" t="str">
        <f>"13780-38301-000"</f>
        <v>13780-38301-000</v>
      </c>
      <c r="D12226" s="1" t="str">
        <f>"13780-38301-000"</f>
        <v>13780-38301-000</v>
      </c>
      <c r="E12226" s="1" t="s">
        <v>4579</v>
      </c>
      <c r="F12226" s="1">
        <v>1</v>
      </c>
      <c r="G12226" s="1">
        <v>1708</v>
      </c>
      <c r="H12226" s="1">
        <v>1708</v>
      </c>
      <c r="I12226" s="1">
        <v>0</v>
      </c>
      <c r="J12226" s="1">
        <v>1</v>
      </c>
      <c r="K12226" s="1">
        <v>0</v>
      </c>
    </row>
    <row r="12227" spans="1:11" x14ac:dyDescent="0.2">
      <c r="A12227" s="1" t="s">
        <v>2004</v>
      </c>
      <c r="B12227" s="1" t="s">
        <v>2094</v>
      </c>
      <c r="C12227" s="1" t="str">
        <f>"66298885609302"</f>
        <v>66298885609302</v>
      </c>
      <c r="D12227" s="1" t="str">
        <f>"A048"</f>
        <v>A048</v>
      </c>
      <c r="E12227" s="1" t="s">
        <v>4579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</row>
    <row r="12228" spans="1:11" x14ac:dyDescent="0.2">
      <c r="A12228" s="1" t="s">
        <v>2004</v>
      </c>
      <c r="B12228" s="1" t="s">
        <v>2095</v>
      </c>
      <c r="C12228" s="1" t="str">
        <f>"13780-30H10-00HB"</f>
        <v>13780-30H10-00HB</v>
      </c>
      <c r="D12228" s="1" t="str">
        <f>"13780-30H10-00HB"</f>
        <v>13780-30H10-00HB</v>
      </c>
      <c r="E12228" s="1" t="s">
        <v>4579</v>
      </c>
      <c r="F12228" s="1">
        <v>1</v>
      </c>
      <c r="G12228" s="1">
        <v>3985</v>
      </c>
      <c r="H12228" s="1">
        <v>3985</v>
      </c>
      <c r="I12228" s="1">
        <v>0</v>
      </c>
      <c r="J12228" s="1">
        <v>1</v>
      </c>
      <c r="K12228" s="1">
        <v>0</v>
      </c>
    </row>
    <row r="12229" spans="1:11" x14ac:dyDescent="0.2">
      <c r="A12229" s="1" t="s">
        <v>2004</v>
      </c>
      <c r="B12229" s="1" t="s">
        <v>2096</v>
      </c>
      <c r="C12229" s="1" t="str">
        <f>"66298885688082"</f>
        <v>66298885688082</v>
      </c>
      <c r="D12229" s="1" t="str">
        <f>"82636"</f>
        <v>82636</v>
      </c>
      <c r="E12229" s="1" t="s">
        <v>4579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</row>
    <row r="12230" spans="1:11" x14ac:dyDescent="0.2">
      <c r="A12230" s="1" t="s">
        <v>2004</v>
      </c>
      <c r="B12230" s="1" t="s">
        <v>2097</v>
      </c>
      <c r="C12230" s="1" t="str">
        <f>"66298885730990"</f>
        <v>66298885730990</v>
      </c>
      <c r="D12230" s="1" t="str">
        <f>"A037"</f>
        <v>A037</v>
      </c>
      <c r="E12230" s="1" t="s">
        <v>4579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</row>
    <row r="12231" spans="1:11" x14ac:dyDescent="0.2">
      <c r="A12231" s="1" t="s">
        <v>2004</v>
      </c>
      <c r="B12231" s="1" t="s">
        <v>2098</v>
      </c>
      <c r="C12231" s="1" t="str">
        <f>"13780-25H00-000"</f>
        <v>13780-25H00-000</v>
      </c>
      <c r="D12231" s="1" t="str">
        <f>"13780-25H00-000"</f>
        <v>13780-25H00-000</v>
      </c>
      <c r="E12231" s="1" t="s">
        <v>4579</v>
      </c>
      <c r="F12231" s="1">
        <v>1</v>
      </c>
      <c r="G12231" s="1">
        <v>3735</v>
      </c>
      <c r="H12231" s="1">
        <v>3735</v>
      </c>
      <c r="I12231" s="1">
        <v>0</v>
      </c>
      <c r="J12231" s="1">
        <v>1</v>
      </c>
      <c r="K12231" s="1">
        <v>0</v>
      </c>
    </row>
    <row r="12232" spans="1:11" ht="30" x14ac:dyDescent="0.2">
      <c r="A12232" s="1" t="s">
        <v>2004</v>
      </c>
      <c r="B12232" s="1" t="s">
        <v>2099</v>
      </c>
      <c r="C12232" s="1" t="str">
        <f>"EMJM20278"</f>
        <v>EMJM20278</v>
      </c>
      <c r="D12232" s="1" t="str">
        <f>"EMJM20278"</f>
        <v>EMJM20278</v>
      </c>
      <c r="E12232" s="1" t="s">
        <v>4579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</row>
    <row r="12233" spans="1:11" x14ac:dyDescent="0.2">
      <c r="A12233" s="1" t="s">
        <v>2004</v>
      </c>
      <c r="B12233" s="1" t="s">
        <v>2100</v>
      </c>
      <c r="C12233" s="1" t="str">
        <f>"12366"</f>
        <v>12366</v>
      </c>
      <c r="D12233" s="1" t="str">
        <f>"12366"</f>
        <v>12366</v>
      </c>
      <c r="E12233" s="1" t="s">
        <v>4579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</row>
    <row r="12234" spans="1:11" x14ac:dyDescent="0.2">
      <c r="A12234" s="1" t="s">
        <v>2004</v>
      </c>
      <c r="B12234" s="1" t="s">
        <v>2101</v>
      </c>
      <c r="C12234" s="1" t="str">
        <f>"66298885808861"</f>
        <v>66298885808861</v>
      </c>
      <c r="D12234" s="1" t="str">
        <f>"PP-30615-000HB"</f>
        <v>PP-30615-000HB</v>
      </c>
      <c r="E12234" s="1" t="s">
        <v>4579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</row>
    <row r="12235" spans="1:11" x14ac:dyDescent="0.2">
      <c r="A12235" s="1" t="s">
        <v>2004</v>
      </c>
      <c r="B12235" s="1" t="s">
        <v>2102</v>
      </c>
      <c r="C12235" s="1" t="str">
        <f>"13781H2C001H000"</f>
        <v>13781H2C001H000</v>
      </c>
      <c r="D12235" s="1" t="str">
        <f>"13781H2C001H000"</f>
        <v>13781H2C001H000</v>
      </c>
      <c r="E12235" s="1" t="s">
        <v>4579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</row>
    <row r="12236" spans="1:11" x14ac:dyDescent="0.2">
      <c r="A12236" s="1" t="s">
        <v>2004</v>
      </c>
      <c r="B12236" s="1" t="s">
        <v>2102</v>
      </c>
      <c r="C12236" s="1" t="str">
        <f>"11993"</f>
        <v>11993</v>
      </c>
      <c r="D12236" s="1" t="str">
        <f>"11993"</f>
        <v>11993</v>
      </c>
      <c r="E12236" s="1" t="s">
        <v>4579</v>
      </c>
      <c r="F12236" s="1">
        <v>1</v>
      </c>
      <c r="G12236" s="1">
        <v>3826.89</v>
      </c>
      <c r="H12236" s="1">
        <v>3827</v>
      </c>
      <c r="I12236" s="1">
        <v>0</v>
      </c>
      <c r="J12236" s="1">
        <v>1</v>
      </c>
      <c r="K12236" s="1">
        <v>0</v>
      </c>
    </row>
    <row r="12237" spans="1:11" x14ac:dyDescent="0.2">
      <c r="A12237" s="1" t="s">
        <v>2004</v>
      </c>
      <c r="B12237" s="1" t="s">
        <v>2103</v>
      </c>
      <c r="C12237" s="1" t="str">
        <f>"66298885849228"</f>
        <v>66298885849228</v>
      </c>
      <c r="D12237" s="1" t="str">
        <f>"11013-0025JP"</f>
        <v>11013-0025JP</v>
      </c>
      <c r="E12237" s="1" t="s">
        <v>4579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</row>
    <row r="12238" spans="1:11" x14ac:dyDescent="0.2">
      <c r="A12238" s="1" t="s">
        <v>2004</v>
      </c>
      <c r="B12238" s="1" t="s">
        <v>2104</v>
      </c>
      <c r="C12238" s="1" t="str">
        <f>"66298885893652"</f>
        <v>66298885893652</v>
      </c>
      <c r="D12238" s="1" t="str">
        <f>"90106015000"</f>
        <v>90106015000</v>
      </c>
      <c r="E12238" s="1" t="s">
        <v>4579</v>
      </c>
      <c r="F12238" s="1">
        <v>4</v>
      </c>
      <c r="G12238" s="1">
        <v>2467</v>
      </c>
      <c r="H12238" s="1">
        <v>9868</v>
      </c>
      <c r="I12238" s="1">
        <v>0</v>
      </c>
      <c r="J12238" s="1">
        <v>4</v>
      </c>
      <c r="K12238" s="1">
        <v>0</v>
      </c>
    </row>
    <row r="12239" spans="1:11" x14ac:dyDescent="0.2">
      <c r="A12239" s="1" t="s">
        <v>2004</v>
      </c>
      <c r="B12239" s="1" t="s">
        <v>2105</v>
      </c>
      <c r="C12239" s="1" t="str">
        <f>"K353352900"</f>
        <v>K353352900</v>
      </c>
      <c r="D12239" s="1" t="str">
        <f>"K353352900"</f>
        <v>K353352900</v>
      </c>
      <c r="E12239" s="1" t="s">
        <v>4579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</row>
    <row r="12240" spans="1:11" x14ac:dyDescent="0.2">
      <c r="A12240" s="1" t="s">
        <v>2004</v>
      </c>
      <c r="B12240" s="1" t="s">
        <v>2106</v>
      </c>
      <c r="C12240" s="1" t="str">
        <f>"7889"</f>
        <v>7889</v>
      </c>
      <c r="D12240" s="1" t="str">
        <f>"7889"</f>
        <v>7889</v>
      </c>
      <c r="E12240" s="1" t="s">
        <v>4579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</row>
    <row r="12241" spans="1:11" x14ac:dyDescent="0.2">
      <c r="A12241" s="1" t="s">
        <v>2004</v>
      </c>
      <c r="B12241" s="1" t="s">
        <v>2107</v>
      </c>
      <c r="C12241" s="1" t="str">
        <f>"1RC-14451-00HB"</f>
        <v>1RC-14451-00HB</v>
      </c>
      <c r="D12241" s="1" t="str">
        <f>"1RC-14451-00HB"</f>
        <v>1RC-14451-00HB</v>
      </c>
      <c r="E12241" s="1" t="s">
        <v>4579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</row>
    <row r="12242" spans="1:11" x14ac:dyDescent="0.2">
      <c r="A12242" s="1" t="s">
        <v>2004</v>
      </c>
      <c r="B12242" s="1" t="s">
        <v>2108</v>
      </c>
      <c r="C12242" s="1" t="str">
        <f>"66298885934567"</f>
        <v>66298885934567</v>
      </c>
      <c r="D12242" s="1" t="str">
        <f>"S022"</f>
        <v>S022</v>
      </c>
      <c r="E12242" s="1" t="s">
        <v>4579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</row>
    <row r="12243" spans="1:11" ht="30" x14ac:dyDescent="0.2">
      <c r="A12243" s="1" t="s">
        <v>2004</v>
      </c>
      <c r="B12243" s="1" t="s">
        <v>2109</v>
      </c>
      <c r="C12243" s="1" t="str">
        <f>"17211-KVX-600"</f>
        <v>17211-KVX-600</v>
      </c>
      <c r="D12243" s="1" t="str">
        <f>"17211-KVX-600"</f>
        <v>17211-KVX-600</v>
      </c>
      <c r="E12243" s="1" t="s">
        <v>4579</v>
      </c>
      <c r="F12243" s="1">
        <v>1</v>
      </c>
      <c r="G12243" s="1">
        <v>1988</v>
      </c>
      <c r="H12243" s="1">
        <v>1988</v>
      </c>
      <c r="I12243" s="1">
        <v>0</v>
      </c>
      <c r="J12243" s="1">
        <v>1</v>
      </c>
      <c r="K12243" s="1">
        <v>0</v>
      </c>
    </row>
    <row r="12244" spans="1:11" ht="30" x14ac:dyDescent="0.2">
      <c r="A12244" s="1" t="s">
        <v>2004</v>
      </c>
      <c r="B12244" s="1" t="s">
        <v>2109</v>
      </c>
      <c r="C12244" s="1" t="str">
        <f>"3080"</f>
        <v>3080</v>
      </c>
      <c r="D12244" s="1" t="str">
        <f>"3080"</f>
        <v>3080</v>
      </c>
      <c r="E12244" s="1" t="s">
        <v>4579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</row>
    <row r="12245" spans="1:11" ht="30" x14ac:dyDescent="0.2">
      <c r="A12245" s="1" t="s">
        <v>2004</v>
      </c>
      <c r="B12245" s="1" t="s">
        <v>2109</v>
      </c>
      <c r="C12245" s="1" t="str">
        <f>"7001"</f>
        <v>7001</v>
      </c>
      <c r="D12245" s="1" t="str">
        <f>"7001"</f>
        <v>7001</v>
      </c>
      <c r="E12245" s="1" t="s">
        <v>4579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</row>
    <row r="12246" spans="1:11" x14ac:dyDescent="0.2">
      <c r="A12246" s="1" t="s">
        <v>2004</v>
      </c>
      <c r="B12246" s="1" t="s">
        <v>2110</v>
      </c>
      <c r="C12246" s="1" t="str">
        <f>"EMHJ52407"</f>
        <v>EMHJ52407</v>
      </c>
      <c r="D12246" s="1" t="str">
        <f>"EMHJ52407"</f>
        <v>EMHJ52407</v>
      </c>
      <c r="E12246" s="1" t="s">
        <v>4579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</row>
    <row r="12247" spans="1:11" x14ac:dyDescent="0.2">
      <c r="A12247" s="1" t="s">
        <v>2004</v>
      </c>
      <c r="B12247" s="1" t="s">
        <v>2111</v>
      </c>
      <c r="C12247" s="1" t="str">
        <f>"13781H40100H000"</f>
        <v>13781H40100H000</v>
      </c>
      <c r="D12247" s="1" t="str">
        <f>"13781H40100H000"</f>
        <v>13781H40100H000</v>
      </c>
      <c r="E12247" s="1" t="s">
        <v>4579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</row>
    <row r="12248" spans="1:11" x14ac:dyDescent="0.2">
      <c r="A12248" s="1" t="s">
        <v>2004</v>
      </c>
      <c r="B12248" s="1" t="s">
        <v>2111</v>
      </c>
      <c r="C12248" s="1" t="str">
        <f>"12893"</f>
        <v>12893</v>
      </c>
      <c r="D12248" s="1" t="str">
        <f>"12893"</f>
        <v>12893</v>
      </c>
      <c r="E12248" s="1" t="s">
        <v>4579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</row>
    <row r="12249" spans="1:11" x14ac:dyDescent="0.2">
      <c r="A12249" s="1" t="s">
        <v>2004</v>
      </c>
      <c r="B12249" s="1" t="s">
        <v>2112</v>
      </c>
      <c r="C12249" s="1" t="str">
        <f>"66298886021071"</f>
        <v>66298886021071</v>
      </c>
      <c r="D12249" s="1" t="str">
        <f>"400174"</f>
        <v>400174</v>
      </c>
      <c r="E12249" s="1" t="s">
        <v>4579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</row>
    <row r="12250" spans="1:11" x14ac:dyDescent="0.2">
      <c r="A12250" s="1" t="s">
        <v>2004</v>
      </c>
      <c r="B12250" s="1" t="s">
        <v>2113</v>
      </c>
      <c r="C12250" s="1" t="str">
        <f>"66298885972280"</f>
        <v>66298885972280</v>
      </c>
      <c r="D12250" s="1" t="str">
        <f>"17211-KRE-900HB"</f>
        <v>17211-KRE-900HB</v>
      </c>
      <c r="E12250" s="1" t="s">
        <v>4579</v>
      </c>
      <c r="F12250" s="1">
        <v>1</v>
      </c>
      <c r="G12250" s="1">
        <v>1447</v>
      </c>
      <c r="H12250" s="1">
        <v>1447</v>
      </c>
      <c r="I12250" s="1">
        <v>0</v>
      </c>
      <c r="J12250" s="1">
        <v>1</v>
      </c>
      <c r="K12250" s="1">
        <v>0</v>
      </c>
    </row>
    <row r="12251" spans="1:11" x14ac:dyDescent="0.2">
      <c r="A12251" s="1" t="s">
        <v>2004</v>
      </c>
      <c r="B12251" s="1" t="s">
        <v>2114</v>
      </c>
      <c r="C12251" s="1" t="str">
        <f>"66298886061186"</f>
        <v>66298886061186</v>
      </c>
      <c r="D12251" s="1" t="str">
        <f>"D073"</f>
        <v>D073</v>
      </c>
      <c r="E12251" s="1" t="s">
        <v>4579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</row>
    <row r="12252" spans="1:11" x14ac:dyDescent="0.2">
      <c r="A12252" s="1" t="s">
        <v>2004</v>
      </c>
      <c r="B12252" s="1" t="s">
        <v>2115</v>
      </c>
      <c r="C12252" s="1" t="str">
        <f>"JA-5810-05HB"</f>
        <v>JA-5810-05HB</v>
      </c>
      <c r="D12252" s="1" t="str">
        <f>"JA-5810-05HB"</f>
        <v>JA-5810-05HB</v>
      </c>
      <c r="E12252" s="1" t="s">
        <v>4579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</row>
    <row r="12253" spans="1:11" x14ac:dyDescent="0.2">
      <c r="A12253" s="1" t="s">
        <v>2004</v>
      </c>
      <c r="B12253" s="1" t="s">
        <v>2116</v>
      </c>
      <c r="C12253" s="1" t="str">
        <f>"66298886145679"</f>
        <v>66298886145679</v>
      </c>
      <c r="D12253" s="1" t="str">
        <f>"DK-1210-09"</f>
        <v>DK-1210-09</v>
      </c>
      <c r="E12253" s="1" t="s">
        <v>4579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</row>
    <row r="12254" spans="1:11" x14ac:dyDescent="0.2">
      <c r="A12254" s="1" t="s">
        <v>2004</v>
      </c>
      <c r="B12254" s="1" t="s">
        <v>2117</v>
      </c>
      <c r="C12254" s="1" t="str">
        <f>"66298886189016"</f>
        <v>66298886189016</v>
      </c>
      <c r="D12254" s="1" t="str">
        <f>"36-DK00-15"</f>
        <v>36-DK00-15</v>
      </c>
      <c r="E12254" s="1" t="s">
        <v>4579</v>
      </c>
      <c r="F12254" s="1">
        <v>1</v>
      </c>
      <c r="G12254" s="1">
        <v>1260</v>
      </c>
      <c r="H12254" s="1">
        <v>1260</v>
      </c>
      <c r="I12254" s="1">
        <v>0</v>
      </c>
      <c r="J12254" s="1">
        <v>1</v>
      </c>
      <c r="K12254" s="1">
        <v>0</v>
      </c>
    </row>
    <row r="12255" spans="1:11" x14ac:dyDescent="0.2">
      <c r="A12255" s="1" t="s">
        <v>2004</v>
      </c>
      <c r="B12255" s="1" t="s">
        <v>2118</v>
      </c>
      <c r="C12255" s="1" t="str">
        <f>"66298886284807"</f>
        <v>66298886284807</v>
      </c>
      <c r="D12255" s="1" t="str">
        <f>"JL-5810-09HB"</f>
        <v>JL-5810-09HB</v>
      </c>
      <c r="E12255" s="1" t="s">
        <v>4579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</row>
    <row r="12256" spans="1:11" ht="30" x14ac:dyDescent="0.2">
      <c r="A12256" s="1" t="s">
        <v>2004</v>
      </c>
      <c r="B12256" s="1" t="s">
        <v>2119</v>
      </c>
      <c r="C12256" s="1" t="str">
        <f>"9421"</f>
        <v>9421</v>
      </c>
      <c r="D12256" s="1" t="str">
        <f>"9421"</f>
        <v>9421</v>
      </c>
      <c r="E12256" s="1" t="s">
        <v>4579</v>
      </c>
      <c r="F12256" s="1">
        <v>1</v>
      </c>
      <c r="G12256" s="1">
        <v>4028.57</v>
      </c>
      <c r="H12256" s="1">
        <v>4029</v>
      </c>
      <c r="I12256" s="1">
        <v>0</v>
      </c>
      <c r="J12256" s="1">
        <v>1</v>
      </c>
      <c r="K12256" s="1">
        <v>0</v>
      </c>
    </row>
    <row r="12257" spans="1:11" x14ac:dyDescent="0.2">
      <c r="A12257" s="1" t="s">
        <v>2004</v>
      </c>
      <c r="B12257" s="1" t="s">
        <v>2120</v>
      </c>
      <c r="C12257" s="1" t="str">
        <f>"66298886242274"</f>
        <v>66298886242274</v>
      </c>
      <c r="D12257" s="1" t="str">
        <f>"S028"</f>
        <v>S028</v>
      </c>
      <c r="E12257" s="1" t="s">
        <v>4579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</row>
    <row r="12258" spans="1:11" x14ac:dyDescent="0.2">
      <c r="A12258" s="1" t="s">
        <v>2004</v>
      </c>
      <c r="B12258" s="1" t="s">
        <v>2120</v>
      </c>
      <c r="C12258" s="1" t="str">
        <f>"7885"</f>
        <v>7885</v>
      </c>
      <c r="D12258" s="1" t="str">
        <f>"7885"</f>
        <v>7885</v>
      </c>
      <c r="E12258" s="1" t="s">
        <v>4579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</row>
    <row r="12259" spans="1:11" x14ac:dyDescent="0.2">
      <c r="A12259" s="1" t="s">
        <v>2004</v>
      </c>
      <c r="B12259" s="1" t="s">
        <v>2121</v>
      </c>
      <c r="C12259" s="1" t="str">
        <f>"7011"</f>
        <v>7011</v>
      </c>
      <c r="D12259" s="1" t="str">
        <f>"7011"</f>
        <v>7011</v>
      </c>
      <c r="E12259" s="1" t="s">
        <v>4579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</row>
    <row r="12260" spans="1:11" x14ac:dyDescent="0.2">
      <c r="A12260" s="1" t="s">
        <v>2004</v>
      </c>
      <c r="B12260" s="1" t="s">
        <v>2122</v>
      </c>
      <c r="C12260" s="1" t="str">
        <f>"66298886329024"</f>
        <v>66298886329024</v>
      </c>
      <c r="D12260" s="1" t="str">
        <f>"17211-M9Q-0001HB"</f>
        <v>17211-M9Q-0001HB</v>
      </c>
      <c r="E12260" s="1" t="s">
        <v>4579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</row>
    <row r="12261" spans="1:11" x14ac:dyDescent="0.2">
      <c r="A12261" s="1" t="s">
        <v>2004</v>
      </c>
      <c r="B12261" s="1" t="s">
        <v>2122</v>
      </c>
      <c r="C12261" s="1" t="str">
        <f>"66298886335213"</f>
        <v>66298886335213</v>
      </c>
      <c r="D12261" s="1" t="str">
        <f>"S052"</f>
        <v>S052</v>
      </c>
      <c r="E12261" s="1" t="s">
        <v>4579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</row>
    <row r="12262" spans="1:11" x14ac:dyDescent="0.2">
      <c r="A12262" s="1" t="s">
        <v>2004</v>
      </c>
      <c r="B12262" s="1" t="s">
        <v>2122</v>
      </c>
      <c r="C12262" s="1" t="str">
        <f>"66298886342105"</f>
        <v>66298886342105</v>
      </c>
      <c r="D12262" s="1" t="str">
        <f>"S005"</f>
        <v>S005</v>
      </c>
      <c r="E12262" s="1" t="s">
        <v>4579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</row>
    <row r="12263" spans="1:11" x14ac:dyDescent="0.2">
      <c r="A12263" s="1" t="s">
        <v>2004</v>
      </c>
      <c r="B12263" s="1" t="s">
        <v>2122</v>
      </c>
      <c r="C12263" s="1" t="str">
        <f>"A010"</f>
        <v>A010</v>
      </c>
      <c r="D12263" s="1" t="str">
        <f>"A010"</f>
        <v>A010</v>
      </c>
      <c r="E12263" s="1" t="s">
        <v>4579</v>
      </c>
      <c r="F12263" s="1">
        <v>1</v>
      </c>
      <c r="G12263" s="1">
        <v>1990</v>
      </c>
      <c r="H12263" s="1">
        <v>1990</v>
      </c>
      <c r="I12263" s="1">
        <v>0</v>
      </c>
      <c r="J12263" s="1">
        <v>1</v>
      </c>
      <c r="K12263" s="1">
        <v>0</v>
      </c>
    </row>
    <row r="12264" spans="1:11" x14ac:dyDescent="0.2">
      <c r="A12264" s="1" t="s">
        <v>2004</v>
      </c>
      <c r="B12264" s="1" t="s">
        <v>2123</v>
      </c>
      <c r="C12264" s="1" t="str">
        <f>"66298886414116"</f>
        <v>66298886414116</v>
      </c>
      <c r="D12264" s="1" t="str">
        <f>"80499"</f>
        <v>80499</v>
      </c>
      <c r="E12264" s="1" t="s">
        <v>4579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</row>
    <row r="12265" spans="1:11" x14ac:dyDescent="0.2">
      <c r="A12265" s="1" t="s">
        <v>2004</v>
      </c>
      <c r="B12265" s="1" t="s">
        <v>2123</v>
      </c>
      <c r="C12265" s="1" t="str">
        <f>"66298886460669"</f>
        <v>66298886460669</v>
      </c>
      <c r="D12265" s="1" t="str">
        <f>"F00010059HB"</f>
        <v>F00010059HB</v>
      </c>
      <c r="E12265" s="1" t="s">
        <v>4579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</row>
    <row r="12266" spans="1:11" x14ac:dyDescent="0.2">
      <c r="A12266" s="1" t="s">
        <v>2004</v>
      </c>
      <c r="B12266" s="1" t="s">
        <v>2123</v>
      </c>
      <c r="C12266" s="1" t="str">
        <f>"66298886466977"</f>
        <v>66298886466977</v>
      </c>
      <c r="D12266" s="1" t="str">
        <f>"S015"</f>
        <v>S015</v>
      </c>
      <c r="E12266" s="1" t="s">
        <v>4579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</row>
    <row r="12267" spans="1:11" x14ac:dyDescent="0.2">
      <c r="A12267" s="1" t="s">
        <v>2004</v>
      </c>
      <c r="B12267" s="1" t="s">
        <v>2124</v>
      </c>
      <c r="C12267" s="1" t="str">
        <f>"66298886525979"</f>
        <v>66298886525979</v>
      </c>
      <c r="D12267" s="1" t="str">
        <f>"D011"</f>
        <v>D011</v>
      </c>
      <c r="E12267" s="1" t="s">
        <v>4579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</row>
    <row r="12268" spans="1:11" x14ac:dyDescent="0.2">
      <c r="A12268" s="1" t="s">
        <v>2004</v>
      </c>
      <c r="B12268" s="1" t="s">
        <v>2125</v>
      </c>
      <c r="C12268" s="1" t="str">
        <f>"66298886569686"</f>
        <v>66298886569686</v>
      </c>
      <c r="D12268" s="1" t="str">
        <f>"A013"</f>
        <v>A013</v>
      </c>
      <c r="E12268" s="1" t="s">
        <v>4579</v>
      </c>
      <c r="F12268" s="1">
        <v>1</v>
      </c>
      <c r="G12268" s="1">
        <v>2350</v>
      </c>
      <c r="H12268" s="1">
        <v>2350</v>
      </c>
      <c r="I12268" s="1">
        <v>0</v>
      </c>
      <c r="J12268" s="1">
        <v>1</v>
      </c>
      <c r="K12268" s="1">
        <v>0</v>
      </c>
    </row>
    <row r="12269" spans="1:11" x14ac:dyDescent="0.2">
      <c r="A12269" s="1" t="s">
        <v>2004</v>
      </c>
      <c r="B12269" s="1" t="s">
        <v>2125</v>
      </c>
      <c r="C12269" s="1" t="str">
        <f>"66298886613055"</f>
        <v>66298886613055</v>
      </c>
      <c r="D12269" s="1" t="str">
        <f>"FILTRO-STORM"</f>
        <v>FILTRO-STORM</v>
      </c>
      <c r="E12269" s="1" t="s">
        <v>4579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</row>
    <row r="12270" spans="1:11" x14ac:dyDescent="0.2">
      <c r="A12270" s="1" t="s">
        <v>2004</v>
      </c>
      <c r="B12270" s="1" t="s">
        <v>2126</v>
      </c>
      <c r="C12270" s="1" t="str">
        <f>"66298886657025"</f>
        <v>66298886657025</v>
      </c>
      <c r="D12270" s="1" t="str">
        <f>"17214-KRF-B40HB"</f>
        <v>17214-KRF-B40HB</v>
      </c>
      <c r="E12270" s="1" t="s">
        <v>4579</v>
      </c>
      <c r="F12270" s="1">
        <v>1</v>
      </c>
      <c r="G12270" s="1">
        <v>2059</v>
      </c>
      <c r="H12270" s="1">
        <v>2059</v>
      </c>
      <c r="I12270" s="1">
        <v>0</v>
      </c>
      <c r="J12270" s="1">
        <v>1</v>
      </c>
      <c r="K12270" s="1">
        <v>0</v>
      </c>
    </row>
    <row r="12271" spans="1:11" x14ac:dyDescent="0.2">
      <c r="A12271" s="1" t="s">
        <v>2004</v>
      </c>
      <c r="B12271" s="1" t="s">
        <v>2127</v>
      </c>
      <c r="C12271" s="1" t="str">
        <f>"66298886700200"</f>
        <v>66298886700200</v>
      </c>
      <c r="D12271" s="1" t="str">
        <f>"A058"</f>
        <v>A058</v>
      </c>
      <c r="E12271" s="1" t="s">
        <v>4579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</row>
    <row r="12272" spans="1:11" x14ac:dyDescent="0.2">
      <c r="A12272" s="1" t="s">
        <v>2004</v>
      </c>
      <c r="B12272" s="1" t="s">
        <v>2128</v>
      </c>
      <c r="C12272" s="1" t="str">
        <f>"66298886741954"</f>
        <v>66298886741954</v>
      </c>
      <c r="D12272" s="1" t="str">
        <f>"13780H37200H000"</f>
        <v>13780H37200H000</v>
      </c>
      <c r="E12272" s="1" t="s">
        <v>4579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</row>
    <row r="12273" spans="1:11" x14ac:dyDescent="0.2">
      <c r="A12273" s="1" t="s">
        <v>2004</v>
      </c>
      <c r="B12273" s="1" t="s">
        <v>2129</v>
      </c>
      <c r="C12273" s="1" t="str">
        <f>"66298886783973"</f>
        <v>66298886783973</v>
      </c>
      <c r="D12273" s="1" t="str">
        <f>"F002-48MMHB"</f>
        <v>F002-48MMHB</v>
      </c>
      <c r="E12273" s="1" t="s">
        <v>4579</v>
      </c>
      <c r="F12273" s="1">
        <v>1</v>
      </c>
      <c r="G12273" s="1">
        <v>2553</v>
      </c>
      <c r="H12273" s="1">
        <v>2553</v>
      </c>
      <c r="I12273" s="1">
        <v>0</v>
      </c>
      <c r="J12273" s="1">
        <v>1</v>
      </c>
      <c r="K12273" s="1">
        <v>0</v>
      </c>
    </row>
    <row r="12274" spans="1:11" x14ac:dyDescent="0.2">
      <c r="A12274" s="1" t="s">
        <v>2004</v>
      </c>
      <c r="B12274" s="1" t="s">
        <v>2130</v>
      </c>
      <c r="C12274" s="1" t="str">
        <f>"F003-35MMHB"</f>
        <v>F003-35MMHB</v>
      </c>
      <c r="D12274" s="1" t="str">
        <f>"F003-35MMHB"</f>
        <v>F003-35MMHB</v>
      </c>
      <c r="E12274" s="1" t="s">
        <v>4579</v>
      </c>
      <c r="F12274" s="1">
        <v>1</v>
      </c>
      <c r="G12274" s="1">
        <v>2106</v>
      </c>
      <c r="H12274" s="1">
        <v>2106</v>
      </c>
      <c r="I12274" s="1">
        <v>0</v>
      </c>
      <c r="J12274" s="1">
        <v>1</v>
      </c>
      <c r="K12274" s="1">
        <v>0</v>
      </c>
    </row>
    <row r="12275" spans="1:11" x14ac:dyDescent="0.2">
      <c r="A12275" s="1" t="s">
        <v>2004</v>
      </c>
      <c r="B12275" s="1" t="s">
        <v>2131</v>
      </c>
      <c r="C12275" s="1" t="str">
        <f>"66298886865966"</f>
        <v>66298886865966</v>
      </c>
      <c r="D12275" s="1" t="str">
        <f>"F001-39MMHB"</f>
        <v>F001-39MMHB</v>
      </c>
      <c r="E12275" s="1" t="s">
        <v>4579</v>
      </c>
      <c r="F12275" s="1">
        <v>3</v>
      </c>
      <c r="G12275" s="1">
        <v>2231</v>
      </c>
      <c r="H12275" s="1">
        <v>6693</v>
      </c>
      <c r="I12275" s="1">
        <v>0</v>
      </c>
      <c r="J12275" s="1">
        <v>3</v>
      </c>
      <c r="K12275" s="1">
        <v>0</v>
      </c>
    </row>
    <row r="12276" spans="1:11" x14ac:dyDescent="0.2">
      <c r="A12276" s="1" t="s">
        <v>2004</v>
      </c>
      <c r="B12276" s="1" t="s">
        <v>2132</v>
      </c>
      <c r="C12276" s="1" t="str">
        <f>"66298886917992"</f>
        <v>66298886917992</v>
      </c>
      <c r="D12276" s="1" t="str">
        <f>"F002-45MMHB"</f>
        <v>F002-45MMHB</v>
      </c>
      <c r="E12276" s="1" t="s">
        <v>4579</v>
      </c>
      <c r="F12276" s="1">
        <v>2</v>
      </c>
      <c r="G12276" s="1">
        <v>2340</v>
      </c>
      <c r="H12276" s="1">
        <v>4680</v>
      </c>
      <c r="I12276" s="1">
        <v>0</v>
      </c>
      <c r="J12276" s="1">
        <v>2</v>
      </c>
      <c r="K12276" s="1">
        <v>0</v>
      </c>
    </row>
    <row r="12277" spans="1:11" x14ac:dyDescent="0.2">
      <c r="A12277" s="1" t="s">
        <v>2004</v>
      </c>
      <c r="B12277" s="1" t="s">
        <v>2133</v>
      </c>
      <c r="C12277" s="1" t="str">
        <f>"66298886955198"</f>
        <v>66298886955198</v>
      </c>
      <c r="D12277" s="1" t="str">
        <f>"1548A"</f>
        <v>1548A</v>
      </c>
      <c r="E12277" s="1" t="s">
        <v>4579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</row>
    <row r="12278" spans="1:11" x14ac:dyDescent="0.2">
      <c r="A12278" s="1" t="s">
        <v>2004</v>
      </c>
      <c r="B12278" s="1" t="s">
        <v>2134</v>
      </c>
      <c r="C12278" s="1" t="str">
        <f>"66298886993097"</f>
        <v>66298886993097</v>
      </c>
      <c r="D12278" s="1" t="str">
        <f>"1658"</f>
        <v>1658</v>
      </c>
      <c r="E12278" s="1" t="s">
        <v>4579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</row>
    <row r="12279" spans="1:11" x14ac:dyDescent="0.2">
      <c r="A12279" s="1" t="s">
        <v>2004</v>
      </c>
      <c r="B12279" s="1" t="s">
        <v>2135</v>
      </c>
      <c r="C12279" s="1" t="str">
        <f>"66298887041741"</f>
        <v>66298887041741</v>
      </c>
      <c r="D12279" s="1" t="str">
        <f>"13780H7A001H000"</f>
        <v>13780H7A001H000</v>
      </c>
      <c r="E12279" s="1" t="s">
        <v>4579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</row>
    <row r="12280" spans="1:11" x14ac:dyDescent="0.2">
      <c r="A12280" s="1" t="s">
        <v>2004</v>
      </c>
      <c r="B12280" s="1" t="s">
        <v>2136</v>
      </c>
      <c r="C12280" s="1" t="str">
        <f>"12894"</f>
        <v>12894</v>
      </c>
      <c r="D12280" s="1" t="str">
        <f>"12894"</f>
        <v>12894</v>
      </c>
      <c r="E12280" s="1" t="s">
        <v>4579</v>
      </c>
      <c r="F12280" s="1">
        <v>1</v>
      </c>
      <c r="G12280" s="1">
        <v>4991.6000000000004</v>
      </c>
      <c r="H12280" s="1">
        <v>4992</v>
      </c>
      <c r="I12280" s="1">
        <v>0</v>
      </c>
      <c r="J12280" s="1">
        <v>1</v>
      </c>
      <c r="K12280" s="1">
        <v>0</v>
      </c>
    </row>
    <row r="12281" spans="1:11" x14ac:dyDescent="0.2">
      <c r="A12281" s="1" t="s">
        <v>2004</v>
      </c>
      <c r="B12281" s="1" t="s">
        <v>2137</v>
      </c>
      <c r="C12281" s="1" t="str">
        <f>"66298887095640"</f>
        <v>66298887095640</v>
      </c>
      <c r="D12281" s="1" t="str">
        <f>"13780-04F00HB"</f>
        <v>13780-04F00HB</v>
      </c>
      <c r="E12281" s="1" t="s">
        <v>4579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</row>
    <row r="12282" spans="1:11" x14ac:dyDescent="0.2">
      <c r="A12282" s="1" t="s">
        <v>2004</v>
      </c>
      <c r="B12282" s="1" t="s">
        <v>2138</v>
      </c>
      <c r="C12282" s="1" t="str">
        <f>"66298887136466"</f>
        <v>66298887136466</v>
      </c>
      <c r="D12282" s="1" t="str">
        <f>"S023"</f>
        <v>S023</v>
      </c>
      <c r="E12282" s="1" t="s">
        <v>4579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</row>
    <row r="12283" spans="1:11" x14ac:dyDescent="0.2">
      <c r="A12283" s="1" t="s">
        <v>2004</v>
      </c>
      <c r="B12283" s="1" t="s">
        <v>2138</v>
      </c>
      <c r="C12283" s="1" t="str">
        <f>"8006"</f>
        <v>8006</v>
      </c>
      <c r="D12283" s="1" t="str">
        <f>"8006"</f>
        <v>8006</v>
      </c>
      <c r="E12283" s="1" t="s">
        <v>4579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</row>
    <row r="12284" spans="1:11" x14ac:dyDescent="0.2">
      <c r="A12284" s="1" t="s">
        <v>2004</v>
      </c>
      <c r="B12284" s="1" t="s">
        <v>2139</v>
      </c>
      <c r="C12284" s="1" t="str">
        <f>"66298887173507"</f>
        <v>66298887173507</v>
      </c>
      <c r="D12284" s="1" t="str">
        <f>"S032"</f>
        <v>S032</v>
      </c>
      <c r="E12284" s="1" t="s">
        <v>4579</v>
      </c>
      <c r="F12284" s="1">
        <v>1</v>
      </c>
      <c r="G12284" s="1">
        <v>2043</v>
      </c>
      <c r="H12284" s="1">
        <v>2043</v>
      </c>
      <c r="I12284" s="1">
        <v>0</v>
      </c>
      <c r="J12284" s="1">
        <v>1</v>
      </c>
      <c r="K12284" s="1">
        <v>0</v>
      </c>
    </row>
    <row r="12285" spans="1:11" x14ac:dyDescent="0.2">
      <c r="A12285" s="1" t="s">
        <v>2004</v>
      </c>
      <c r="B12285" s="1" t="s">
        <v>2140</v>
      </c>
      <c r="C12285" s="1" t="str">
        <f>"66298887269501"</f>
        <v>66298887269501</v>
      </c>
      <c r="D12285" s="1" t="str">
        <f>"17211-KPE-730"</f>
        <v>17211-KPE-730</v>
      </c>
      <c r="E12285" s="1" t="s">
        <v>4579</v>
      </c>
      <c r="F12285" s="1">
        <v>1</v>
      </c>
      <c r="G12285" s="1">
        <v>2915</v>
      </c>
      <c r="H12285" s="1">
        <v>2915</v>
      </c>
      <c r="I12285" s="1">
        <v>0</v>
      </c>
      <c r="J12285" s="1">
        <v>1</v>
      </c>
      <c r="K12285" s="1">
        <v>0</v>
      </c>
    </row>
    <row r="12286" spans="1:11" x14ac:dyDescent="0.2">
      <c r="A12286" s="1" t="s">
        <v>2004</v>
      </c>
      <c r="B12286" s="1" t="s">
        <v>2141</v>
      </c>
      <c r="C12286" s="1" t="str">
        <f>"66298887220007"</f>
        <v>66298887220007</v>
      </c>
      <c r="D12286" s="1" t="str">
        <f>"80751"</f>
        <v>80751</v>
      </c>
      <c r="E12286" s="1" t="s">
        <v>4579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</row>
    <row r="12287" spans="1:11" x14ac:dyDescent="0.2">
      <c r="A12287" s="1" t="s">
        <v>2004</v>
      </c>
      <c r="B12287" s="1" t="s">
        <v>2142</v>
      </c>
      <c r="C12287" s="1" t="str">
        <f>"7507"</f>
        <v>7507</v>
      </c>
      <c r="D12287" s="1" t="str">
        <f>"7507"</f>
        <v>7507</v>
      </c>
      <c r="E12287" s="1" t="s">
        <v>4579</v>
      </c>
      <c r="F12287" s="1">
        <v>0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</row>
    <row r="12288" spans="1:11" x14ac:dyDescent="0.2">
      <c r="A12288" s="1" t="s">
        <v>2004</v>
      </c>
      <c r="B12288" s="1" t="s">
        <v>2143</v>
      </c>
      <c r="C12288" s="1" t="str">
        <f>"66298887347571"</f>
        <v>66298887347571</v>
      </c>
      <c r="D12288" s="1" t="str">
        <f>"17211-KWT-A20HB"</f>
        <v>17211-KWT-A20HB</v>
      </c>
      <c r="E12288" s="1" t="s">
        <v>4579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</row>
    <row r="12289" spans="1:11" x14ac:dyDescent="0.2">
      <c r="A12289" s="1" t="s">
        <v>2004</v>
      </c>
      <c r="B12289" s="1" t="s">
        <v>2144</v>
      </c>
      <c r="C12289" s="1" t="str">
        <f>"66298887309543"</f>
        <v>66298887309543</v>
      </c>
      <c r="D12289" s="1" t="str">
        <f>"17211-KWT-900BR"</f>
        <v>17211-KWT-900BR</v>
      </c>
      <c r="E12289" s="1" t="s">
        <v>4579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</row>
    <row r="12290" spans="1:11" x14ac:dyDescent="0.2">
      <c r="A12290" s="1" t="s">
        <v>2004</v>
      </c>
      <c r="B12290" s="1" t="s">
        <v>2145</v>
      </c>
      <c r="C12290" s="1" t="str">
        <f>"66298887390618"</f>
        <v>66298887390618</v>
      </c>
      <c r="D12290" s="1" t="str">
        <f>"5RM-14451-00HB"</f>
        <v>5RM-14451-00HB</v>
      </c>
      <c r="E12290" s="1" t="s">
        <v>4579</v>
      </c>
      <c r="F12290" s="1">
        <v>2</v>
      </c>
      <c r="G12290" s="1">
        <v>1862</v>
      </c>
      <c r="H12290" s="1">
        <v>3724</v>
      </c>
      <c r="I12290" s="1">
        <v>0</v>
      </c>
      <c r="J12290" s="1">
        <v>2</v>
      </c>
      <c r="K12290" s="1">
        <v>0</v>
      </c>
    </row>
    <row r="12291" spans="1:11" x14ac:dyDescent="0.2">
      <c r="A12291" s="1" t="s">
        <v>2004</v>
      </c>
      <c r="B12291" s="1" t="s">
        <v>2146</v>
      </c>
      <c r="C12291" s="1" t="str">
        <f>"66298887431910"</f>
        <v>66298887431910</v>
      </c>
      <c r="D12291" s="1" t="str">
        <f>"1S4-14451-00HB"</f>
        <v>1S4-14451-00HB</v>
      </c>
      <c r="E12291" s="1" t="s">
        <v>4579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</row>
    <row r="12292" spans="1:11" x14ac:dyDescent="0.2">
      <c r="A12292" s="1" t="s">
        <v>2004</v>
      </c>
      <c r="B12292" s="1" t="s">
        <v>2147</v>
      </c>
      <c r="C12292" s="1" t="str">
        <f>"66298887512225"</f>
        <v>66298887512225</v>
      </c>
      <c r="D12292" s="1" t="str">
        <f>"5VL-E4450-00HB"</f>
        <v>5VL-E4450-00HB</v>
      </c>
      <c r="E12292" s="1" t="s">
        <v>4579</v>
      </c>
      <c r="F12292" s="1">
        <v>1</v>
      </c>
      <c r="G12292" s="1">
        <v>2937</v>
      </c>
      <c r="H12292" s="1">
        <v>2937</v>
      </c>
      <c r="I12292" s="1">
        <v>0</v>
      </c>
      <c r="J12292" s="1">
        <v>1</v>
      </c>
      <c r="K12292" s="1">
        <v>0</v>
      </c>
    </row>
    <row r="12293" spans="1:11" x14ac:dyDescent="0.2">
      <c r="A12293" s="1" t="s">
        <v>2004</v>
      </c>
      <c r="B12293" s="1" t="s">
        <v>2148</v>
      </c>
      <c r="C12293" s="1" t="str">
        <f>"66298887552930"</f>
        <v>66298887552930</v>
      </c>
      <c r="D12293" s="1" t="str">
        <f>"5HH-14450-00HB"</f>
        <v>5HH-14450-00HB</v>
      </c>
      <c r="E12293" s="1" t="s">
        <v>4579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</row>
    <row r="12294" spans="1:11" x14ac:dyDescent="0.2">
      <c r="A12294" s="1" t="s">
        <v>2004</v>
      </c>
      <c r="B12294" s="1" t="s">
        <v>2149</v>
      </c>
      <c r="C12294" s="1" t="str">
        <f>"66298887470077"</f>
        <v>66298887470077</v>
      </c>
      <c r="D12294" s="1" t="str">
        <f>"S010"</f>
        <v>S010</v>
      </c>
      <c r="E12294" s="1" t="s">
        <v>4579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</row>
    <row r="12295" spans="1:11" x14ac:dyDescent="0.2">
      <c r="A12295" s="1" t="s">
        <v>2004</v>
      </c>
      <c r="B12295" s="1" t="s">
        <v>2150</v>
      </c>
      <c r="C12295" s="1" t="str">
        <f>"66298887589615"</f>
        <v>66298887589615</v>
      </c>
      <c r="D12295" s="1" t="str">
        <f>"5KA-E4450-00"</f>
        <v>5KA-E4450-00</v>
      </c>
      <c r="E12295" s="1" t="s">
        <v>4579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</row>
    <row r="12296" spans="1:11" x14ac:dyDescent="0.2">
      <c r="A12296" s="1" t="s">
        <v>2004</v>
      </c>
      <c r="B12296" s="1" t="s">
        <v>2151</v>
      </c>
      <c r="C12296" s="1" t="str">
        <f>"66298887628121"</f>
        <v>66298887628121</v>
      </c>
      <c r="D12296" s="1" t="str">
        <f>"4VP-E4451-00HB"</f>
        <v>4VP-E4451-00HB</v>
      </c>
      <c r="E12296" s="1" t="s">
        <v>4579</v>
      </c>
      <c r="F12296" s="1">
        <v>1</v>
      </c>
      <c r="G12296" s="1">
        <v>1237</v>
      </c>
      <c r="H12296" s="1">
        <v>1237</v>
      </c>
      <c r="I12296" s="1">
        <v>0</v>
      </c>
      <c r="J12296" s="1">
        <v>1</v>
      </c>
      <c r="K12296" s="1">
        <v>0</v>
      </c>
    </row>
    <row r="12297" spans="1:11" x14ac:dyDescent="0.2">
      <c r="A12297" s="1" t="s">
        <v>2004</v>
      </c>
      <c r="B12297" s="1" t="s">
        <v>2152</v>
      </c>
      <c r="C12297" s="1" t="str">
        <f>"66298887670003"</f>
        <v>66298887670003</v>
      </c>
      <c r="D12297" s="1" t="str">
        <f>"5S9-E4451-00HB"</f>
        <v>5S9-E4451-00HB</v>
      </c>
      <c r="E12297" s="1" t="s">
        <v>4579</v>
      </c>
      <c r="F12297" s="1">
        <v>1</v>
      </c>
      <c r="G12297" s="1">
        <v>2850</v>
      </c>
      <c r="H12297" s="1">
        <v>2850</v>
      </c>
      <c r="I12297" s="1">
        <v>0</v>
      </c>
      <c r="J12297" s="1">
        <v>1</v>
      </c>
      <c r="K12297" s="1">
        <v>0</v>
      </c>
    </row>
    <row r="12298" spans="1:11" x14ac:dyDescent="0.2">
      <c r="A12298" s="1" t="s">
        <v>2004</v>
      </c>
      <c r="B12298" s="1" t="s">
        <v>2153</v>
      </c>
      <c r="C12298" s="1" t="str">
        <f>"66298887722105"</f>
        <v>66298887722105</v>
      </c>
      <c r="D12298" s="1" t="str">
        <f>"20P-E4450-00HB"</f>
        <v>20P-E4450-00HB</v>
      </c>
      <c r="E12298" s="1" t="s">
        <v>4579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</row>
    <row r="12299" spans="1:11" x14ac:dyDescent="0.2">
      <c r="A12299" s="1" t="s">
        <v>2004</v>
      </c>
      <c r="B12299" s="1" t="s">
        <v>2153</v>
      </c>
      <c r="C12299" s="1" t="str">
        <f>"66298887733535"</f>
        <v>66298887733535</v>
      </c>
      <c r="D12299" s="1" t="str">
        <f>"S055"</f>
        <v>S055</v>
      </c>
      <c r="E12299" s="1" t="s">
        <v>4579</v>
      </c>
      <c r="F12299" s="1">
        <v>3</v>
      </c>
      <c r="G12299" s="1">
        <v>2979</v>
      </c>
      <c r="H12299" s="1">
        <v>8937</v>
      </c>
      <c r="I12299" s="1">
        <v>0</v>
      </c>
      <c r="J12299" s="1">
        <v>3</v>
      </c>
      <c r="K12299" s="1">
        <v>0</v>
      </c>
    </row>
    <row r="12300" spans="1:11" x14ac:dyDescent="0.2">
      <c r="A12300" s="1" t="s">
        <v>2004</v>
      </c>
      <c r="B12300" s="1" t="s">
        <v>2154</v>
      </c>
      <c r="C12300" s="1" t="str">
        <f>"66298887792074"</f>
        <v>66298887792074</v>
      </c>
      <c r="D12300" s="1" t="str">
        <f>"1WD-E4451-00HB"</f>
        <v>1WD-E4451-00HB</v>
      </c>
      <c r="E12300" s="1" t="s">
        <v>4579</v>
      </c>
      <c r="F12300" s="1">
        <v>2</v>
      </c>
      <c r="G12300" s="1">
        <v>3768.5</v>
      </c>
      <c r="H12300" s="1">
        <v>7537</v>
      </c>
      <c r="I12300" s="1">
        <v>0</v>
      </c>
      <c r="J12300" s="1">
        <v>2</v>
      </c>
      <c r="K12300" s="1">
        <v>0</v>
      </c>
    </row>
    <row r="12301" spans="1:11" x14ac:dyDescent="0.2">
      <c r="A12301" s="1" t="s">
        <v>2004</v>
      </c>
      <c r="B12301" s="1" t="s">
        <v>2155</v>
      </c>
      <c r="C12301" s="1" t="str">
        <f>"66298887834607"</f>
        <v>66298887834607</v>
      </c>
      <c r="D12301" s="1" t="str">
        <f>"ZNT22-F14-405"</f>
        <v>ZNT22-F14-405</v>
      </c>
      <c r="E12301" s="1" t="s">
        <v>4579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</row>
    <row r="12302" spans="1:11" x14ac:dyDescent="0.2">
      <c r="A12302" s="1" t="s">
        <v>2004</v>
      </c>
      <c r="B12302" s="1" t="s">
        <v>2156</v>
      </c>
      <c r="C12302" s="1" t="str">
        <f>"44360-05760-000"</f>
        <v>44360-05760-000</v>
      </c>
      <c r="D12302" s="1" t="str">
        <f>"44360-05760-000"</f>
        <v>44360-05760-000</v>
      </c>
      <c r="E12302" s="1" t="s">
        <v>4579</v>
      </c>
      <c r="F12302" s="1">
        <v>5</v>
      </c>
      <c r="G12302" s="1">
        <v>351</v>
      </c>
      <c r="H12302" s="1">
        <v>1755</v>
      </c>
      <c r="I12302" s="1">
        <v>0</v>
      </c>
      <c r="J12302" s="1">
        <v>5</v>
      </c>
      <c r="K12302" s="1">
        <v>0</v>
      </c>
    </row>
    <row r="12303" spans="1:11" ht="30" x14ac:dyDescent="0.2">
      <c r="A12303" s="1" t="s">
        <v>2004</v>
      </c>
      <c r="B12303" s="1" t="s">
        <v>2157</v>
      </c>
      <c r="C12303" s="1" t="str">
        <f>"DT171814"</f>
        <v>DT171814</v>
      </c>
      <c r="D12303" s="1" t="str">
        <f>"DT171814"</f>
        <v>DT171814</v>
      </c>
      <c r="E12303" s="1" t="s">
        <v>4579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</row>
    <row r="12304" spans="1:11" x14ac:dyDescent="0.2">
      <c r="A12304" s="1" t="s">
        <v>2004</v>
      </c>
      <c r="B12304" s="1" t="s">
        <v>2158</v>
      </c>
      <c r="C12304" s="1" t="str">
        <f>"67950194117066"</f>
        <v>67950194117066</v>
      </c>
      <c r="D12304" s="1" t="str">
        <f>"P-AP6S21-01"</f>
        <v>P-AP6S21-01</v>
      </c>
      <c r="E12304" s="1" t="s">
        <v>4579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</row>
    <row r="12305" spans="1:11" x14ac:dyDescent="0.2">
      <c r="A12305" s="1" t="s">
        <v>2004</v>
      </c>
      <c r="B12305" s="1" t="s">
        <v>2159</v>
      </c>
      <c r="C12305" s="1" t="str">
        <f>"67950194131162"</f>
        <v>67950194131162</v>
      </c>
      <c r="D12305" s="1" t="str">
        <f>"P-AP10S16-0R"</f>
        <v>P-AP10S16-0R</v>
      </c>
      <c r="E12305" s="1" t="s">
        <v>4579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</row>
    <row r="12306" spans="1:11" ht="30" x14ac:dyDescent="0.2">
      <c r="A12306" s="1" t="s">
        <v>2004</v>
      </c>
      <c r="B12306" s="1" t="s">
        <v>2160</v>
      </c>
      <c r="C12306" s="1" t="str">
        <f>"67950194190273"</f>
        <v>67950194190273</v>
      </c>
      <c r="D12306" s="1" t="str">
        <f>"P-BE3N15-01"</f>
        <v>P-BE3N15-01</v>
      </c>
      <c r="E12306" s="1" t="s">
        <v>4579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</row>
    <row r="12307" spans="1:11" x14ac:dyDescent="0.2">
      <c r="A12307" s="1" t="s">
        <v>2004</v>
      </c>
      <c r="B12307" s="1" t="s">
        <v>2161</v>
      </c>
      <c r="C12307" s="1" t="str">
        <f>"67950194204556"</f>
        <v>67950194204556</v>
      </c>
      <c r="D12307" s="1" t="str">
        <f>"P-BE6N15-01"</f>
        <v>P-BE6N15-01</v>
      </c>
      <c r="E12307" s="1" t="s">
        <v>4579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</row>
    <row r="12308" spans="1:11" ht="30" x14ac:dyDescent="0.2">
      <c r="A12308" s="1" t="s">
        <v>2004</v>
      </c>
      <c r="B12308" s="1" t="s">
        <v>2162</v>
      </c>
      <c r="C12308" s="1" t="str">
        <f>"67950194212682"</f>
        <v>67950194212682</v>
      </c>
      <c r="D12308" s="1" t="str">
        <f>"P-BE5N20-01"</f>
        <v>P-BE5N20-01</v>
      </c>
      <c r="E12308" s="1" t="s">
        <v>4579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</row>
    <row r="12309" spans="1:11" ht="30" x14ac:dyDescent="0.2">
      <c r="A12309" s="1" t="s">
        <v>2004</v>
      </c>
      <c r="B12309" s="1" t="s">
        <v>2163</v>
      </c>
      <c r="C12309" s="1" t="str">
        <f>"67950194243716"</f>
        <v>67950194243716</v>
      </c>
      <c r="D12309" s="1" t="str">
        <f>"P-BM8E20-01"</f>
        <v>P-BM8E20-01</v>
      </c>
      <c r="E12309" s="1" t="s">
        <v>4579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</row>
    <row r="12310" spans="1:11" x14ac:dyDescent="0.2">
      <c r="A12310" s="1" t="s">
        <v>2004</v>
      </c>
      <c r="B12310" s="1" t="s">
        <v>2164</v>
      </c>
      <c r="C12310" s="1" t="str">
        <f>"67950194259721"</f>
        <v>67950194259721</v>
      </c>
      <c r="D12310" s="1" t="str">
        <f>"P-BM8S09-01"</f>
        <v>P-BM8S09-01</v>
      </c>
      <c r="E12310" s="1" t="s">
        <v>4579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</row>
    <row r="12311" spans="1:11" ht="30" x14ac:dyDescent="0.2">
      <c r="A12311" s="1" t="s">
        <v>2004</v>
      </c>
      <c r="B12311" s="1" t="s">
        <v>2165</v>
      </c>
      <c r="C12311" s="1" t="str">
        <f>"67950194278735"</f>
        <v>67950194278735</v>
      </c>
      <c r="D12311" s="1" t="str">
        <f>"P-BM3N20-01"</f>
        <v>P-BM3N20-01</v>
      </c>
      <c r="E12311" s="1" t="s">
        <v>4579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</row>
    <row r="12312" spans="1:11" ht="30" x14ac:dyDescent="0.2">
      <c r="A12312" s="1" t="s">
        <v>2004</v>
      </c>
      <c r="B12312" s="1" t="s">
        <v>2166</v>
      </c>
      <c r="C12312" s="1" t="str">
        <f>"67950194340110"</f>
        <v>67950194340110</v>
      </c>
      <c r="D12312" s="1" t="str">
        <f>"P-BM12E13-01"</f>
        <v>P-BM12E13-01</v>
      </c>
      <c r="E12312" s="1" t="s">
        <v>4579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</row>
    <row r="12313" spans="1:11" ht="30" x14ac:dyDescent="0.2">
      <c r="A12313" s="1" t="s">
        <v>2004</v>
      </c>
      <c r="B12313" s="1" t="s">
        <v>2167</v>
      </c>
      <c r="C12313" s="1" t="str">
        <f>"67950194341651"</f>
        <v>67950194341651</v>
      </c>
      <c r="D12313" s="1" t="str">
        <f>"P-BM10S10-0R"</f>
        <v>P-BM10S10-0R</v>
      </c>
      <c r="E12313" s="1" t="s">
        <v>4579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</row>
    <row r="12314" spans="1:11" ht="30" x14ac:dyDescent="0.2">
      <c r="A12314" s="1" t="s">
        <v>2004</v>
      </c>
      <c r="B12314" s="1" t="s">
        <v>2168</v>
      </c>
      <c r="C12314" s="1" t="str">
        <f>"67950194344456"</f>
        <v>67950194344456</v>
      </c>
      <c r="D12314" s="1" t="str">
        <f>"P-BM10S20-0R"</f>
        <v>P-BM10S20-0R</v>
      </c>
      <c r="E12314" s="1" t="s">
        <v>4579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</row>
    <row r="12315" spans="1:11" ht="30" x14ac:dyDescent="0.2">
      <c r="A12315" s="1" t="s">
        <v>2004</v>
      </c>
      <c r="B12315" s="1" t="s">
        <v>2169</v>
      </c>
      <c r="C12315" s="1" t="str">
        <f>"67950194349718"</f>
        <v>67950194349718</v>
      </c>
      <c r="D12315" s="1" t="str">
        <f>"P-CF2N20-01"</f>
        <v>P-CF2N20-01</v>
      </c>
      <c r="E12315" s="1" t="s">
        <v>4579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</row>
    <row r="12316" spans="1:11" ht="30" x14ac:dyDescent="0.2">
      <c r="A12316" s="1" t="s">
        <v>2004</v>
      </c>
      <c r="B12316" s="1" t="s">
        <v>2170</v>
      </c>
      <c r="C12316" s="1" t="str">
        <f>"67950194407671"</f>
        <v>67950194407671</v>
      </c>
      <c r="D12316" s="1" t="str">
        <f>"P-CF6N14-01"</f>
        <v>P-CF6N14-01</v>
      </c>
      <c r="E12316" s="1" t="s">
        <v>4579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</row>
    <row r="12317" spans="1:11" ht="30" x14ac:dyDescent="0.2">
      <c r="A12317" s="1" t="s">
        <v>2004</v>
      </c>
      <c r="B12317" s="1" t="s">
        <v>2171</v>
      </c>
      <c r="C12317" s="1" t="str">
        <f>"67950194429895"</f>
        <v>67950194429895</v>
      </c>
      <c r="D12317" s="1" t="str">
        <f>"P-H65S19-01"</f>
        <v>P-H65S19-01</v>
      </c>
      <c r="E12317" s="1" t="s">
        <v>4579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</row>
    <row r="12318" spans="1:11" ht="30" x14ac:dyDescent="0.2">
      <c r="A12318" s="1" t="s">
        <v>2004</v>
      </c>
      <c r="B12318" s="1" t="s">
        <v>2172</v>
      </c>
      <c r="C12318" s="1" t="str">
        <f>"67950194465823"</f>
        <v>67950194465823</v>
      </c>
      <c r="D12318" s="1" t="str">
        <f>"P-H10S08-0R"</f>
        <v>P-H10S08-0R</v>
      </c>
      <c r="E12318" s="1" t="s">
        <v>4579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</row>
    <row r="12319" spans="1:11" ht="30" x14ac:dyDescent="0.2">
      <c r="A12319" s="1" t="s">
        <v>2004</v>
      </c>
      <c r="B12319" s="1" t="s">
        <v>2173</v>
      </c>
      <c r="C12319" s="1" t="str">
        <f>"67950194467313"</f>
        <v>67950194467313</v>
      </c>
      <c r="D12319" s="1" t="str">
        <f>"R-H10S18-0R"</f>
        <v>R-H10S18-0R</v>
      </c>
      <c r="E12319" s="1" t="s">
        <v>4579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</row>
    <row r="12320" spans="1:11" ht="30" x14ac:dyDescent="0.2">
      <c r="A12320" s="1" t="s">
        <v>2004</v>
      </c>
      <c r="B12320" s="1" t="s">
        <v>2174</v>
      </c>
      <c r="C12320" s="1" t="str">
        <f>"67950194477543"</f>
        <v>67950194477543</v>
      </c>
      <c r="D12320" s="1" t="str">
        <f>"P-H2S11-01"</f>
        <v>P-H2S11-01</v>
      </c>
      <c r="E12320" s="1" t="s">
        <v>4579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</row>
    <row r="12321" spans="1:11" ht="30" x14ac:dyDescent="0.2">
      <c r="A12321" s="1" t="s">
        <v>2004</v>
      </c>
      <c r="B12321" s="1" t="s">
        <v>2175</v>
      </c>
      <c r="C12321" s="1" t="str">
        <f>"67950194518002"</f>
        <v>67950194518002</v>
      </c>
      <c r="D12321" s="1" t="str">
        <f>"R-H5S13-01"</f>
        <v>R-H5S13-01</v>
      </c>
      <c r="E12321" s="1" t="s">
        <v>4579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</row>
    <row r="12322" spans="1:11" ht="30" x14ac:dyDescent="0.2">
      <c r="A12322" s="1" t="s">
        <v>2004</v>
      </c>
      <c r="B12322" s="1" t="s">
        <v>2176</v>
      </c>
      <c r="C12322" s="1" t="str">
        <f>"67950194542151"</f>
        <v>67950194542151</v>
      </c>
      <c r="D12322" s="1" t="str">
        <f>"R-H5N20-01"</f>
        <v>R-H5N20-01</v>
      </c>
      <c r="E12322" s="1" t="s">
        <v>4579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</row>
    <row r="12323" spans="1:11" x14ac:dyDescent="0.2">
      <c r="A12323" s="1" t="s">
        <v>2004</v>
      </c>
      <c r="B12323" s="1" t="s">
        <v>2177</v>
      </c>
      <c r="C12323" s="1" t="str">
        <f>"67950194560961"</f>
        <v>67950194560961</v>
      </c>
      <c r="D12323" s="1" t="str">
        <f>"P-H6S07-0R"</f>
        <v>P-H6S07-0R</v>
      </c>
      <c r="E12323" s="1" t="s">
        <v>4579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</row>
    <row r="12324" spans="1:11" ht="30" x14ac:dyDescent="0.2">
      <c r="A12324" s="1" t="s">
        <v>2004</v>
      </c>
      <c r="B12324" s="1" t="s">
        <v>2178</v>
      </c>
      <c r="C12324" s="1" t="str">
        <f>"67950194565206"</f>
        <v>67950194565206</v>
      </c>
      <c r="D12324" s="1" t="str">
        <f>"P-H75SC21-01"</f>
        <v>P-H75SC21-01</v>
      </c>
      <c r="E12324" s="1" t="s">
        <v>4579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</row>
    <row r="12325" spans="1:11" ht="30" x14ac:dyDescent="0.2">
      <c r="A12325" s="1" t="s">
        <v>2004</v>
      </c>
      <c r="B12325" s="1" t="s">
        <v>2179</v>
      </c>
      <c r="C12325" s="1" t="str">
        <f>"67950194596035"</f>
        <v>67950194596035</v>
      </c>
      <c r="D12325" s="1" t="str">
        <f>"P-K2S08-01"</f>
        <v>P-K2S08-01</v>
      </c>
      <c r="E12325" s="1" t="s">
        <v>4579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</row>
    <row r="12326" spans="1:11" ht="30" x14ac:dyDescent="0.2">
      <c r="A12326" s="1" t="s">
        <v>2004</v>
      </c>
      <c r="B12326" s="1" t="s">
        <v>2180</v>
      </c>
      <c r="C12326" s="1" t="str">
        <f>"67950194620647"</f>
        <v>67950194620647</v>
      </c>
      <c r="D12326" s="1" t="str">
        <f>"P-K4S18-01"</f>
        <v>P-K4S18-01</v>
      </c>
      <c r="E12326" s="1" t="s">
        <v>4579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</row>
    <row r="12327" spans="1:11" ht="30" x14ac:dyDescent="0.2">
      <c r="A12327" s="1" t="s">
        <v>2004</v>
      </c>
      <c r="B12327" s="1" t="s">
        <v>2181</v>
      </c>
      <c r="C12327" s="1" t="str">
        <f>"67950194633236"</f>
        <v>67950194633236</v>
      </c>
      <c r="D12327" s="1" t="str">
        <f>"P-K6N15-01"</f>
        <v>P-K6N15-01</v>
      </c>
      <c r="E12327" s="1" t="s">
        <v>4579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</row>
    <row r="12328" spans="1:11" ht="30" x14ac:dyDescent="0.2">
      <c r="A12328" s="1" t="s">
        <v>2004</v>
      </c>
      <c r="B12328" s="1" t="s">
        <v>2182</v>
      </c>
      <c r="C12328" s="1" t="str">
        <f>"67950194641131"</f>
        <v>67950194641131</v>
      </c>
      <c r="D12328" s="1" t="str">
        <f>"P-K6N06-01"</f>
        <v>P-K6N06-01</v>
      </c>
      <c r="E12328" s="1" t="s">
        <v>4579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</row>
    <row r="12329" spans="1:11" ht="30" x14ac:dyDescent="0.2">
      <c r="A12329" s="1" t="s">
        <v>2004</v>
      </c>
      <c r="B12329" s="1" t="s">
        <v>2183</v>
      </c>
      <c r="C12329" s="1" t="str">
        <f>"67950194661490"</f>
        <v>67950194661490</v>
      </c>
      <c r="D12329" s="1" t="str">
        <f>"P-K10S10-0R"</f>
        <v>P-K10S10-0R</v>
      </c>
      <c r="E12329" s="1" t="s">
        <v>4579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</row>
    <row r="12330" spans="1:11" ht="30" x14ac:dyDescent="0.2">
      <c r="A12330" s="1" t="s">
        <v>2004</v>
      </c>
      <c r="B12330" s="1" t="s">
        <v>2184</v>
      </c>
      <c r="C12330" s="1" t="str">
        <f>"67950194694837"</f>
        <v>67950194694837</v>
      </c>
      <c r="D12330" s="1" t="str">
        <f>"R-K10S03-01"</f>
        <v>R-K10S03-01</v>
      </c>
      <c r="E12330" s="1" t="s">
        <v>4579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</row>
    <row r="12331" spans="1:11" ht="30" x14ac:dyDescent="0.2">
      <c r="A12331" s="1" t="s">
        <v>2004</v>
      </c>
      <c r="B12331" s="1" t="s">
        <v>2185</v>
      </c>
      <c r="C12331" s="1" t="str">
        <f>"67950194731611"</f>
        <v>67950194731611</v>
      </c>
      <c r="D12331" s="1" t="str">
        <f>"P-K9N18-01"</f>
        <v>P-K9N18-01</v>
      </c>
      <c r="E12331" s="1" t="s">
        <v>4579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</row>
    <row r="12332" spans="1:11" ht="30" x14ac:dyDescent="0.2">
      <c r="A12332" s="1" t="s">
        <v>2004</v>
      </c>
      <c r="B12332" s="1" t="s">
        <v>2186</v>
      </c>
      <c r="C12332" s="1" t="str">
        <f>"67950194767178"</f>
        <v>67950194767178</v>
      </c>
      <c r="D12332" s="1" t="str">
        <f>"P-K10S16-0R"</f>
        <v>P-K10S16-0R</v>
      </c>
      <c r="E12332" s="1" t="s">
        <v>4579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</row>
    <row r="12333" spans="1:11" x14ac:dyDescent="0.2">
      <c r="A12333" s="1" t="s">
        <v>2004</v>
      </c>
      <c r="B12333" s="1" t="s">
        <v>2187</v>
      </c>
      <c r="C12333" s="1" t="str">
        <f>"67950194774072"</f>
        <v>67950194774072</v>
      </c>
      <c r="D12333" s="1" t="str">
        <f>"P-K6S09-0R"</f>
        <v>P-K6S09-0R</v>
      </c>
      <c r="E12333" s="1" t="s">
        <v>4579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</row>
    <row r="12334" spans="1:11" ht="45" x14ac:dyDescent="0.2">
      <c r="A12334" s="1" t="s">
        <v>2004</v>
      </c>
      <c r="B12334" s="1" t="s">
        <v>2188</v>
      </c>
      <c r="C12334" s="1" t="str">
        <f>"67950194811661"</f>
        <v>67950194811661</v>
      </c>
      <c r="D12334" s="1" t="str">
        <f>"P-KT3N18-01"</f>
        <v>P-KT3N18-01</v>
      </c>
      <c r="E12334" s="1" t="s">
        <v>4579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</row>
    <row r="12335" spans="1:11" ht="30" x14ac:dyDescent="0.2">
      <c r="A12335" s="1" t="s">
        <v>2004</v>
      </c>
      <c r="B12335" s="1" t="s">
        <v>2189</v>
      </c>
      <c r="C12335" s="1" t="str">
        <f>"67950194860095"</f>
        <v>67950194860095</v>
      </c>
      <c r="D12335" s="1" t="str">
        <f>"R-KT1SM11-01"</f>
        <v>R-KT1SM11-01</v>
      </c>
      <c r="E12335" s="1" t="s">
        <v>4579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</row>
    <row r="12336" spans="1:11" ht="30" x14ac:dyDescent="0.2">
      <c r="A12336" s="1" t="s">
        <v>2004</v>
      </c>
      <c r="B12336" s="1" t="s">
        <v>2190</v>
      </c>
      <c r="C12336" s="1" t="str">
        <f>"67950194773163"</f>
        <v>67950194773163</v>
      </c>
      <c r="D12336" s="1" t="str">
        <f>"P-KT12E13-01"</f>
        <v>P-KT12E13-01</v>
      </c>
      <c r="E12336" s="1" t="s">
        <v>4579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</row>
    <row r="12337" spans="1:11" x14ac:dyDescent="0.2">
      <c r="A12337" s="1" t="s">
        <v>2004</v>
      </c>
      <c r="B12337" s="1" t="s">
        <v>2191</v>
      </c>
      <c r="C12337" s="1" t="str">
        <f>"67950194872239"</f>
        <v>67950194872239</v>
      </c>
      <c r="D12337" s="1" t="str">
        <f>"P-Y3S15-01"</f>
        <v>P-Y3S15-01</v>
      </c>
      <c r="E12337" s="1" t="s">
        <v>4579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</row>
    <row r="12338" spans="1:11" ht="30" x14ac:dyDescent="0.2">
      <c r="A12338" s="1" t="s">
        <v>2004</v>
      </c>
      <c r="B12338" s="1" t="s">
        <v>2192</v>
      </c>
      <c r="C12338" s="1" t="str">
        <f>"67950194164490"</f>
        <v>67950194164490</v>
      </c>
      <c r="D12338" s="1" t="str">
        <f>"P-BJ4N22-01"</f>
        <v>P-BJ4N22-01</v>
      </c>
      <c r="E12338" s="1" t="s">
        <v>4579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</row>
    <row r="12339" spans="1:11" ht="30" x14ac:dyDescent="0.2">
      <c r="A12339" s="1" t="s">
        <v>2004</v>
      </c>
      <c r="B12339" s="1" t="s">
        <v>2193</v>
      </c>
      <c r="C12339" s="1" t="str">
        <f>"67950194873809"</f>
        <v>67950194873809</v>
      </c>
      <c r="D12339" s="1" t="str">
        <f>"R-RE4N19-01"</f>
        <v>R-RE4N19-01</v>
      </c>
      <c r="E12339" s="1" t="s">
        <v>4579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</row>
    <row r="12340" spans="1:11" ht="30" x14ac:dyDescent="0.2">
      <c r="A12340" s="1" t="s">
        <v>2004</v>
      </c>
      <c r="B12340" s="1" t="s">
        <v>2194</v>
      </c>
      <c r="C12340" s="1" t="str">
        <f>"67950194914910"</f>
        <v>67950194914910</v>
      </c>
      <c r="D12340" s="1" t="str">
        <f>"R-RE65N18-01"</f>
        <v>R-RE65N18-01</v>
      </c>
      <c r="E12340" s="1" t="s">
        <v>4579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</row>
    <row r="12341" spans="1:11" x14ac:dyDescent="0.2">
      <c r="A12341" s="1" t="s">
        <v>2004</v>
      </c>
      <c r="B12341" s="1" t="s">
        <v>2195</v>
      </c>
      <c r="C12341" s="1" t="str">
        <f>"67950195059366"</f>
        <v>67950195059366</v>
      </c>
      <c r="D12341" s="1" t="str">
        <f>"P-S6S06-01"</f>
        <v>P-S6S06-01</v>
      </c>
      <c r="E12341" s="1" t="s">
        <v>4579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</row>
    <row r="12342" spans="1:11" ht="30" x14ac:dyDescent="0.2">
      <c r="A12342" s="1" t="s">
        <v>2004</v>
      </c>
      <c r="B12342" s="1" t="s">
        <v>2196</v>
      </c>
      <c r="C12342" s="1" t="str">
        <f>"67950194969736"</f>
        <v>67950194969736</v>
      </c>
      <c r="D12342" s="1" t="str">
        <f>"P-S10S17-01"</f>
        <v>P-S10S17-01</v>
      </c>
      <c r="E12342" s="1" t="s">
        <v>4579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</row>
    <row r="12343" spans="1:11" ht="30" x14ac:dyDescent="0.2">
      <c r="A12343" s="1" t="s">
        <v>2004</v>
      </c>
      <c r="B12343" s="1" t="s">
        <v>2197</v>
      </c>
      <c r="C12343" s="1" t="str">
        <f>"67950194972634"</f>
        <v>67950194972634</v>
      </c>
      <c r="D12343" s="1" t="str">
        <f>"P-S6S11-0R"</f>
        <v>P-S6S11-0R</v>
      </c>
      <c r="E12343" s="1" t="s">
        <v>4579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</row>
    <row r="12344" spans="1:11" ht="30" x14ac:dyDescent="0.2">
      <c r="A12344" s="1" t="s">
        <v>2004</v>
      </c>
      <c r="B12344" s="1" t="s">
        <v>2198</v>
      </c>
      <c r="C12344" s="1" t="str">
        <f>"67950195039636"</f>
        <v>67950195039636</v>
      </c>
      <c r="D12344" s="1" t="str">
        <f>"P-S10S09-0R"</f>
        <v>P-S10S09-0R</v>
      </c>
      <c r="E12344" s="1" t="s">
        <v>4579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</row>
    <row r="12345" spans="1:11" ht="30" x14ac:dyDescent="0.2">
      <c r="A12345" s="1" t="s">
        <v>2004</v>
      </c>
      <c r="B12345" s="1" t="s">
        <v>2199</v>
      </c>
      <c r="C12345" s="1" t="str">
        <f>"67950195080798"</f>
        <v>67950195080798</v>
      </c>
      <c r="D12345" s="1" t="str">
        <f>"P-S10E14-01"</f>
        <v>P-S10E14-01</v>
      </c>
      <c r="E12345" s="1" t="s">
        <v>4579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</row>
    <row r="12346" spans="1:11" ht="30" x14ac:dyDescent="0.2">
      <c r="A12346" s="1" t="s">
        <v>2004</v>
      </c>
      <c r="B12346" s="1" t="s">
        <v>2200</v>
      </c>
      <c r="C12346" s="1" t="str">
        <f>"67950195100653"</f>
        <v>67950195100653</v>
      </c>
      <c r="D12346" s="1" t="str">
        <f>"P-S2N13-01"</f>
        <v>P-S2N13-01</v>
      </c>
      <c r="E12346" s="1" t="s">
        <v>4579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</row>
    <row r="12347" spans="1:11" ht="30" x14ac:dyDescent="0.2">
      <c r="A12347" s="1" t="s">
        <v>2004</v>
      </c>
      <c r="B12347" s="1" t="s">
        <v>2201</v>
      </c>
      <c r="C12347" s="1" t="str">
        <f>"67950195105030"</f>
        <v>67950195105030</v>
      </c>
      <c r="D12347" s="1" t="str">
        <f>"P-S10E03-02"</f>
        <v>P-S10E03-02</v>
      </c>
      <c r="E12347" s="1" t="s">
        <v>4579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</row>
    <row r="12348" spans="1:11" ht="30" x14ac:dyDescent="0.2">
      <c r="A12348" s="1" t="s">
        <v>2004</v>
      </c>
      <c r="B12348" s="1" t="s">
        <v>2202</v>
      </c>
      <c r="C12348" s="1" t="str">
        <f>"67950195126373"</f>
        <v>67950195126373</v>
      </c>
      <c r="D12348" s="1" t="str">
        <f>"P-TR6S13-0R"</f>
        <v>P-TR6S13-0R</v>
      </c>
      <c r="E12348" s="1" t="s">
        <v>4579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</row>
    <row r="12349" spans="1:11" ht="30" x14ac:dyDescent="0.2">
      <c r="A12349" s="1" t="s">
        <v>2004</v>
      </c>
      <c r="B12349" s="1" t="s">
        <v>2203</v>
      </c>
      <c r="C12349" s="1" t="str">
        <f>"67950195153029"</f>
        <v>67950195153029</v>
      </c>
      <c r="D12349" s="1" t="str">
        <f>"P-TR6S06-01"</f>
        <v>P-TR6S06-01</v>
      </c>
      <c r="E12349" s="1" t="s">
        <v>4579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</row>
    <row r="12350" spans="1:11" ht="30" x14ac:dyDescent="0.2">
      <c r="A12350" s="1" t="s">
        <v>2004</v>
      </c>
      <c r="B12350" s="1" t="s">
        <v>2204</v>
      </c>
      <c r="C12350" s="1" t="str">
        <f>"67950195166303"</f>
        <v>67950195166303</v>
      </c>
      <c r="D12350" s="1" t="str">
        <f>"P-TR10N16-01"</f>
        <v>P-TR10N16-01</v>
      </c>
      <c r="E12350" s="1" t="s">
        <v>4579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</row>
    <row r="12351" spans="1:11" ht="30" x14ac:dyDescent="0.2">
      <c r="A12351" s="1" t="s">
        <v>2004</v>
      </c>
      <c r="B12351" s="1" t="s">
        <v>2205</v>
      </c>
      <c r="C12351" s="1" t="str">
        <f>"67950195175014"</f>
        <v>67950195175014</v>
      </c>
      <c r="D12351" s="1" t="str">
        <f>"P-TR7S20-0R"</f>
        <v>P-TR7S20-0R</v>
      </c>
      <c r="E12351" s="1" t="s">
        <v>4579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</row>
    <row r="12352" spans="1:11" ht="30" x14ac:dyDescent="0.2">
      <c r="A12352" s="1" t="s">
        <v>2004</v>
      </c>
      <c r="B12352" s="1" t="s">
        <v>2206</v>
      </c>
      <c r="C12352" s="1" t="str">
        <f>"67950195231410"</f>
        <v>67950195231410</v>
      </c>
      <c r="D12352" s="1" t="str">
        <f>"P-TR12E12-01"</f>
        <v>P-TR12E12-01</v>
      </c>
      <c r="E12352" s="1" t="s">
        <v>4579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</row>
    <row r="12353" spans="1:11" x14ac:dyDescent="0.2">
      <c r="A12353" s="1" t="s">
        <v>2004</v>
      </c>
      <c r="B12353" s="1" t="s">
        <v>2207</v>
      </c>
      <c r="C12353" s="1" t="str">
        <f>"67950195204875"</f>
        <v>67950195204875</v>
      </c>
      <c r="D12353" s="1" t="str">
        <f>"P-TR8N11-01"</f>
        <v>P-TR8N11-01</v>
      </c>
      <c r="E12353" s="1" t="s">
        <v>4579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</row>
    <row r="12354" spans="1:11" ht="30" x14ac:dyDescent="0.2">
      <c r="A12354" s="1" t="s">
        <v>2004</v>
      </c>
      <c r="B12354" s="1" t="s">
        <v>2208</v>
      </c>
      <c r="C12354" s="1" t="str">
        <f>"67950195213220"</f>
        <v>67950195213220</v>
      </c>
      <c r="D12354" s="1" t="str">
        <f>"P-TR9E20-01"</f>
        <v>P-TR9E20-01</v>
      </c>
      <c r="E12354" s="1" t="s">
        <v>4579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</row>
    <row r="12355" spans="1:11" ht="30" x14ac:dyDescent="0.2">
      <c r="A12355" s="1" t="s">
        <v>2004</v>
      </c>
      <c r="B12355" s="1" t="s">
        <v>2209</v>
      </c>
      <c r="C12355" s="1" t="str">
        <f>"67950195238713"</f>
        <v>67950195238713</v>
      </c>
      <c r="D12355" s="1" t="str">
        <f>"P-TR6N21-01"</f>
        <v>P-TR6N21-01</v>
      </c>
      <c r="E12355" s="1" t="s">
        <v>4579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</row>
    <row r="12356" spans="1:11" x14ac:dyDescent="0.2">
      <c r="A12356" s="1" t="s">
        <v>2004</v>
      </c>
      <c r="B12356" s="1" t="s">
        <v>2210</v>
      </c>
      <c r="C12356" s="1" t="str">
        <f>"67950195266379"</f>
        <v>67950195266379</v>
      </c>
      <c r="D12356" s="1" t="str">
        <f>"R-Y7N14-01"</f>
        <v>R-Y7N14-01</v>
      </c>
      <c r="E12356" s="1" t="s">
        <v>4579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</row>
    <row r="12357" spans="1:11" x14ac:dyDescent="0.2">
      <c r="A12357" s="1" t="s">
        <v>2004</v>
      </c>
      <c r="B12357" s="1" t="s">
        <v>2211</v>
      </c>
      <c r="C12357" s="1" t="str">
        <f>"67950195296729"</f>
        <v>67950195296729</v>
      </c>
      <c r="D12357" s="1" t="str">
        <f>"P-Y8N14-01"</f>
        <v>P-Y8N14-01</v>
      </c>
      <c r="E12357" s="1" t="s">
        <v>4579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</row>
    <row r="12358" spans="1:11" ht="30" x14ac:dyDescent="0.2">
      <c r="A12358" s="1" t="s">
        <v>2004</v>
      </c>
      <c r="B12358" s="1" t="s">
        <v>2212</v>
      </c>
      <c r="C12358" s="1" t="str">
        <f>"67950195299452"</f>
        <v>67950195299452</v>
      </c>
      <c r="D12358" s="1" t="str">
        <f>"P-Y6N09-01"</f>
        <v>P-Y6N09-01</v>
      </c>
      <c r="E12358" s="1" t="s">
        <v>4579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</row>
    <row r="12359" spans="1:11" x14ac:dyDescent="0.2">
      <c r="A12359" s="1" t="s">
        <v>2004</v>
      </c>
      <c r="B12359" s="1" t="s">
        <v>2213</v>
      </c>
      <c r="C12359" s="1" t="str">
        <f>"67950195306359"</f>
        <v>67950195306359</v>
      </c>
      <c r="D12359" s="1" t="str">
        <f>"P-Y12E10-01"</f>
        <v>P-Y12E10-01</v>
      </c>
      <c r="E12359" s="1" t="s">
        <v>4579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</row>
    <row r="12360" spans="1:11" ht="30" x14ac:dyDescent="0.2">
      <c r="A12360" s="1" t="s">
        <v>2004</v>
      </c>
      <c r="B12360" s="1" t="s">
        <v>2214</v>
      </c>
      <c r="C12360" s="1" t="str">
        <f>"67950195339841"</f>
        <v>67950195339841</v>
      </c>
      <c r="D12360" s="1" t="str">
        <f>"P-Y10S09-0R"</f>
        <v>P-Y10S09-0R</v>
      </c>
      <c r="E12360" s="1" t="s">
        <v>4579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</row>
    <row r="12361" spans="1:11" ht="30" x14ac:dyDescent="0.2">
      <c r="A12361" s="1" t="s">
        <v>2004</v>
      </c>
      <c r="B12361" s="1" t="s">
        <v>2215</v>
      </c>
      <c r="C12361" s="1" t="str">
        <f>"67950195361385"</f>
        <v>67950195361385</v>
      </c>
      <c r="D12361" s="1" t="str">
        <f>"P-Y10S15-0R"</f>
        <v>P-Y10S15-0R</v>
      </c>
      <c r="E12361" s="1" t="s">
        <v>4579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</row>
    <row r="12362" spans="1:11" ht="30" x14ac:dyDescent="0.2">
      <c r="A12362" s="1" t="s">
        <v>2004</v>
      </c>
      <c r="B12362" s="1" t="s">
        <v>2216</v>
      </c>
      <c r="C12362" s="1" t="str">
        <f>"67950195362979"</f>
        <v>67950195362979</v>
      </c>
      <c r="D12362" s="1" t="str">
        <f>"P-Y1S09-01"</f>
        <v>P-Y1S09-01</v>
      </c>
      <c r="E12362" s="1" t="s">
        <v>4579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</row>
    <row r="12363" spans="1:11" x14ac:dyDescent="0.2">
      <c r="A12363" s="1" t="s">
        <v>2004</v>
      </c>
      <c r="B12363" s="1" t="s">
        <v>2217</v>
      </c>
      <c r="C12363" s="1" t="str">
        <f>"67950195369479"</f>
        <v>67950195369479</v>
      </c>
      <c r="D12363" s="1" t="str">
        <f>"P-Y6S08-0R"</f>
        <v>P-Y6S08-0R</v>
      </c>
      <c r="E12363" s="1" t="s">
        <v>4579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</row>
    <row r="12364" spans="1:11" x14ac:dyDescent="0.2">
      <c r="A12364" s="1" t="s">
        <v>2218</v>
      </c>
      <c r="B12364" s="1" t="s">
        <v>2219</v>
      </c>
      <c r="C12364" s="1" t="str">
        <f>"K353147500"</f>
        <v>K353147500</v>
      </c>
      <c r="D12364" s="1" t="str">
        <f>"K353147500"</f>
        <v>K353147500</v>
      </c>
      <c r="E12364" s="1" t="s">
        <v>4579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</row>
    <row r="12365" spans="1:11" x14ac:dyDescent="0.2">
      <c r="A12365" s="1" t="s">
        <v>2218</v>
      </c>
      <c r="B12365" s="1" t="s">
        <v>2220</v>
      </c>
      <c r="C12365" s="1" t="str">
        <f>"66298887872029"</f>
        <v>66298887872029</v>
      </c>
      <c r="D12365" s="1" t="str">
        <f>"83254"</f>
        <v>83254</v>
      </c>
      <c r="E12365" s="1" t="s">
        <v>4579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</row>
    <row r="12366" spans="1:11" x14ac:dyDescent="0.2">
      <c r="A12366" s="1" t="s">
        <v>2218</v>
      </c>
      <c r="B12366" s="1" t="s">
        <v>2221</v>
      </c>
      <c r="C12366" s="1" t="str">
        <f>"66298887911756"</f>
        <v>66298887911756</v>
      </c>
      <c r="D12366" s="1" t="str">
        <f>"400682"</f>
        <v>400682</v>
      </c>
      <c r="E12366" s="1" t="s">
        <v>4579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</row>
    <row r="12367" spans="1:11" x14ac:dyDescent="0.2">
      <c r="A12367" s="1" t="s">
        <v>2218</v>
      </c>
      <c r="B12367" s="1" t="s">
        <v>2222</v>
      </c>
      <c r="C12367" s="1" t="str">
        <f>"66298887989000"</f>
        <v>66298887989000</v>
      </c>
      <c r="D12367" s="1" t="str">
        <f>"B065"</f>
        <v>B065</v>
      </c>
      <c r="E12367" s="1" t="s">
        <v>4579</v>
      </c>
      <c r="F12367" s="1">
        <v>2</v>
      </c>
      <c r="G12367" s="1">
        <v>1070</v>
      </c>
      <c r="H12367" s="1">
        <v>2140</v>
      </c>
      <c r="I12367" s="1">
        <v>0</v>
      </c>
      <c r="J12367" s="1">
        <v>2</v>
      </c>
      <c r="K12367" s="1">
        <v>0</v>
      </c>
    </row>
    <row r="12368" spans="1:11" x14ac:dyDescent="0.2">
      <c r="A12368" s="1" t="s">
        <v>2218</v>
      </c>
      <c r="B12368" s="1" t="s">
        <v>2223</v>
      </c>
      <c r="C12368" s="1" t="str">
        <f>"66298888028385"</f>
        <v>66298888028385</v>
      </c>
      <c r="D12368" s="1" t="str">
        <f>"400033"</f>
        <v>400033</v>
      </c>
      <c r="E12368" s="1" t="s">
        <v>4579</v>
      </c>
      <c r="F12368" s="1">
        <v>5</v>
      </c>
      <c r="G12368" s="1">
        <v>2064</v>
      </c>
      <c r="H12368" s="1">
        <v>10320</v>
      </c>
      <c r="I12368" s="1">
        <v>0</v>
      </c>
      <c r="J12368" s="1">
        <v>5</v>
      </c>
      <c r="K12368" s="1">
        <v>0</v>
      </c>
    </row>
    <row r="12369" spans="1:11" x14ac:dyDescent="0.2">
      <c r="A12369" s="1" t="s">
        <v>2218</v>
      </c>
      <c r="B12369" s="1" t="s">
        <v>2224</v>
      </c>
      <c r="C12369" s="1" t="str">
        <f>"FL-UNIV-LED"</f>
        <v>FL-UNIV-LED</v>
      </c>
      <c r="D12369" s="1" t="str">
        <f>"FL-UNIV-LED"</f>
        <v>FL-UNIV-LED</v>
      </c>
      <c r="E12369" s="1" t="s">
        <v>4579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</row>
    <row r="12370" spans="1:11" x14ac:dyDescent="0.2">
      <c r="A12370" s="1" t="s">
        <v>2218</v>
      </c>
      <c r="B12370" s="1" t="s">
        <v>2225</v>
      </c>
      <c r="C12370" s="1" t="str">
        <f>"66298887951737"</f>
        <v>66298887951737</v>
      </c>
      <c r="D12370" s="1" t="str">
        <f>"FL-UNIV"</f>
        <v>FL-UNIV</v>
      </c>
      <c r="E12370" s="1" t="s">
        <v>4579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</row>
    <row r="12371" spans="1:11" x14ac:dyDescent="0.2">
      <c r="A12371" s="1" t="s">
        <v>2218</v>
      </c>
      <c r="B12371" s="1" t="s">
        <v>2225</v>
      </c>
      <c r="C12371" s="1" t="str">
        <f>"H002"</f>
        <v>H002</v>
      </c>
      <c r="D12371" s="1" t="str">
        <f>"H002"</f>
        <v>H002</v>
      </c>
      <c r="E12371" s="1" t="s">
        <v>4579</v>
      </c>
      <c r="F12371" s="1">
        <v>2</v>
      </c>
      <c r="G12371" s="1">
        <v>1130</v>
      </c>
      <c r="H12371" s="1">
        <v>2260</v>
      </c>
      <c r="I12371" s="1">
        <v>0</v>
      </c>
      <c r="J12371" s="1">
        <v>2</v>
      </c>
      <c r="K12371" s="1">
        <v>0</v>
      </c>
    </row>
    <row r="12372" spans="1:11" x14ac:dyDescent="0.2">
      <c r="A12372" s="1" t="s">
        <v>2218</v>
      </c>
      <c r="B12372" s="1" t="s">
        <v>2226</v>
      </c>
      <c r="C12372" s="1" t="str">
        <f>"66298888071485"</f>
        <v>66298888071485</v>
      </c>
      <c r="D12372" s="1" t="str">
        <f>"82239"</f>
        <v>82239</v>
      </c>
      <c r="E12372" s="1" t="s">
        <v>4579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</row>
    <row r="12373" spans="1:11" x14ac:dyDescent="0.2">
      <c r="A12373" s="1" t="s">
        <v>2218</v>
      </c>
      <c r="B12373" s="1" t="s">
        <v>2227</v>
      </c>
      <c r="C12373" s="1" t="str">
        <f>"66298888116460"</f>
        <v>66298888116460</v>
      </c>
      <c r="D12373" s="1" t="str">
        <f>"82820"</f>
        <v>82820</v>
      </c>
      <c r="E12373" s="1" t="s">
        <v>4579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</row>
    <row r="12374" spans="1:11" x14ac:dyDescent="0.2">
      <c r="A12374" s="1" t="s">
        <v>2218</v>
      </c>
      <c r="B12374" s="1" t="s">
        <v>2228</v>
      </c>
      <c r="C12374" s="1" t="str">
        <f>"66298888156149"</f>
        <v>66298888156149</v>
      </c>
      <c r="D12374" s="1" t="str">
        <f>"DS-2010-25"</f>
        <v>DS-2010-25</v>
      </c>
      <c r="E12374" s="1" t="s">
        <v>4579</v>
      </c>
      <c r="F12374" s="1">
        <v>2</v>
      </c>
      <c r="G12374" s="1">
        <v>1785</v>
      </c>
      <c r="H12374" s="1">
        <v>3570</v>
      </c>
      <c r="I12374" s="1">
        <v>0</v>
      </c>
      <c r="J12374" s="1">
        <v>2</v>
      </c>
      <c r="K12374" s="1">
        <v>0</v>
      </c>
    </row>
    <row r="12375" spans="1:11" x14ac:dyDescent="0.2">
      <c r="A12375" s="1" t="s">
        <v>1213</v>
      </c>
      <c r="B12375" s="1" t="s">
        <v>2229</v>
      </c>
      <c r="C12375" s="1" t="str">
        <f>"66298888196827"</f>
        <v>66298888196827</v>
      </c>
      <c r="D12375" s="1" t="str">
        <f>"BF011"</f>
        <v>BF011</v>
      </c>
      <c r="E12375" s="1" t="s">
        <v>4579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</row>
    <row r="12376" spans="1:11" x14ac:dyDescent="0.2">
      <c r="A12376" s="1" t="s">
        <v>2230</v>
      </c>
      <c r="B12376" s="1" t="s">
        <v>2231</v>
      </c>
      <c r="C12376" s="1" t="str">
        <f>"BF008"</f>
        <v>BF008</v>
      </c>
      <c r="D12376" s="1" t="str">
        <f>"BF008"</f>
        <v>BF008</v>
      </c>
      <c r="E12376" s="1" t="s">
        <v>4579</v>
      </c>
      <c r="F12376" s="1">
        <v>2</v>
      </c>
      <c r="G12376" s="1">
        <v>3228</v>
      </c>
      <c r="H12376" s="1">
        <v>6456</v>
      </c>
      <c r="I12376" s="1">
        <v>0</v>
      </c>
      <c r="J12376" s="1">
        <v>2</v>
      </c>
      <c r="K12376" s="1">
        <v>0</v>
      </c>
    </row>
    <row r="12377" spans="1:11" x14ac:dyDescent="0.2">
      <c r="A12377" s="1" t="s">
        <v>2230</v>
      </c>
      <c r="B12377" s="1" t="s">
        <v>2232</v>
      </c>
      <c r="C12377" s="1" t="str">
        <f>"BF007"</f>
        <v>BF007</v>
      </c>
      <c r="D12377" s="1" t="str">
        <f>"BF007"</f>
        <v>BF007</v>
      </c>
      <c r="E12377" s="1" t="s">
        <v>4579</v>
      </c>
      <c r="F12377" s="1">
        <v>2</v>
      </c>
      <c r="G12377" s="1">
        <v>2856</v>
      </c>
      <c r="H12377" s="1">
        <v>5712</v>
      </c>
      <c r="I12377" s="1">
        <v>0</v>
      </c>
      <c r="J12377" s="1">
        <v>2</v>
      </c>
      <c r="K12377" s="1">
        <v>0</v>
      </c>
    </row>
    <row r="12378" spans="1:11" x14ac:dyDescent="0.2">
      <c r="A12378" s="1" t="s">
        <v>243</v>
      </c>
      <c r="B12378" s="1" t="s">
        <v>2233</v>
      </c>
      <c r="C12378" s="1" t="str">
        <f>"12273"</f>
        <v>12273</v>
      </c>
      <c r="D12378" s="1" t="str">
        <f>"12273"</f>
        <v>12273</v>
      </c>
      <c r="E12378" s="1" t="s">
        <v>4579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</row>
    <row r="12379" spans="1:11" x14ac:dyDescent="0.2">
      <c r="A12379" s="1" t="s">
        <v>2234</v>
      </c>
      <c r="B12379" s="1" t="s">
        <v>2235</v>
      </c>
      <c r="C12379" s="1" t="str">
        <f>"A209"</f>
        <v>A209</v>
      </c>
      <c r="D12379" s="1" t="str">
        <f>"A209"</f>
        <v>A209</v>
      </c>
      <c r="E12379" s="1" t="s">
        <v>4579</v>
      </c>
      <c r="F12379" s="1">
        <v>2</v>
      </c>
      <c r="G12379" s="1">
        <v>980</v>
      </c>
      <c r="H12379" s="1">
        <v>1960</v>
      </c>
      <c r="I12379" s="1">
        <v>0</v>
      </c>
      <c r="J12379" s="1">
        <v>2</v>
      </c>
      <c r="K12379" s="1">
        <v>0</v>
      </c>
    </row>
    <row r="12380" spans="1:11" x14ac:dyDescent="0.2">
      <c r="A12380" s="1" t="s">
        <v>1948</v>
      </c>
      <c r="B12380" s="1" t="s">
        <v>2236</v>
      </c>
      <c r="C12380" s="1" t="str">
        <f>"66298888236802"</f>
        <v>66298888236802</v>
      </c>
      <c r="D12380" s="1" t="str">
        <f>"84888"</f>
        <v>84888</v>
      </c>
      <c r="E12380" s="1" t="s">
        <v>4579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</row>
    <row r="12381" spans="1:11" x14ac:dyDescent="0.2">
      <c r="A12381" s="1" t="s">
        <v>15</v>
      </c>
      <c r="B12381" s="1" t="s">
        <v>2237</v>
      </c>
      <c r="C12381" s="1" t="str">
        <f>"11936"</f>
        <v>11936</v>
      </c>
      <c r="D12381" s="1" t="str">
        <f>"11936"</f>
        <v>11936</v>
      </c>
      <c r="E12381" s="1" t="s">
        <v>4579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</row>
    <row r="12382" spans="1:11" x14ac:dyDescent="0.2">
      <c r="A12382" s="1" t="s">
        <v>15</v>
      </c>
      <c r="B12382" s="1" t="s">
        <v>2238</v>
      </c>
      <c r="C12382" s="1" t="str">
        <f>"11607"</f>
        <v>11607</v>
      </c>
      <c r="D12382" s="1" t="str">
        <f>"11607"</f>
        <v>11607</v>
      </c>
      <c r="E12382" s="1" t="s">
        <v>4579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</row>
    <row r="12383" spans="1:11" x14ac:dyDescent="0.2">
      <c r="A12383" s="1" t="s">
        <v>18</v>
      </c>
      <c r="B12383" s="1" t="s">
        <v>2239</v>
      </c>
      <c r="C12383" s="1" t="str">
        <f>"66298888321874"</f>
        <v>66298888321874</v>
      </c>
      <c r="D12383" s="1" t="str">
        <f>"0489"</f>
        <v>0489</v>
      </c>
      <c r="E12383" s="1" t="s">
        <v>4579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</row>
    <row r="12384" spans="1:11" ht="30" x14ac:dyDescent="0.2">
      <c r="A12384" s="1" t="s">
        <v>18</v>
      </c>
      <c r="B12384" s="1" t="s">
        <v>2240</v>
      </c>
      <c r="C12384" s="1" t="str">
        <f>"RC028-AZUL"</f>
        <v>RC028-AZUL</v>
      </c>
      <c r="D12384" s="1" t="str">
        <f>"RC028-AZUL"</f>
        <v>RC028-AZUL</v>
      </c>
      <c r="E12384" s="1" t="s">
        <v>4579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</row>
    <row r="12385" spans="1:11" ht="30" x14ac:dyDescent="0.2">
      <c r="A12385" s="1" t="s">
        <v>18</v>
      </c>
      <c r="B12385" s="1" t="s">
        <v>2241</v>
      </c>
      <c r="C12385" s="1" t="str">
        <f>"RC028-DORADO"</f>
        <v>RC028-DORADO</v>
      </c>
      <c r="D12385" s="1" t="str">
        <f>"RC028-DORADO"</f>
        <v>RC028-DORADO</v>
      </c>
      <c r="E12385" s="1" t="s">
        <v>4579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</row>
    <row r="12386" spans="1:11" ht="30" x14ac:dyDescent="0.2">
      <c r="A12386" s="1" t="s">
        <v>18</v>
      </c>
      <c r="B12386" s="1" t="s">
        <v>2242</v>
      </c>
      <c r="C12386" s="1" t="str">
        <f>"RC028-PLATEADO"</f>
        <v>RC028-PLATEADO</v>
      </c>
      <c r="D12386" s="1" t="str">
        <f>"RC028-PLATEADO"</f>
        <v>RC028-PLATEADO</v>
      </c>
      <c r="E12386" s="1" t="s">
        <v>4579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</row>
    <row r="12387" spans="1:11" ht="30" x14ac:dyDescent="0.2">
      <c r="A12387" s="1" t="s">
        <v>18</v>
      </c>
      <c r="B12387" s="1" t="s">
        <v>2243</v>
      </c>
      <c r="C12387" s="1" t="str">
        <f>"RC028-ROJO"</f>
        <v>RC028-ROJO</v>
      </c>
      <c r="D12387" s="1" t="str">
        <f>"RC028-ROJO"</f>
        <v>RC028-ROJO</v>
      </c>
      <c r="E12387" s="1" t="s">
        <v>4579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</row>
    <row r="12388" spans="1:11" x14ac:dyDescent="0.2">
      <c r="A12388" s="1" t="s">
        <v>18</v>
      </c>
      <c r="B12388" s="1" t="s">
        <v>2244</v>
      </c>
      <c r="C12388" s="1" t="str">
        <f>"66298888281286"</f>
        <v>66298888281286</v>
      </c>
      <c r="D12388" s="1" t="str">
        <f>"RC061"</f>
        <v>RC061</v>
      </c>
      <c r="E12388" s="1" t="s">
        <v>4579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</row>
    <row r="12389" spans="1:11" x14ac:dyDescent="0.2">
      <c r="A12389" s="1" t="s">
        <v>18</v>
      </c>
      <c r="B12389" s="1" t="s">
        <v>2245</v>
      </c>
      <c r="C12389" s="1" t="str">
        <f>"810"</f>
        <v>810</v>
      </c>
      <c r="D12389" s="1" t="str">
        <f>"810"</f>
        <v>810</v>
      </c>
      <c r="E12389" s="1" t="s">
        <v>4579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</row>
    <row r="12390" spans="1:11" x14ac:dyDescent="0.2">
      <c r="A12390" s="1" t="s">
        <v>18</v>
      </c>
      <c r="B12390" s="1" t="s">
        <v>2245</v>
      </c>
      <c r="C12390" s="1" t="str">
        <f>"10822"</f>
        <v>10822</v>
      </c>
      <c r="D12390" s="1" t="str">
        <f>"10822"</f>
        <v>10822</v>
      </c>
      <c r="E12390" s="1" t="s">
        <v>4579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</row>
    <row r="12391" spans="1:11" x14ac:dyDescent="0.2">
      <c r="A12391" s="1" t="s">
        <v>18</v>
      </c>
      <c r="B12391" s="1" t="s">
        <v>2245</v>
      </c>
      <c r="C12391" s="1" t="str">
        <f>"15794"</f>
        <v>15794</v>
      </c>
      <c r="D12391" s="1" t="str">
        <f>"15794"</f>
        <v>15794</v>
      </c>
      <c r="E12391" s="1" t="s">
        <v>4579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</row>
    <row r="12392" spans="1:11" x14ac:dyDescent="0.2">
      <c r="A12392" s="1" t="s">
        <v>2246</v>
      </c>
      <c r="B12392" s="1" t="s">
        <v>2247</v>
      </c>
      <c r="C12392" s="1" t="str">
        <f>"66298888407412"</f>
        <v>66298888407412</v>
      </c>
      <c r="D12392" s="1" t="str">
        <f>"DM-F-00019"</f>
        <v>DM-F-00019</v>
      </c>
      <c r="E12392" s="1" t="s">
        <v>4579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</row>
    <row r="12393" spans="1:11" x14ac:dyDescent="0.2">
      <c r="A12393" s="1" t="s">
        <v>2246</v>
      </c>
      <c r="B12393" s="1" t="s">
        <v>2248</v>
      </c>
      <c r="C12393" s="1" t="str">
        <f>"66298888449922"</f>
        <v>66298888449922</v>
      </c>
      <c r="D12393" s="1" t="str">
        <f>"DM-F-00005"</f>
        <v>DM-F-00005</v>
      </c>
      <c r="E12393" s="1" t="s">
        <v>4579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</row>
    <row r="12394" spans="1:11" x14ac:dyDescent="0.2">
      <c r="A12394" s="1" t="s">
        <v>2246</v>
      </c>
      <c r="B12394" s="1" t="s">
        <v>2249</v>
      </c>
      <c r="C12394" s="1" t="str">
        <f>"66298888527964"</f>
        <v>66298888527964</v>
      </c>
      <c r="D12394" s="1" t="str">
        <f>"33120-K52-901GH"</f>
        <v>33120-K52-901GH</v>
      </c>
      <c r="E12394" s="1" t="s">
        <v>4579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</row>
    <row r="12395" spans="1:11" x14ac:dyDescent="0.2">
      <c r="A12395" s="1" t="s">
        <v>2246</v>
      </c>
      <c r="B12395" s="1" t="s">
        <v>2250</v>
      </c>
      <c r="C12395" s="1" t="str">
        <f>"P055"</f>
        <v>P055</v>
      </c>
      <c r="D12395" s="1" t="str">
        <f>"P055"</f>
        <v>P055</v>
      </c>
      <c r="E12395" s="1" t="s">
        <v>4579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</row>
    <row r="12396" spans="1:11" x14ac:dyDescent="0.2">
      <c r="A12396" s="1" t="s">
        <v>2246</v>
      </c>
      <c r="B12396" s="1" t="s">
        <v>2251</v>
      </c>
      <c r="C12396" s="1" t="str">
        <f>"66298888570151"</f>
        <v>66298888570151</v>
      </c>
      <c r="D12396" s="1" t="str">
        <f>"85124"</f>
        <v>85124</v>
      </c>
      <c r="E12396" s="1" t="s">
        <v>4579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</row>
    <row r="12397" spans="1:11" x14ac:dyDescent="0.2">
      <c r="A12397" s="1" t="s">
        <v>2246</v>
      </c>
      <c r="B12397" s="1" t="s">
        <v>2251</v>
      </c>
      <c r="C12397" s="1" t="str">
        <f>"66298888576322"</f>
        <v>66298888576322</v>
      </c>
      <c r="D12397" s="1" t="str">
        <f>"P038"</f>
        <v>P038</v>
      </c>
      <c r="E12397" s="1" t="s">
        <v>4579</v>
      </c>
      <c r="F12397" s="1">
        <v>1</v>
      </c>
      <c r="G12397" s="1">
        <v>63200</v>
      </c>
      <c r="H12397" s="1">
        <v>63200</v>
      </c>
      <c r="I12397" s="1">
        <v>0</v>
      </c>
      <c r="J12397" s="1">
        <v>1</v>
      </c>
      <c r="K12397" s="1">
        <v>0</v>
      </c>
    </row>
    <row r="12398" spans="1:11" x14ac:dyDescent="0.2">
      <c r="A12398" s="1" t="s">
        <v>2246</v>
      </c>
      <c r="B12398" s="1" t="s">
        <v>2252</v>
      </c>
      <c r="C12398" s="1" t="str">
        <f>"66298888789411"</f>
        <v>66298888789411</v>
      </c>
      <c r="D12398" s="1" t="str">
        <f>"P044"</f>
        <v>P044</v>
      </c>
      <c r="E12398" s="1" t="s">
        <v>4579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</row>
    <row r="12399" spans="1:11" x14ac:dyDescent="0.2">
      <c r="A12399" s="1" t="s">
        <v>2246</v>
      </c>
      <c r="B12399" s="1" t="s">
        <v>2253</v>
      </c>
      <c r="C12399" s="1" t="str">
        <f>"66298888488761"</f>
        <v>66298888488761</v>
      </c>
      <c r="D12399" s="1" t="str">
        <f>"P037"</f>
        <v>P037</v>
      </c>
      <c r="E12399" s="1" t="s">
        <v>4579</v>
      </c>
      <c r="F12399" s="1">
        <v>1</v>
      </c>
      <c r="G12399" s="1">
        <v>13044</v>
      </c>
      <c r="H12399" s="1">
        <v>13044</v>
      </c>
      <c r="I12399" s="1">
        <v>0</v>
      </c>
      <c r="J12399" s="1">
        <v>1</v>
      </c>
      <c r="K12399" s="1">
        <v>0</v>
      </c>
    </row>
    <row r="12400" spans="1:11" x14ac:dyDescent="0.2">
      <c r="A12400" s="1" t="s">
        <v>2246</v>
      </c>
      <c r="B12400" s="1" t="s">
        <v>2254</v>
      </c>
      <c r="C12400" s="1" t="str">
        <f>"7838-NEGRO"</f>
        <v>7838-NEGRO</v>
      </c>
      <c r="D12400" s="1" t="str">
        <f>"7838-NEGRO"</f>
        <v>7838-NEGRO</v>
      </c>
      <c r="E12400" s="1" t="s">
        <v>4579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</row>
    <row r="12401" spans="1:11" x14ac:dyDescent="0.2">
      <c r="A12401" s="1" t="s">
        <v>2246</v>
      </c>
      <c r="B12401" s="1" t="s">
        <v>2255</v>
      </c>
      <c r="C12401" s="1" t="str">
        <f>"66298888663811"</f>
        <v>66298888663811</v>
      </c>
      <c r="D12401" s="1" t="str">
        <f>"P024"</f>
        <v>P024</v>
      </c>
      <c r="E12401" s="1" t="s">
        <v>4579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</row>
    <row r="12402" spans="1:11" x14ac:dyDescent="0.2">
      <c r="A12402" s="1" t="s">
        <v>2246</v>
      </c>
      <c r="B12402" s="1" t="s">
        <v>2256</v>
      </c>
      <c r="C12402" s="1" t="str">
        <f>"66298888708994"</f>
        <v>66298888708994</v>
      </c>
      <c r="D12402" s="1" t="str">
        <f>"P023"</f>
        <v>P023</v>
      </c>
      <c r="E12402" s="1" t="s">
        <v>4579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</row>
    <row r="12403" spans="1:11" x14ac:dyDescent="0.2">
      <c r="A12403" s="1" t="s">
        <v>2246</v>
      </c>
      <c r="B12403" s="1" t="s">
        <v>2257</v>
      </c>
      <c r="C12403" s="1" t="str">
        <f>"66298888747918"</f>
        <v>66298888747918</v>
      </c>
      <c r="D12403" s="1" t="str">
        <f>"P045"</f>
        <v>P045</v>
      </c>
      <c r="E12403" s="1" t="s">
        <v>4579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</row>
    <row r="12404" spans="1:11" x14ac:dyDescent="0.2">
      <c r="A12404" s="1" t="s">
        <v>2246</v>
      </c>
      <c r="B12404" s="1" t="s">
        <v>2258</v>
      </c>
      <c r="C12404" s="1" t="str">
        <f>"66298888833364"</f>
        <v>66298888833364</v>
      </c>
      <c r="D12404" s="1" t="str">
        <f>"P019"</f>
        <v>P019</v>
      </c>
      <c r="E12404" s="1" t="s">
        <v>4579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</row>
    <row r="12405" spans="1:11" x14ac:dyDescent="0.2">
      <c r="A12405" s="1" t="s">
        <v>2246</v>
      </c>
      <c r="B12405" s="1" t="s">
        <v>2259</v>
      </c>
      <c r="C12405" s="1" t="str">
        <f>"P025"</f>
        <v>P025</v>
      </c>
      <c r="D12405" s="1" t="str">
        <f>"P025"</f>
        <v>P025</v>
      </c>
      <c r="E12405" s="1" t="s">
        <v>4579</v>
      </c>
      <c r="F12405" s="1">
        <v>1</v>
      </c>
      <c r="G12405" s="1">
        <v>9330</v>
      </c>
      <c r="H12405" s="1">
        <v>9330</v>
      </c>
      <c r="I12405" s="1">
        <v>0</v>
      </c>
      <c r="J12405" s="1">
        <v>1</v>
      </c>
      <c r="K12405" s="1">
        <v>0</v>
      </c>
    </row>
    <row r="12406" spans="1:11" x14ac:dyDescent="0.2">
      <c r="A12406" s="1" t="s">
        <v>2246</v>
      </c>
      <c r="B12406" s="1" t="s">
        <v>2260</v>
      </c>
      <c r="C12406" s="1" t="str">
        <f>"66298888872457"</f>
        <v>66298888872457</v>
      </c>
      <c r="D12406" s="1" t="str">
        <f>"P039"</f>
        <v>P039</v>
      </c>
      <c r="E12406" s="1" t="s">
        <v>4579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</row>
    <row r="12407" spans="1:11" x14ac:dyDescent="0.2">
      <c r="A12407" s="1" t="s">
        <v>2246</v>
      </c>
      <c r="B12407" s="1" t="s">
        <v>2261</v>
      </c>
      <c r="C12407" s="1" t="str">
        <f>"66298888909051"</f>
        <v>66298888909051</v>
      </c>
      <c r="D12407" s="1" t="str">
        <f>"U029"</f>
        <v>U029</v>
      </c>
      <c r="E12407" s="1" t="s">
        <v>4579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</row>
    <row r="12408" spans="1:11" x14ac:dyDescent="0.2">
      <c r="A12408" s="1" t="s">
        <v>2246</v>
      </c>
      <c r="B12408" s="1" t="s">
        <v>2262</v>
      </c>
      <c r="C12408" s="1" t="str">
        <f>"P022"</f>
        <v>P022</v>
      </c>
      <c r="D12408" s="1" t="str">
        <f>"P022"</f>
        <v>P022</v>
      </c>
      <c r="E12408" s="1" t="s">
        <v>4579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</row>
    <row r="12409" spans="1:11" x14ac:dyDescent="0.2">
      <c r="A12409" s="1" t="s">
        <v>2246</v>
      </c>
      <c r="B12409" s="1" t="s">
        <v>2263</v>
      </c>
      <c r="C12409" s="1" t="str">
        <f>"7804-ROJO"</f>
        <v>7804-ROJO</v>
      </c>
      <c r="D12409" s="1" t="str">
        <f>"7804-ROJO"</f>
        <v>7804-ROJO</v>
      </c>
      <c r="E12409" s="1" t="s">
        <v>4579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</row>
    <row r="12410" spans="1:11" x14ac:dyDescent="0.2">
      <c r="A12410" s="1" t="s">
        <v>2246</v>
      </c>
      <c r="B12410" s="1" t="s">
        <v>2264</v>
      </c>
      <c r="C12410" s="1" t="str">
        <f>"P007"</f>
        <v>P007</v>
      </c>
      <c r="D12410" s="1" t="str">
        <f>"P007"</f>
        <v>P007</v>
      </c>
      <c r="E12410" s="1" t="s">
        <v>4579</v>
      </c>
      <c r="F12410" s="1">
        <v>1</v>
      </c>
      <c r="G12410" s="1">
        <v>10430</v>
      </c>
      <c r="H12410" s="1">
        <v>10430</v>
      </c>
      <c r="I12410" s="1">
        <v>0</v>
      </c>
      <c r="J12410" s="1">
        <v>1</v>
      </c>
      <c r="K12410" s="1">
        <v>0</v>
      </c>
    </row>
    <row r="12411" spans="1:11" x14ac:dyDescent="0.2">
      <c r="A12411" s="1" t="s">
        <v>2246</v>
      </c>
      <c r="B12411" s="1" t="s">
        <v>2265</v>
      </c>
      <c r="C12411" s="1" t="str">
        <f>"66298888990840"</f>
        <v>66298888990840</v>
      </c>
      <c r="D12411" s="1" t="str">
        <f>"P041"</f>
        <v>P041</v>
      </c>
      <c r="E12411" s="1" t="s">
        <v>4579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</row>
    <row r="12412" spans="1:11" x14ac:dyDescent="0.2">
      <c r="A12412" s="1" t="s">
        <v>2246</v>
      </c>
      <c r="B12412" s="1" t="s">
        <v>2266</v>
      </c>
      <c r="C12412" s="1" t="str">
        <f>"66298888951389"</f>
        <v>66298888951389</v>
      </c>
      <c r="D12412" s="1" t="str">
        <f>"P042"</f>
        <v>P042</v>
      </c>
      <c r="E12412" s="1" t="s">
        <v>4579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</row>
    <row r="12413" spans="1:11" x14ac:dyDescent="0.2">
      <c r="A12413" s="1" t="s">
        <v>2246</v>
      </c>
      <c r="B12413" s="1" t="s">
        <v>2267</v>
      </c>
      <c r="C12413" s="1" t="str">
        <f>"66298889028530"</f>
        <v>66298889028530</v>
      </c>
      <c r="D12413" s="1" t="str">
        <f>"P040"</f>
        <v>P040</v>
      </c>
      <c r="E12413" s="1" t="s">
        <v>4579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</row>
    <row r="12414" spans="1:11" x14ac:dyDescent="0.2">
      <c r="A12414" s="1" t="s">
        <v>2246</v>
      </c>
      <c r="B12414" s="1" t="s">
        <v>2267</v>
      </c>
      <c r="C12414" s="1" t="str">
        <f>"P046"</f>
        <v>P046</v>
      </c>
      <c r="D12414" s="1" t="str">
        <f>"P046"</f>
        <v>P046</v>
      </c>
      <c r="E12414" s="1" t="s">
        <v>4579</v>
      </c>
      <c r="F12414" s="1">
        <v>1</v>
      </c>
      <c r="G12414" s="1">
        <v>26904</v>
      </c>
      <c r="H12414" s="1">
        <v>26904</v>
      </c>
      <c r="I12414" s="1">
        <v>0</v>
      </c>
      <c r="J12414" s="1">
        <v>1</v>
      </c>
      <c r="K12414" s="1">
        <v>0</v>
      </c>
    </row>
    <row r="12415" spans="1:11" x14ac:dyDescent="0.2">
      <c r="A12415" s="1" t="s">
        <v>2246</v>
      </c>
      <c r="B12415" s="1" t="s">
        <v>2268</v>
      </c>
      <c r="C12415" s="1" t="str">
        <f>"P004"</f>
        <v>P004</v>
      </c>
      <c r="D12415" s="1" t="str">
        <f>"P004"</f>
        <v>P004</v>
      </c>
      <c r="E12415" s="1" t="s">
        <v>4579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</row>
    <row r="12416" spans="1:11" x14ac:dyDescent="0.2">
      <c r="A12416" s="1" t="s">
        <v>2246</v>
      </c>
      <c r="B12416" s="1" t="s">
        <v>2268</v>
      </c>
      <c r="C12416" s="1" t="str">
        <f>"408"</f>
        <v>408</v>
      </c>
      <c r="D12416" s="1" t="str">
        <f>"408"</f>
        <v>408</v>
      </c>
      <c r="E12416" s="1" t="s">
        <v>4579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</row>
    <row r="12417" spans="1:11" x14ac:dyDescent="0.2">
      <c r="A12417" s="1" t="s">
        <v>2246</v>
      </c>
      <c r="B12417" s="1" t="s">
        <v>2269</v>
      </c>
      <c r="C12417" s="1" t="str">
        <f>"66298889069320"</f>
        <v>66298889069320</v>
      </c>
      <c r="D12417" s="1" t="str">
        <f>"P002"</f>
        <v>P002</v>
      </c>
      <c r="E12417" s="1" t="s">
        <v>4579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</row>
    <row r="12418" spans="1:11" x14ac:dyDescent="0.2">
      <c r="A12418" s="1" t="s">
        <v>2246</v>
      </c>
      <c r="B12418" s="1" t="s">
        <v>2270</v>
      </c>
      <c r="C12418" s="1" t="str">
        <f>"66298889114066"</f>
        <v>66298889114066</v>
      </c>
      <c r="D12418" s="1" t="str">
        <f>"P085"</f>
        <v>P085</v>
      </c>
      <c r="E12418" s="1" t="s">
        <v>4579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</row>
    <row r="12419" spans="1:11" x14ac:dyDescent="0.2">
      <c r="A12419" s="1" t="s">
        <v>2246</v>
      </c>
      <c r="B12419" s="1" t="s">
        <v>2271</v>
      </c>
      <c r="C12419" s="1" t="str">
        <f>"35100H2C000H000"</f>
        <v>35100H2C000H000</v>
      </c>
      <c r="D12419" s="1" t="str">
        <f>"35100H2C000H000"</f>
        <v>35100H2C000H000</v>
      </c>
      <c r="E12419" s="1" t="s">
        <v>4579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</row>
    <row r="12420" spans="1:11" x14ac:dyDescent="0.2">
      <c r="A12420" s="1" t="s">
        <v>2246</v>
      </c>
      <c r="B12420" s="1" t="s">
        <v>2272</v>
      </c>
      <c r="C12420" s="1" t="str">
        <f>"P081-NEGRO"</f>
        <v>P081-NEGRO</v>
      </c>
      <c r="D12420" s="1" t="str">
        <f>"P081-NEGRO"</f>
        <v>P081-NEGRO</v>
      </c>
      <c r="E12420" s="1" t="s">
        <v>4579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</row>
    <row r="12421" spans="1:11" x14ac:dyDescent="0.2">
      <c r="A12421" s="1" t="s">
        <v>2246</v>
      </c>
      <c r="B12421" s="1" t="s">
        <v>2273</v>
      </c>
      <c r="C12421" s="1" t="str">
        <f>"66298889154040"</f>
        <v>66298889154040</v>
      </c>
      <c r="D12421" s="1" t="str">
        <f>"E002-2"</f>
        <v>E002-2</v>
      </c>
      <c r="E12421" s="1" t="s">
        <v>4579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</row>
    <row r="12422" spans="1:11" x14ac:dyDescent="0.2">
      <c r="A12422" s="1" t="s">
        <v>2246</v>
      </c>
      <c r="B12422" s="1" t="s">
        <v>2274</v>
      </c>
      <c r="C12422" s="1" t="str">
        <f>"P092-BLANCO"</f>
        <v>P092-BLANCO</v>
      </c>
      <c r="D12422" s="1" t="str">
        <f>"P092-BLANCO"</f>
        <v>P092-BLANCO</v>
      </c>
      <c r="E12422" s="1" t="s">
        <v>4579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</row>
    <row r="12423" spans="1:11" x14ac:dyDescent="0.2">
      <c r="A12423" s="1" t="s">
        <v>2246</v>
      </c>
      <c r="B12423" s="1" t="s">
        <v>2275</v>
      </c>
      <c r="C12423" s="1" t="str">
        <f>"66298889196220"</f>
        <v>66298889196220</v>
      </c>
      <c r="D12423" s="1" t="str">
        <f>"35100H40100H000"</f>
        <v>35100H40100H000</v>
      </c>
      <c r="E12423" s="1" t="s">
        <v>4579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</row>
    <row r="12424" spans="1:11" x14ac:dyDescent="0.2">
      <c r="A12424" s="1" t="s">
        <v>2246</v>
      </c>
      <c r="B12424" s="1" t="s">
        <v>2276</v>
      </c>
      <c r="C12424" s="1" t="str">
        <f>"P003"</f>
        <v>P003</v>
      </c>
      <c r="D12424" s="1" t="str">
        <f>"P003"</f>
        <v>P003</v>
      </c>
      <c r="E12424" s="1" t="s">
        <v>4579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</row>
    <row r="12425" spans="1:11" x14ac:dyDescent="0.2">
      <c r="A12425" s="1" t="s">
        <v>2246</v>
      </c>
      <c r="B12425" s="1" t="s">
        <v>2277</v>
      </c>
      <c r="C12425" s="1" t="str">
        <f>"66298889236102"</f>
        <v>66298889236102</v>
      </c>
      <c r="D12425" s="1" t="str">
        <f>"P074"</f>
        <v>P074</v>
      </c>
      <c r="E12425" s="1" t="s">
        <v>4579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</row>
    <row r="12426" spans="1:11" x14ac:dyDescent="0.2">
      <c r="A12426" s="1" t="s">
        <v>2246</v>
      </c>
      <c r="B12426" s="1" t="s">
        <v>2278</v>
      </c>
      <c r="C12426" s="1" t="str">
        <f>"P047"</f>
        <v>P047</v>
      </c>
      <c r="D12426" s="1" t="str">
        <f>"P047"</f>
        <v>P047</v>
      </c>
      <c r="E12426" s="1" t="s">
        <v>4579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</row>
    <row r="12427" spans="1:11" x14ac:dyDescent="0.2">
      <c r="A12427" s="1" t="s">
        <v>2246</v>
      </c>
      <c r="B12427" s="1" t="s">
        <v>2279</v>
      </c>
      <c r="C12427" s="1" t="str">
        <f>"33100-051-690"</f>
        <v>33100-051-690</v>
      </c>
      <c r="D12427" s="1" t="str">
        <f>"33100-051-690"</f>
        <v>33100-051-690</v>
      </c>
      <c r="E12427" s="1" t="s">
        <v>4579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</row>
    <row r="12428" spans="1:11" x14ac:dyDescent="0.2">
      <c r="A12428" s="1" t="s">
        <v>2246</v>
      </c>
      <c r="B12428" s="1" t="s">
        <v>2280</v>
      </c>
      <c r="C12428" s="1" t="str">
        <f>"66298889280939"</f>
        <v>66298889280939</v>
      </c>
      <c r="D12428" s="1" t="str">
        <f>"P049"</f>
        <v>P049</v>
      </c>
      <c r="E12428" s="1" t="s">
        <v>4579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</row>
    <row r="12429" spans="1:11" x14ac:dyDescent="0.2">
      <c r="A12429" s="1" t="s">
        <v>2246</v>
      </c>
      <c r="B12429" s="1" t="s">
        <v>2281</v>
      </c>
      <c r="C12429" s="1" t="str">
        <f>"P001"</f>
        <v>P001</v>
      </c>
      <c r="D12429" s="1" t="str">
        <f>"P001"</f>
        <v>P001</v>
      </c>
      <c r="E12429" s="1" t="s">
        <v>4579</v>
      </c>
      <c r="F12429" s="1">
        <v>1</v>
      </c>
      <c r="G12429" s="1">
        <v>11230</v>
      </c>
      <c r="H12429" s="1">
        <v>11230</v>
      </c>
      <c r="I12429" s="1">
        <v>0</v>
      </c>
      <c r="J12429" s="1">
        <v>1</v>
      </c>
      <c r="K12429" s="1">
        <v>0</v>
      </c>
    </row>
    <row r="12430" spans="1:11" x14ac:dyDescent="0.2">
      <c r="A12430" s="1" t="s">
        <v>2246</v>
      </c>
      <c r="B12430" s="1" t="s">
        <v>2282</v>
      </c>
      <c r="C12430" s="1" t="str">
        <f>"FOCO-CR-UNIV"</f>
        <v>FOCO-CR-UNIV</v>
      </c>
      <c r="D12430" s="1" t="str">
        <f>"FOCO-CR-UNIV"</f>
        <v>FOCO-CR-UNIV</v>
      </c>
      <c r="E12430" s="1" t="s">
        <v>4579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</row>
    <row r="12431" spans="1:11" x14ac:dyDescent="0.2">
      <c r="A12431" s="1" t="s">
        <v>2246</v>
      </c>
      <c r="B12431" s="1" t="s">
        <v>2283</v>
      </c>
      <c r="C12431" s="1" t="str">
        <f>"66298889320865"</f>
        <v>66298889320865</v>
      </c>
      <c r="D12431" s="1" t="str">
        <f>"33100-KSH-920"</f>
        <v>33100-KSH-920</v>
      </c>
      <c r="E12431" s="1" t="s">
        <v>4579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</row>
    <row r="12432" spans="1:11" x14ac:dyDescent="0.2">
      <c r="A12432" s="1" t="s">
        <v>2246</v>
      </c>
      <c r="B12432" s="1" t="s">
        <v>2283</v>
      </c>
      <c r="C12432" s="1" t="str">
        <f>"410"</f>
        <v>410</v>
      </c>
      <c r="D12432" s="1" t="str">
        <f>"410"</f>
        <v>410</v>
      </c>
      <c r="E12432" s="1" t="s">
        <v>4579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</row>
    <row r="12433" spans="1:11" x14ac:dyDescent="0.2">
      <c r="A12433" s="1" t="s">
        <v>2246</v>
      </c>
      <c r="B12433" s="1" t="s">
        <v>2284</v>
      </c>
      <c r="C12433" s="1" t="str">
        <f>"66298889357891"</f>
        <v>66298889357891</v>
      </c>
      <c r="D12433" s="1" t="str">
        <f>"P021"</f>
        <v>P021</v>
      </c>
      <c r="E12433" s="1" t="s">
        <v>4579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</row>
    <row r="12434" spans="1:11" x14ac:dyDescent="0.2">
      <c r="A12434" s="1" t="s">
        <v>2246</v>
      </c>
      <c r="B12434" s="1" t="s">
        <v>2285</v>
      </c>
      <c r="C12434" s="1" t="str">
        <f>"66298889396066"</f>
        <v>66298889396066</v>
      </c>
      <c r="D12434" s="1" t="str">
        <f>"P020"</f>
        <v>P020</v>
      </c>
      <c r="E12434" s="1" t="s">
        <v>4579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</row>
    <row r="12435" spans="1:11" x14ac:dyDescent="0.2">
      <c r="A12435" s="1" t="s">
        <v>2246</v>
      </c>
      <c r="B12435" s="1" t="s">
        <v>2286</v>
      </c>
      <c r="C12435" s="1" t="str">
        <f>"12577"</f>
        <v>12577</v>
      </c>
      <c r="D12435" s="1" t="str">
        <f>"12577"</f>
        <v>12577</v>
      </c>
      <c r="E12435" s="1" t="s">
        <v>4579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</row>
    <row r="12436" spans="1:11" x14ac:dyDescent="0.2">
      <c r="A12436" s="1" t="s">
        <v>2246</v>
      </c>
      <c r="B12436" s="1" t="s">
        <v>2287</v>
      </c>
      <c r="C12436" s="1" t="str">
        <f>"66298889445392"</f>
        <v>66298889445392</v>
      </c>
      <c r="D12436" s="1" t="str">
        <f>"P058"</f>
        <v>P058</v>
      </c>
      <c r="E12436" s="1" t="s">
        <v>4579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</row>
    <row r="12437" spans="1:11" x14ac:dyDescent="0.2">
      <c r="A12437" s="1" t="s">
        <v>2246</v>
      </c>
      <c r="B12437" s="1" t="s">
        <v>2288</v>
      </c>
      <c r="C12437" s="1" t="str">
        <f>"11489-AZUL"</f>
        <v>11489-AZUL</v>
      </c>
      <c r="D12437" s="1" t="str">
        <f>"11489-AZUL"</f>
        <v>11489-AZUL</v>
      </c>
      <c r="E12437" s="1" t="s">
        <v>4579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</row>
    <row r="12438" spans="1:11" x14ac:dyDescent="0.2">
      <c r="A12438" s="1" t="s">
        <v>2246</v>
      </c>
      <c r="B12438" s="1" t="s">
        <v>2289</v>
      </c>
      <c r="C12438" s="1" t="str">
        <f>"12085"</f>
        <v>12085</v>
      </c>
      <c r="D12438" s="1" t="str">
        <f>"12085"</f>
        <v>12085</v>
      </c>
      <c r="E12438" s="1" t="s">
        <v>4579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</row>
    <row r="12439" spans="1:11" x14ac:dyDescent="0.2">
      <c r="A12439" s="1" t="s">
        <v>2246</v>
      </c>
      <c r="B12439" s="1" t="s">
        <v>2290</v>
      </c>
      <c r="C12439" s="1" t="str">
        <f>"66298889492265"</f>
        <v>66298889492265</v>
      </c>
      <c r="D12439" s="1" t="str">
        <f>"400063"</f>
        <v>400063</v>
      </c>
      <c r="E12439" s="1" t="s">
        <v>4579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</row>
    <row r="12440" spans="1:11" x14ac:dyDescent="0.2">
      <c r="A12440" s="1" t="s">
        <v>2291</v>
      </c>
      <c r="B12440" s="1" t="s">
        <v>2292</v>
      </c>
      <c r="C12440" s="1" t="str">
        <f>"66298889531005"</f>
        <v>66298889531005</v>
      </c>
      <c r="D12440" s="1" t="str">
        <f>"RF018-DEL/DER"</f>
        <v>RF018-DEL/DER</v>
      </c>
      <c r="E12440" s="1" t="s">
        <v>4579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</row>
    <row r="12441" spans="1:11" x14ac:dyDescent="0.2">
      <c r="A12441" s="1" t="s">
        <v>2291</v>
      </c>
      <c r="B12441" s="1" t="s">
        <v>2293</v>
      </c>
      <c r="C12441" s="1" t="str">
        <f>"66298889568682"</f>
        <v>66298889568682</v>
      </c>
      <c r="D12441" s="1" t="str">
        <f>"RF018-DEL/IZQ"</f>
        <v>RF018-DEL/IZQ</v>
      </c>
      <c r="E12441" s="1" t="s">
        <v>4579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</row>
    <row r="12442" spans="1:11" x14ac:dyDescent="0.2">
      <c r="A12442" s="1" t="s">
        <v>2291</v>
      </c>
      <c r="B12442" s="1" t="s">
        <v>2294</v>
      </c>
      <c r="C12442" s="1" t="str">
        <f>"RF016-DER"</f>
        <v>RF016-DER</v>
      </c>
      <c r="D12442" s="1" t="str">
        <f>"RF016-DER"</f>
        <v>RF016-DER</v>
      </c>
      <c r="E12442" s="1" t="s">
        <v>4579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</row>
    <row r="12443" spans="1:11" x14ac:dyDescent="0.2">
      <c r="A12443" s="1" t="s">
        <v>2291</v>
      </c>
      <c r="B12443" s="1" t="s">
        <v>2294</v>
      </c>
      <c r="C12443" s="1" t="str">
        <f>"RF016-IZQ"</f>
        <v>RF016-IZQ</v>
      </c>
      <c r="D12443" s="1" t="str">
        <f>"RF016-IZQ"</f>
        <v>RF016-IZQ</v>
      </c>
      <c r="E12443" s="1" t="s">
        <v>4579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</row>
    <row r="12444" spans="1:11" ht="30" x14ac:dyDescent="0.2">
      <c r="A12444" s="1" t="s">
        <v>2291</v>
      </c>
      <c r="B12444" s="1" t="s">
        <v>2295</v>
      </c>
      <c r="C12444" s="1" t="str">
        <f>"RF017-DEL/DER-TRA/IZQ"</f>
        <v>RF017-DEL/DER-TRA/IZQ</v>
      </c>
      <c r="D12444" s="1" t="str">
        <f>"RF017-DEL/DER-TRA/IZQ"</f>
        <v>RF017-DEL/DER-TRA/IZQ</v>
      </c>
      <c r="E12444" s="1" t="s">
        <v>4579</v>
      </c>
      <c r="F12444" s="1">
        <v>0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</row>
    <row r="12445" spans="1:11" ht="30" x14ac:dyDescent="0.2">
      <c r="A12445" s="1" t="s">
        <v>2291</v>
      </c>
      <c r="B12445" s="1" t="s">
        <v>2296</v>
      </c>
      <c r="C12445" s="1" t="str">
        <f>"RF017-DEL/IZQ-TRA/DER"</f>
        <v>RF017-DEL/IZQ-TRA/DER</v>
      </c>
      <c r="D12445" s="1" t="str">
        <f>"RF017-DEL/IZQ-TRA/DER"</f>
        <v>RF017-DEL/IZQ-TRA/DER</v>
      </c>
      <c r="E12445" s="1" t="s">
        <v>4579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</row>
    <row r="12446" spans="1:11" x14ac:dyDescent="0.2">
      <c r="A12446" s="1" t="s">
        <v>2291</v>
      </c>
      <c r="B12446" s="1" t="s">
        <v>2297</v>
      </c>
      <c r="C12446" s="1" t="str">
        <f>"66298889612050"</f>
        <v>66298889612050</v>
      </c>
      <c r="D12446" s="1" t="str">
        <f>"RF025-DER"</f>
        <v>RF025-DER</v>
      </c>
      <c r="E12446" s="1" t="s">
        <v>4579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</row>
    <row r="12447" spans="1:11" x14ac:dyDescent="0.2">
      <c r="A12447" s="1" t="s">
        <v>2291</v>
      </c>
      <c r="B12447" s="1" t="s">
        <v>2298</v>
      </c>
      <c r="C12447" s="1" t="str">
        <f>"66298889651272"</f>
        <v>66298889651272</v>
      </c>
      <c r="D12447" s="1" t="str">
        <f>"RF025-IZQ"</f>
        <v>RF025-IZQ</v>
      </c>
      <c r="E12447" s="1" t="s">
        <v>4579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</row>
    <row r="12448" spans="1:11" x14ac:dyDescent="0.2">
      <c r="A12448" s="1" t="s">
        <v>2291</v>
      </c>
      <c r="B12448" s="1" t="s">
        <v>2299</v>
      </c>
      <c r="C12448" s="1" t="str">
        <f>"66298889689484"</f>
        <v>66298889689484</v>
      </c>
      <c r="D12448" s="1" t="str">
        <f>"80768"</f>
        <v>80768</v>
      </c>
      <c r="E12448" s="1" t="s">
        <v>4579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</row>
    <row r="12449" spans="1:11" ht="30" x14ac:dyDescent="0.2">
      <c r="A12449" s="1" t="s">
        <v>2291</v>
      </c>
      <c r="B12449" s="1" t="s">
        <v>2300</v>
      </c>
      <c r="C12449" s="1" t="str">
        <f>"66298889727316"</f>
        <v>66298889727316</v>
      </c>
      <c r="D12449" s="1" t="str">
        <f>"RF026-DEL/IZQ"</f>
        <v>RF026-DEL/IZQ</v>
      </c>
      <c r="E12449" s="1" t="s">
        <v>4579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</row>
    <row r="12450" spans="1:11" x14ac:dyDescent="0.2">
      <c r="A12450" s="1" t="s">
        <v>2291</v>
      </c>
      <c r="B12450" s="1" t="s">
        <v>2301</v>
      </c>
      <c r="C12450" s="1" t="str">
        <f>"66298889770911"</f>
        <v>66298889770911</v>
      </c>
      <c r="D12450" s="1" t="str">
        <f>"RF021-DEL/IZQ"</f>
        <v>RF021-DEL/IZQ</v>
      </c>
      <c r="E12450" s="1" t="s">
        <v>4579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</row>
    <row r="12451" spans="1:11" x14ac:dyDescent="0.2">
      <c r="A12451" s="1" t="s">
        <v>2291</v>
      </c>
      <c r="B12451" s="1" t="s">
        <v>2302</v>
      </c>
      <c r="C12451" s="1" t="str">
        <f>"66298889811354"</f>
        <v>66298889811354</v>
      </c>
      <c r="D12451" s="1" t="str">
        <f>"RF002"</f>
        <v>RF002</v>
      </c>
      <c r="E12451" s="1" t="s">
        <v>4579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</row>
    <row r="12452" spans="1:11" x14ac:dyDescent="0.2">
      <c r="A12452" s="1" t="s">
        <v>2291</v>
      </c>
      <c r="B12452" s="1" t="s">
        <v>2303</v>
      </c>
      <c r="C12452" s="1" t="str">
        <f>"66298889850346"</f>
        <v>66298889850346</v>
      </c>
      <c r="D12452" s="1" t="str">
        <f>"82378"</f>
        <v>82378</v>
      </c>
      <c r="E12452" s="1" t="s">
        <v>4579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</row>
    <row r="12453" spans="1:11" x14ac:dyDescent="0.2">
      <c r="A12453" s="1" t="s">
        <v>2291</v>
      </c>
      <c r="B12453" s="1" t="s">
        <v>2303</v>
      </c>
      <c r="C12453" s="1" t="str">
        <f>"RF013-DEL/DER"</f>
        <v>RF013-DEL/DER</v>
      </c>
      <c r="D12453" s="1" t="str">
        <f>"RF013-DEL/DER"</f>
        <v>RF013-DEL/DER</v>
      </c>
      <c r="E12453" s="1" t="s">
        <v>4579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</row>
    <row r="12454" spans="1:11" x14ac:dyDescent="0.2">
      <c r="A12454" s="1" t="s">
        <v>2291</v>
      </c>
      <c r="B12454" s="1" t="s">
        <v>2304</v>
      </c>
      <c r="C12454" s="1" t="str">
        <f>"66298889887473"</f>
        <v>66298889887473</v>
      </c>
      <c r="D12454" s="1" t="str">
        <f>"82337"</f>
        <v>82337</v>
      </c>
      <c r="E12454" s="1" t="s">
        <v>4579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</row>
    <row r="12455" spans="1:11" x14ac:dyDescent="0.2">
      <c r="A12455" s="1" t="s">
        <v>2291</v>
      </c>
      <c r="B12455" s="1" t="s">
        <v>2304</v>
      </c>
      <c r="C12455" s="1" t="str">
        <f>"RF013-DEL/IZQ"</f>
        <v>RF013-DEL/IZQ</v>
      </c>
      <c r="D12455" s="1" t="str">
        <f>"RF013-DEL/IZQ"</f>
        <v>RF013-DEL/IZQ</v>
      </c>
      <c r="E12455" s="1" t="s">
        <v>4579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</row>
    <row r="12456" spans="1:11" x14ac:dyDescent="0.2">
      <c r="A12456" s="1" t="s">
        <v>2291</v>
      </c>
      <c r="B12456" s="1" t="s">
        <v>2305</v>
      </c>
      <c r="C12456" s="1" t="str">
        <f>"RF024-DEL/DER"</f>
        <v>RF024-DEL/DER</v>
      </c>
      <c r="D12456" s="1" t="str">
        <f>"RF024-DEL/DER"</f>
        <v>RF024-DEL/DER</v>
      </c>
      <c r="E12456" s="1" t="s">
        <v>4579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</row>
    <row r="12457" spans="1:11" x14ac:dyDescent="0.2">
      <c r="A12457" s="1" t="s">
        <v>2291</v>
      </c>
      <c r="B12457" s="1" t="s">
        <v>2305</v>
      </c>
      <c r="C12457" s="1" t="str">
        <f>"RF024-DEL/IZQ"</f>
        <v>RF024-DEL/IZQ</v>
      </c>
      <c r="D12457" s="1" t="str">
        <f>"RF024-DEL/IZQ"</f>
        <v>RF024-DEL/IZQ</v>
      </c>
      <c r="E12457" s="1" t="s">
        <v>4579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</row>
    <row r="12458" spans="1:11" x14ac:dyDescent="0.2">
      <c r="A12458" s="1" t="s">
        <v>2291</v>
      </c>
      <c r="B12458" s="1" t="s">
        <v>2306</v>
      </c>
      <c r="C12458" s="1" t="str">
        <f>"66298889935315"</f>
        <v>66298889935315</v>
      </c>
      <c r="D12458" s="1" t="str">
        <f>"80770"</f>
        <v>80770</v>
      </c>
      <c r="E12458" s="1" t="s">
        <v>4579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</row>
    <row r="12459" spans="1:11" x14ac:dyDescent="0.2">
      <c r="A12459" s="1" t="s">
        <v>2291</v>
      </c>
      <c r="B12459" s="1" t="s">
        <v>2306</v>
      </c>
      <c r="C12459" s="1" t="str">
        <f>"RF008"</f>
        <v>RF008</v>
      </c>
      <c r="D12459" s="1" t="str">
        <f>"RF008"</f>
        <v>RF008</v>
      </c>
      <c r="E12459" s="1" t="s">
        <v>4579</v>
      </c>
      <c r="F12459" s="1">
        <v>4</v>
      </c>
      <c r="G12459" s="1">
        <v>2660</v>
      </c>
      <c r="H12459" s="1">
        <v>10640</v>
      </c>
      <c r="I12459" s="1">
        <v>0</v>
      </c>
      <c r="J12459" s="1">
        <v>4</v>
      </c>
      <c r="K12459" s="1">
        <v>0</v>
      </c>
    </row>
    <row r="12460" spans="1:11" x14ac:dyDescent="0.2">
      <c r="A12460" s="1" t="s">
        <v>2291</v>
      </c>
      <c r="B12460" s="1" t="s">
        <v>2307</v>
      </c>
      <c r="C12460" s="1" t="str">
        <f>"66298889980599"</f>
        <v>66298889980599</v>
      </c>
      <c r="D12460" s="1" t="str">
        <f>"RF011"</f>
        <v>RF011</v>
      </c>
      <c r="E12460" s="1" t="s">
        <v>4579</v>
      </c>
      <c r="F12460" s="1">
        <v>0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</row>
    <row r="12461" spans="1:11" x14ac:dyDescent="0.2">
      <c r="A12461" s="1" t="s">
        <v>2291</v>
      </c>
      <c r="B12461" s="1" t="s">
        <v>2308</v>
      </c>
      <c r="C12461" s="1" t="str">
        <f>"12466"</f>
        <v>12466</v>
      </c>
      <c r="D12461" s="1" t="str">
        <f>"12466"</f>
        <v>12466</v>
      </c>
      <c r="E12461" s="1" t="s">
        <v>4579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</row>
    <row r="12462" spans="1:11" x14ac:dyDescent="0.2">
      <c r="A12462" s="1" t="s">
        <v>2246</v>
      </c>
      <c r="B12462" s="1" t="s">
        <v>2309</v>
      </c>
      <c r="C12462" s="1" t="str">
        <f>"B030"</f>
        <v>B030</v>
      </c>
      <c r="D12462" s="1" t="str">
        <f>"B030"</f>
        <v>B030</v>
      </c>
      <c r="E12462" s="1" t="s">
        <v>4579</v>
      </c>
      <c r="F12462" s="1">
        <v>3</v>
      </c>
      <c r="G12462" s="1">
        <v>1370</v>
      </c>
      <c r="H12462" s="1">
        <v>4110</v>
      </c>
      <c r="I12462" s="1">
        <v>0</v>
      </c>
      <c r="J12462" s="1">
        <v>3</v>
      </c>
      <c r="K12462" s="1">
        <v>0</v>
      </c>
    </row>
    <row r="12463" spans="1:11" x14ac:dyDescent="0.2">
      <c r="A12463" s="1" t="s">
        <v>2291</v>
      </c>
      <c r="B12463" s="1" t="s">
        <v>2310</v>
      </c>
      <c r="C12463" s="1" t="str">
        <f>"66298890020532"</f>
        <v>66298890020532</v>
      </c>
      <c r="D12463" s="1" t="str">
        <f>"35601H2C000H000"</f>
        <v>35601H2C000H000</v>
      </c>
      <c r="E12463" s="1" t="s">
        <v>4579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</row>
    <row r="12464" spans="1:11" x14ac:dyDescent="0.2">
      <c r="A12464" s="1" t="s">
        <v>2291</v>
      </c>
      <c r="B12464" s="1" t="s">
        <v>2311</v>
      </c>
      <c r="C12464" s="1" t="str">
        <f>"66298890061789"</f>
        <v>66298890061789</v>
      </c>
      <c r="D12464" s="1" t="str">
        <f>"35603H2C000H000"</f>
        <v>35603H2C000H000</v>
      </c>
      <c r="E12464" s="1" t="s">
        <v>4579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</row>
    <row r="12465" spans="1:11" x14ac:dyDescent="0.2">
      <c r="A12465" s="1" t="s">
        <v>2291</v>
      </c>
      <c r="B12465" s="1" t="s">
        <v>2312</v>
      </c>
      <c r="C12465" s="1" t="str">
        <f>"66298890106171"</f>
        <v>66298890106171</v>
      </c>
      <c r="D12465" s="1" t="str">
        <f>"35604H2C000H000"</f>
        <v>35604H2C000H000</v>
      </c>
      <c r="E12465" s="1" t="s">
        <v>4579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</row>
    <row r="12466" spans="1:11" x14ac:dyDescent="0.2">
      <c r="A12466" s="1" t="s">
        <v>2291</v>
      </c>
      <c r="B12466" s="1" t="s">
        <v>2313</v>
      </c>
      <c r="C12466" s="1" t="str">
        <f>"RF060-DEL/DER-TRA/IZQ"</f>
        <v>RF060-DEL/DER-TRA/IZQ</v>
      </c>
      <c r="D12466" s="1" t="str">
        <f>"RF060-DEL/DER-TRA/IZQ"</f>
        <v>RF060-DEL/DER-TRA/IZQ</v>
      </c>
      <c r="E12466" s="1" t="s">
        <v>4579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</row>
    <row r="12467" spans="1:11" x14ac:dyDescent="0.2">
      <c r="A12467" s="1" t="s">
        <v>2291</v>
      </c>
      <c r="B12467" s="1" t="s">
        <v>2314</v>
      </c>
      <c r="C12467" s="1" t="str">
        <f>"RF060-DEL/IZQ-TRA/DER"</f>
        <v>RF060-DEL/IZQ-TRA/DER</v>
      </c>
      <c r="D12467" s="1" t="str">
        <f>"RF060-DEL/IZQ-TRA/DER"</f>
        <v>RF060-DEL/IZQ-TRA/DER</v>
      </c>
      <c r="E12467" s="1" t="s">
        <v>4579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</row>
    <row r="12468" spans="1:11" x14ac:dyDescent="0.2">
      <c r="A12468" s="1" t="s">
        <v>2291</v>
      </c>
      <c r="B12468" s="1" t="s">
        <v>2315</v>
      </c>
      <c r="C12468" s="1" t="str">
        <f>"66298890142748"</f>
        <v>66298890142748</v>
      </c>
      <c r="D12468" s="1" t="str">
        <f>"80905"</f>
        <v>80905</v>
      </c>
      <c r="E12468" s="1" t="s">
        <v>4579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</row>
    <row r="12469" spans="1:11" x14ac:dyDescent="0.2">
      <c r="A12469" s="1" t="s">
        <v>2291</v>
      </c>
      <c r="B12469" s="1" t="s">
        <v>2316</v>
      </c>
      <c r="C12469" s="1" t="str">
        <f>"66298890180774"</f>
        <v>66298890180774</v>
      </c>
      <c r="D12469" s="1" t="str">
        <f>"80906"</f>
        <v>80906</v>
      </c>
      <c r="E12469" s="1" t="s">
        <v>4579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</row>
    <row r="12470" spans="1:11" ht="30" x14ac:dyDescent="0.2">
      <c r="A12470" s="1" t="s">
        <v>2291</v>
      </c>
      <c r="B12470" s="1" t="s">
        <v>2317</v>
      </c>
      <c r="C12470" s="1" t="str">
        <f>"BR04094STLU"</f>
        <v>BR04094STLU</v>
      </c>
      <c r="D12470" s="1" t="str">
        <f>"BR04094STLU"</f>
        <v>BR04094STLU</v>
      </c>
      <c r="E12470" s="1" t="s">
        <v>4579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</row>
    <row r="12471" spans="1:11" ht="30" x14ac:dyDescent="0.2">
      <c r="A12471" s="1" t="s">
        <v>2291</v>
      </c>
      <c r="B12471" s="1" t="s">
        <v>2318</v>
      </c>
      <c r="C12471" s="1" t="str">
        <f>"BR04095STLU"</f>
        <v>BR04095STLU</v>
      </c>
      <c r="D12471" s="1" t="str">
        <f>"BR04095STLU"</f>
        <v>BR04095STLU</v>
      </c>
      <c r="E12471" s="1" t="s">
        <v>4579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</row>
    <row r="12472" spans="1:11" ht="30" x14ac:dyDescent="0.2">
      <c r="A12472" s="1" t="s">
        <v>2291</v>
      </c>
      <c r="B12472" s="1" t="s">
        <v>2319</v>
      </c>
      <c r="C12472" s="1" t="str">
        <f>"RF001-DER"</f>
        <v>RF001-DER</v>
      </c>
      <c r="D12472" s="1" t="str">
        <f>"RF001-DER"</f>
        <v>RF001-DER</v>
      </c>
      <c r="E12472" s="1" t="s">
        <v>4579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</row>
    <row r="12473" spans="1:11" ht="30" x14ac:dyDescent="0.2">
      <c r="A12473" s="1" t="s">
        <v>2291</v>
      </c>
      <c r="B12473" s="1" t="s">
        <v>2320</v>
      </c>
      <c r="C12473" s="1" t="str">
        <f>"RF001-IZQ"</f>
        <v>RF001-IZQ</v>
      </c>
      <c r="D12473" s="1" t="str">
        <f>"RF001-IZQ"</f>
        <v>RF001-IZQ</v>
      </c>
      <c r="E12473" s="1" t="s">
        <v>4579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</row>
    <row r="12474" spans="1:11" x14ac:dyDescent="0.2">
      <c r="A12474" s="1" t="s">
        <v>2291</v>
      </c>
      <c r="B12474" s="1" t="s">
        <v>2321</v>
      </c>
      <c r="C12474" s="1" t="str">
        <f>"66298890301162"</f>
        <v>66298890301162</v>
      </c>
      <c r="D12474" s="1" t="str">
        <f>"83189"</f>
        <v>83189</v>
      </c>
      <c r="E12474" s="1" t="s">
        <v>4579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</row>
    <row r="12475" spans="1:11" x14ac:dyDescent="0.2">
      <c r="A12475" s="1" t="s">
        <v>2291</v>
      </c>
      <c r="B12475" s="1" t="s">
        <v>2322</v>
      </c>
      <c r="C12475" s="1" t="str">
        <f>"66298890342852"</f>
        <v>66298890342852</v>
      </c>
      <c r="D12475" s="1" t="str">
        <f>"U001B"</f>
        <v>U001B</v>
      </c>
      <c r="E12475" s="1" t="s">
        <v>4579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</row>
    <row r="12476" spans="1:11" x14ac:dyDescent="0.2">
      <c r="A12476" s="1" t="s">
        <v>2246</v>
      </c>
      <c r="B12476" s="1" t="s">
        <v>2323</v>
      </c>
      <c r="C12476" s="1" t="str">
        <f>"RF012"</f>
        <v>RF012</v>
      </c>
      <c r="D12476" s="1" t="str">
        <f>"RF012"</f>
        <v>RF012</v>
      </c>
      <c r="E12476" s="1" t="s">
        <v>4579</v>
      </c>
      <c r="F12476" s="1">
        <v>8</v>
      </c>
      <c r="G12476" s="1">
        <v>3990</v>
      </c>
      <c r="H12476" s="1">
        <v>31920</v>
      </c>
      <c r="I12476" s="1">
        <v>0</v>
      </c>
      <c r="J12476" s="1">
        <v>8</v>
      </c>
      <c r="K12476" s="1">
        <v>0</v>
      </c>
    </row>
    <row r="12477" spans="1:11" x14ac:dyDescent="0.2">
      <c r="A12477" s="1" t="s">
        <v>2291</v>
      </c>
      <c r="B12477" s="1" t="s">
        <v>2324</v>
      </c>
      <c r="C12477" s="1" t="str">
        <f>"66298890382003"</f>
        <v>66298890382003</v>
      </c>
      <c r="D12477" s="1" t="str">
        <f>"FS-STORM"</f>
        <v>FS-STORM</v>
      </c>
      <c r="E12477" s="1" t="s">
        <v>4579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</row>
    <row r="12478" spans="1:11" x14ac:dyDescent="0.2">
      <c r="A12478" s="1" t="s">
        <v>2291</v>
      </c>
      <c r="B12478" s="1" t="s">
        <v>2325</v>
      </c>
      <c r="C12478" s="1" t="str">
        <f>"66298890421420"</f>
        <v>66298890421420</v>
      </c>
      <c r="D12478" s="1" t="str">
        <f>"E003"</f>
        <v>E003</v>
      </c>
      <c r="E12478" s="1" t="s">
        <v>4579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</row>
    <row r="12479" spans="1:11" x14ac:dyDescent="0.2">
      <c r="A12479" s="1" t="s">
        <v>2246</v>
      </c>
      <c r="B12479" s="1" t="s">
        <v>2326</v>
      </c>
      <c r="C12479" s="1" t="str">
        <f>"B023"</f>
        <v>B023</v>
      </c>
      <c r="D12479" s="1" t="str">
        <f>"B023"</f>
        <v>B023</v>
      </c>
      <c r="E12479" s="1" t="s">
        <v>4579</v>
      </c>
      <c r="F12479" s="1">
        <v>3</v>
      </c>
      <c r="G12479" s="1">
        <v>1310</v>
      </c>
      <c r="H12479" s="1">
        <v>3930</v>
      </c>
      <c r="I12479" s="1">
        <v>0</v>
      </c>
      <c r="J12479" s="1">
        <v>3</v>
      </c>
      <c r="K12479" s="1">
        <v>0</v>
      </c>
    </row>
    <row r="12480" spans="1:11" ht="30" x14ac:dyDescent="0.2">
      <c r="A12480" s="1" t="s">
        <v>2291</v>
      </c>
      <c r="B12480" s="1" t="s">
        <v>2327</v>
      </c>
      <c r="C12480" s="1" t="str">
        <f>"RF014-TRA/DER"</f>
        <v>RF014-TRA/DER</v>
      </c>
      <c r="D12480" s="1" t="str">
        <f>"RF014-TRA/DER"</f>
        <v>RF014-TRA/DER</v>
      </c>
      <c r="E12480" s="1" t="s">
        <v>4579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</row>
    <row r="12481" spans="1:11" ht="30" x14ac:dyDescent="0.2">
      <c r="A12481" s="1" t="s">
        <v>2291</v>
      </c>
      <c r="B12481" s="1" t="s">
        <v>2328</v>
      </c>
      <c r="C12481" s="1" t="str">
        <f>"RF014-TRA/IZQ"</f>
        <v>RF014-TRA/IZQ</v>
      </c>
      <c r="D12481" s="1" t="str">
        <f>"RF014-TRA/IZQ"</f>
        <v>RF014-TRA/IZQ</v>
      </c>
      <c r="E12481" s="1" t="s">
        <v>4579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</row>
    <row r="12482" spans="1:11" x14ac:dyDescent="0.2">
      <c r="A12482" s="1" t="s">
        <v>2291</v>
      </c>
      <c r="B12482" s="1" t="s">
        <v>2329</v>
      </c>
      <c r="C12482" s="1" t="str">
        <f>"66298890462087"</f>
        <v>66298890462087</v>
      </c>
      <c r="D12482" s="1" t="str">
        <f>"80361"</f>
        <v>80361</v>
      </c>
      <c r="E12482" s="1" t="s">
        <v>4579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</row>
    <row r="12483" spans="1:11" x14ac:dyDescent="0.2">
      <c r="A12483" s="1" t="s">
        <v>2291</v>
      </c>
      <c r="B12483" s="1" t="s">
        <v>2330</v>
      </c>
      <c r="C12483" s="1" t="str">
        <f>"66298890500420"</f>
        <v>66298890500420</v>
      </c>
      <c r="D12483" s="1" t="str">
        <f>"FS-UNIVERSAL"</f>
        <v>FS-UNIVERSAL</v>
      </c>
      <c r="E12483" s="1" t="s">
        <v>4579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</row>
    <row r="12484" spans="1:11" x14ac:dyDescent="0.2">
      <c r="A12484" s="1" t="s">
        <v>2246</v>
      </c>
      <c r="B12484" s="1" t="s">
        <v>2331</v>
      </c>
      <c r="C12484" s="1" t="str">
        <f>"C059"</f>
        <v>C059</v>
      </c>
      <c r="D12484" s="1" t="str">
        <f>"C059"</f>
        <v>C059</v>
      </c>
      <c r="E12484" s="1" t="s">
        <v>4579</v>
      </c>
      <c r="F12484" s="1">
        <v>3</v>
      </c>
      <c r="G12484" s="1">
        <v>1370</v>
      </c>
      <c r="H12484" s="1">
        <v>4110</v>
      </c>
      <c r="I12484" s="1">
        <v>0</v>
      </c>
      <c r="J12484" s="1">
        <v>3</v>
      </c>
      <c r="K12484" s="1">
        <v>0</v>
      </c>
    </row>
    <row r="12485" spans="1:11" x14ac:dyDescent="0.2">
      <c r="A12485" s="1" t="s">
        <v>2246</v>
      </c>
      <c r="B12485" s="1" t="s">
        <v>2332</v>
      </c>
      <c r="C12485" s="1" t="str">
        <f>"B035"</f>
        <v>B035</v>
      </c>
      <c r="D12485" s="1" t="str">
        <f>"B035"</f>
        <v>B035</v>
      </c>
      <c r="E12485" s="1" t="s">
        <v>4579</v>
      </c>
      <c r="F12485" s="1">
        <v>3</v>
      </c>
      <c r="G12485" s="1">
        <v>1140</v>
      </c>
      <c r="H12485" s="1">
        <v>3420</v>
      </c>
      <c r="I12485" s="1">
        <v>0</v>
      </c>
      <c r="J12485" s="1">
        <v>3</v>
      </c>
      <c r="K12485" s="1">
        <v>0</v>
      </c>
    </row>
    <row r="12486" spans="1:11" x14ac:dyDescent="0.2">
      <c r="A12486" s="1" t="s">
        <v>2291</v>
      </c>
      <c r="B12486" s="1" t="s">
        <v>2333</v>
      </c>
      <c r="C12486" s="1" t="str">
        <f>"66298890540760"</f>
        <v>66298890540760</v>
      </c>
      <c r="D12486" s="1" t="str">
        <f>"C058"</f>
        <v>C058</v>
      </c>
      <c r="E12486" s="1" t="s">
        <v>4579</v>
      </c>
      <c r="F12486" s="1">
        <v>4</v>
      </c>
      <c r="G12486" s="1">
        <v>2780</v>
      </c>
      <c r="H12486" s="1">
        <v>11120</v>
      </c>
      <c r="I12486" s="1">
        <v>0</v>
      </c>
      <c r="J12486" s="1">
        <v>4</v>
      </c>
      <c r="K12486" s="1">
        <v>0</v>
      </c>
    </row>
    <row r="12487" spans="1:11" x14ac:dyDescent="0.2">
      <c r="A12487" s="1" t="s">
        <v>2291</v>
      </c>
      <c r="B12487" s="1" t="s">
        <v>2334</v>
      </c>
      <c r="C12487" s="1" t="str">
        <f>"FOCO-SE-UNIV"</f>
        <v>FOCO-SE-UNIV</v>
      </c>
      <c r="D12487" s="1" t="str">
        <f>"FOCO-SE-UNIV"</f>
        <v>FOCO-SE-UNIV</v>
      </c>
      <c r="E12487" s="1" t="s">
        <v>4579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</row>
    <row r="12488" spans="1:11" x14ac:dyDescent="0.2">
      <c r="A12488" s="1" t="s">
        <v>2246</v>
      </c>
      <c r="B12488" s="1" t="s">
        <v>2334</v>
      </c>
      <c r="C12488" s="1" t="str">
        <f>"60151"</f>
        <v>60151</v>
      </c>
      <c r="D12488" s="1" t="str">
        <f>"60151"</f>
        <v>60151</v>
      </c>
      <c r="E12488" s="1" t="s">
        <v>4579</v>
      </c>
      <c r="F12488" s="1">
        <v>3</v>
      </c>
      <c r="G12488" s="1">
        <v>1280</v>
      </c>
      <c r="H12488" s="1">
        <v>3840</v>
      </c>
      <c r="I12488" s="1">
        <v>0</v>
      </c>
      <c r="J12488" s="1">
        <v>3</v>
      </c>
      <c r="K12488" s="1">
        <v>0</v>
      </c>
    </row>
    <row r="12489" spans="1:11" x14ac:dyDescent="0.2">
      <c r="A12489" s="1" t="s">
        <v>2246</v>
      </c>
      <c r="B12489" s="1" t="s">
        <v>2334</v>
      </c>
      <c r="C12489" s="1" t="str">
        <f>"B0321"</f>
        <v>B0321</v>
      </c>
      <c r="D12489" s="1" t="str">
        <f>"B0321"</f>
        <v>B0321</v>
      </c>
      <c r="E12489" s="1" t="s">
        <v>4579</v>
      </c>
      <c r="F12489" s="1">
        <v>3</v>
      </c>
      <c r="G12489" s="1">
        <v>1090</v>
      </c>
      <c r="H12489" s="1">
        <v>3270</v>
      </c>
      <c r="I12489" s="1">
        <v>0</v>
      </c>
      <c r="J12489" s="1">
        <v>3</v>
      </c>
      <c r="K12489" s="1">
        <v>0</v>
      </c>
    </row>
    <row r="12490" spans="1:11" x14ac:dyDescent="0.2">
      <c r="A12490" s="1" t="s">
        <v>2246</v>
      </c>
      <c r="B12490" s="1" t="s">
        <v>2334</v>
      </c>
      <c r="C12490" s="1" t="str">
        <f>"C003"</f>
        <v>C003</v>
      </c>
      <c r="D12490" s="1" t="str">
        <f>"C003"</f>
        <v>C003</v>
      </c>
      <c r="E12490" s="1" t="s">
        <v>4579</v>
      </c>
      <c r="F12490" s="1">
        <v>3</v>
      </c>
      <c r="G12490" s="1">
        <v>1370</v>
      </c>
      <c r="H12490" s="1">
        <v>4110</v>
      </c>
      <c r="I12490" s="1">
        <v>0</v>
      </c>
      <c r="J12490" s="1">
        <v>3</v>
      </c>
      <c r="K12490" s="1">
        <v>0</v>
      </c>
    </row>
    <row r="12491" spans="1:11" x14ac:dyDescent="0.2">
      <c r="A12491" s="1" t="s">
        <v>2291</v>
      </c>
      <c r="B12491" s="1" t="s">
        <v>2335</v>
      </c>
      <c r="C12491" s="1" t="str">
        <f>"66298890588619"</f>
        <v>66298890588619</v>
      </c>
      <c r="D12491" s="1" t="str">
        <f>"C103"</f>
        <v>C103</v>
      </c>
      <c r="E12491" s="1" t="s">
        <v>4579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</row>
    <row r="12492" spans="1:11" x14ac:dyDescent="0.2">
      <c r="A12492" s="1" t="s">
        <v>2291</v>
      </c>
      <c r="B12492" s="1" t="s">
        <v>2336</v>
      </c>
      <c r="C12492" s="1" t="str">
        <f>"66298890633816"</f>
        <v>66298890633816</v>
      </c>
      <c r="D12492" s="1" t="str">
        <f>"C153"</f>
        <v>C153</v>
      </c>
      <c r="E12492" s="1" t="s">
        <v>4579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</row>
    <row r="12493" spans="1:11" ht="30" x14ac:dyDescent="0.2">
      <c r="A12493" s="1" t="s">
        <v>2291</v>
      </c>
      <c r="B12493" s="1" t="s">
        <v>2337</v>
      </c>
      <c r="C12493" s="1" t="str">
        <f>"RF015-DER"</f>
        <v>RF015-DER</v>
      </c>
      <c r="D12493" s="1" t="str">
        <f>"RF015-DER"</f>
        <v>RF015-DER</v>
      </c>
      <c r="E12493" s="1" t="s">
        <v>4579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</row>
    <row r="12494" spans="1:11" ht="30" x14ac:dyDescent="0.2">
      <c r="A12494" s="1" t="s">
        <v>2291</v>
      </c>
      <c r="B12494" s="1" t="s">
        <v>2338</v>
      </c>
      <c r="C12494" s="1" t="str">
        <f>"RF015-IZQ"</f>
        <v>RF015-IZQ</v>
      </c>
      <c r="D12494" s="1" t="str">
        <f>"RF015-IZQ"</f>
        <v>RF015-IZQ</v>
      </c>
      <c r="E12494" s="1" t="s">
        <v>4579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</row>
    <row r="12495" spans="1:11" x14ac:dyDescent="0.2">
      <c r="A12495" s="1" t="s">
        <v>2291</v>
      </c>
      <c r="B12495" s="1" t="s">
        <v>2339</v>
      </c>
      <c r="C12495" s="1" t="str">
        <f>"66298890672498"</f>
        <v>66298890672498</v>
      </c>
      <c r="D12495" s="1" t="str">
        <f>"RF006-IZQ"</f>
        <v>RF006-IZQ</v>
      </c>
      <c r="E12495" s="1" t="s">
        <v>4579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</row>
    <row r="12496" spans="1:11" x14ac:dyDescent="0.2">
      <c r="A12496" s="1" t="s">
        <v>2246</v>
      </c>
      <c r="B12496" s="1" t="s">
        <v>2340</v>
      </c>
      <c r="C12496" s="1" t="str">
        <f>"66298890714957"</f>
        <v>66298890714957</v>
      </c>
      <c r="D12496" s="1" t="str">
        <f>"110252"</f>
        <v>110252</v>
      </c>
      <c r="E12496" s="1" t="s">
        <v>4579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</row>
    <row r="12497" spans="1:11" x14ac:dyDescent="0.2">
      <c r="A12497" s="1" t="s">
        <v>2246</v>
      </c>
      <c r="B12497" s="1" t="s">
        <v>2341</v>
      </c>
      <c r="C12497" s="1" t="str">
        <f>"66298890758228"</f>
        <v>66298890758228</v>
      </c>
      <c r="D12497" s="1" t="str">
        <f>"1529"</f>
        <v>1529</v>
      </c>
      <c r="E12497" s="1" t="s">
        <v>4579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</row>
    <row r="12498" spans="1:11" x14ac:dyDescent="0.2">
      <c r="A12498" s="1" t="s">
        <v>2246</v>
      </c>
      <c r="B12498" s="1" t="s">
        <v>2342</v>
      </c>
      <c r="C12498" s="1" t="str">
        <f>"PB018"</f>
        <v>PB018</v>
      </c>
      <c r="D12498" s="1" t="str">
        <f>"PB018"</f>
        <v>PB018</v>
      </c>
      <c r="E12498" s="1" t="s">
        <v>4579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</row>
    <row r="12499" spans="1:11" x14ac:dyDescent="0.2">
      <c r="A12499" s="1" t="s">
        <v>2246</v>
      </c>
      <c r="B12499" s="1" t="s">
        <v>2343</v>
      </c>
      <c r="C12499" s="1" t="str">
        <f>"PB016"</f>
        <v>PB016</v>
      </c>
      <c r="D12499" s="1" t="str">
        <f>"PB016"</f>
        <v>PB016</v>
      </c>
      <c r="E12499" s="1" t="s">
        <v>4579</v>
      </c>
      <c r="F12499" s="1">
        <v>1</v>
      </c>
      <c r="G12499" s="1">
        <v>6950</v>
      </c>
      <c r="H12499" s="1">
        <v>6950</v>
      </c>
      <c r="I12499" s="1">
        <v>0</v>
      </c>
      <c r="J12499" s="1">
        <v>1</v>
      </c>
      <c r="K12499" s="1">
        <v>0</v>
      </c>
    </row>
    <row r="12500" spans="1:11" x14ac:dyDescent="0.2">
      <c r="A12500" s="1" t="s">
        <v>2246</v>
      </c>
      <c r="B12500" s="1" t="s">
        <v>2344</v>
      </c>
      <c r="C12500" s="1" t="str">
        <f>"66298890793010"</f>
        <v>66298890793010</v>
      </c>
      <c r="D12500" s="1" t="str">
        <f>"1039-TWISTER"</f>
        <v>1039-TWISTER</v>
      </c>
      <c r="E12500" s="1" t="s">
        <v>4579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</row>
    <row r="12501" spans="1:11" x14ac:dyDescent="0.2">
      <c r="A12501" s="1" t="s">
        <v>2246</v>
      </c>
      <c r="B12501" s="1" t="s">
        <v>2344</v>
      </c>
      <c r="C12501" s="1" t="str">
        <f>"66298890829939"</f>
        <v>66298890829939</v>
      </c>
      <c r="D12501" s="1" t="str">
        <f>"PB011"</f>
        <v>PB011</v>
      </c>
      <c r="E12501" s="1" t="s">
        <v>4579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</row>
    <row r="12502" spans="1:11" x14ac:dyDescent="0.2">
      <c r="A12502" s="1" t="s">
        <v>2246</v>
      </c>
      <c r="B12502" s="1" t="s">
        <v>2345</v>
      </c>
      <c r="C12502" s="1" t="str">
        <f>"FOCO-TRA-CG"</f>
        <v>FOCO-TRA-CG</v>
      </c>
      <c r="D12502" s="1" t="str">
        <f>"FOCO-TRA-CG"</f>
        <v>FOCO-TRA-CG</v>
      </c>
      <c r="E12502" s="1" t="s">
        <v>4579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</row>
    <row r="12503" spans="1:11" x14ac:dyDescent="0.2">
      <c r="A12503" s="1" t="s">
        <v>2246</v>
      </c>
      <c r="B12503" s="1" t="s">
        <v>2346</v>
      </c>
      <c r="C12503" s="1" t="str">
        <f>"66298890870101"</f>
        <v>66298890870101</v>
      </c>
      <c r="D12503" s="1" t="str">
        <f>"RD019"</f>
        <v>RD019</v>
      </c>
      <c r="E12503" s="1" t="s">
        <v>4579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</row>
    <row r="12504" spans="1:11" x14ac:dyDescent="0.2">
      <c r="A12504" s="1" t="s">
        <v>2246</v>
      </c>
      <c r="B12504" s="1" t="s">
        <v>2346</v>
      </c>
      <c r="C12504" s="1" t="str">
        <f>"RD018"</f>
        <v>RD018</v>
      </c>
      <c r="D12504" s="1" t="str">
        <f>"RD018"</f>
        <v>RD018</v>
      </c>
      <c r="E12504" s="1" t="s">
        <v>4579</v>
      </c>
      <c r="F12504" s="1">
        <v>2</v>
      </c>
      <c r="G12504" s="1">
        <v>4230</v>
      </c>
      <c r="H12504" s="1">
        <v>8460</v>
      </c>
      <c r="I12504" s="1">
        <v>0</v>
      </c>
      <c r="J12504" s="1">
        <v>2</v>
      </c>
      <c r="K12504" s="1">
        <v>0</v>
      </c>
    </row>
    <row r="12505" spans="1:11" x14ac:dyDescent="0.2">
      <c r="A12505" s="1" t="s">
        <v>2246</v>
      </c>
      <c r="B12505" s="1" t="s">
        <v>2347</v>
      </c>
      <c r="C12505" s="1" t="str">
        <f>"PB014"</f>
        <v>PB014</v>
      </c>
      <c r="D12505" s="1" t="str">
        <f>"PB014"</f>
        <v>PB014</v>
      </c>
      <c r="E12505" s="1" t="s">
        <v>4579</v>
      </c>
      <c r="F12505" s="1">
        <v>2</v>
      </c>
      <c r="G12505" s="1">
        <v>4950</v>
      </c>
      <c r="H12505" s="1">
        <v>9900</v>
      </c>
      <c r="I12505" s="1">
        <v>0</v>
      </c>
      <c r="J12505" s="1">
        <v>2</v>
      </c>
      <c r="K12505" s="1">
        <v>0</v>
      </c>
    </row>
    <row r="12506" spans="1:11" x14ac:dyDescent="0.2">
      <c r="A12506" s="1" t="s">
        <v>2246</v>
      </c>
      <c r="B12506" s="1" t="s">
        <v>2348</v>
      </c>
      <c r="C12506" s="1" t="str">
        <f>"66298890907486"</f>
        <v>66298890907486</v>
      </c>
      <c r="D12506" s="1" t="str">
        <f>"PB002"</f>
        <v>PB002</v>
      </c>
      <c r="E12506" s="1" t="s">
        <v>4579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</row>
    <row r="12507" spans="1:11" x14ac:dyDescent="0.2">
      <c r="A12507" s="1" t="s">
        <v>2246</v>
      </c>
      <c r="B12507" s="1" t="s">
        <v>2349</v>
      </c>
      <c r="C12507" s="1" t="str">
        <f>"66298890947517"</f>
        <v>66298890947517</v>
      </c>
      <c r="D12507" s="1" t="str">
        <f>"80778"</f>
        <v>80778</v>
      </c>
      <c r="E12507" s="1" t="s">
        <v>4579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</row>
    <row r="12508" spans="1:11" x14ac:dyDescent="0.2">
      <c r="A12508" s="1" t="s">
        <v>2246</v>
      </c>
      <c r="B12508" s="1" t="s">
        <v>2350</v>
      </c>
      <c r="C12508" s="1" t="str">
        <f>"PB005"</f>
        <v>PB005</v>
      </c>
      <c r="D12508" s="1" t="str">
        <f>"PB005"</f>
        <v>PB005</v>
      </c>
      <c r="E12508" s="1" t="s">
        <v>4579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</row>
    <row r="12509" spans="1:11" x14ac:dyDescent="0.2">
      <c r="A12509" s="1" t="s">
        <v>2246</v>
      </c>
      <c r="B12509" s="1" t="s">
        <v>2351</v>
      </c>
      <c r="C12509" s="1" t="str">
        <f>"66298890988279"</f>
        <v>66298890988279</v>
      </c>
      <c r="D12509" s="1" t="str">
        <f>"PB033"</f>
        <v>PB033</v>
      </c>
      <c r="E12509" s="1" t="s">
        <v>4579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</row>
    <row r="12510" spans="1:11" x14ac:dyDescent="0.2">
      <c r="A12510" s="1" t="s">
        <v>2246</v>
      </c>
      <c r="B12510" s="1" t="s">
        <v>2352</v>
      </c>
      <c r="C12510" s="1" t="str">
        <f>"PB040"</f>
        <v>PB040</v>
      </c>
      <c r="D12510" s="1" t="str">
        <f>"PB040"</f>
        <v>PB040</v>
      </c>
      <c r="E12510" s="1" t="s">
        <v>4579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</row>
    <row r="12511" spans="1:11" x14ac:dyDescent="0.2">
      <c r="A12511" s="1" t="s">
        <v>2246</v>
      </c>
      <c r="B12511" s="1" t="s">
        <v>2353</v>
      </c>
      <c r="C12511" s="1" t="str">
        <f>"66298891028219"</f>
        <v>66298891028219</v>
      </c>
      <c r="D12511" s="1" t="str">
        <f>"RD015"</f>
        <v>RD015</v>
      </c>
      <c r="E12511" s="1" t="s">
        <v>4579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</row>
    <row r="12512" spans="1:11" x14ac:dyDescent="0.2">
      <c r="A12512" s="1" t="s">
        <v>2246</v>
      </c>
      <c r="B12512" s="1" t="s">
        <v>2354</v>
      </c>
      <c r="C12512" s="1" t="str">
        <f>"66298891069012"</f>
        <v>66298891069012</v>
      </c>
      <c r="D12512" s="1" t="str">
        <f>"B009"</f>
        <v>B009</v>
      </c>
      <c r="E12512" s="1" t="s">
        <v>4579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</row>
    <row r="12513" spans="1:11" x14ac:dyDescent="0.2">
      <c r="A12513" s="1" t="s">
        <v>2246</v>
      </c>
      <c r="B12513" s="1" t="s">
        <v>2355</v>
      </c>
      <c r="C12513" s="1" t="str">
        <f>"PB049"</f>
        <v>PB049</v>
      </c>
      <c r="D12513" s="1" t="str">
        <f>"PB049"</f>
        <v>PB049</v>
      </c>
      <c r="E12513" s="1" t="s">
        <v>4579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</row>
    <row r="12514" spans="1:11" x14ac:dyDescent="0.2">
      <c r="A12514" s="1" t="s">
        <v>2246</v>
      </c>
      <c r="B12514" s="1" t="s">
        <v>2356</v>
      </c>
      <c r="C12514" s="1" t="str">
        <f>"66298891112827"</f>
        <v>66298891112827</v>
      </c>
      <c r="D12514" s="1" t="str">
        <f>"20009"</f>
        <v>20009</v>
      </c>
      <c r="E12514" s="1" t="s">
        <v>4579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</row>
    <row r="12515" spans="1:11" x14ac:dyDescent="0.2">
      <c r="A12515" s="1" t="s">
        <v>2246</v>
      </c>
      <c r="B12515" s="1" t="s">
        <v>2357</v>
      </c>
      <c r="C12515" s="1" t="str">
        <f>"RD024"</f>
        <v>RD024</v>
      </c>
      <c r="D12515" s="1" t="str">
        <f>"RD024"</f>
        <v>RD024</v>
      </c>
      <c r="E12515" s="1" t="s">
        <v>4579</v>
      </c>
      <c r="F12515" s="1">
        <v>2</v>
      </c>
      <c r="G12515" s="1">
        <v>3250</v>
      </c>
      <c r="H12515" s="1">
        <v>6500</v>
      </c>
      <c r="I12515" s="1">
        <v>0</v>
      </c>
      <c r="J12515" s="1">
        <v>2</v>
      </c>
      <c r="K12515" s="1">
        <v>0</v>
      </c>
    </row>
    <row r="12516" spans="1:11" x14ac:dyDescent="0.2">
      <c r="A12516" s="1" t="s">
        <v>2246</v>
      </c>
      <c r="B12516" s="1" t="s">
        <v>2358</v>
      </c>
      <c r="C12516" s="1" t="str">
        <f>"PB008"</f>
        <v>PB008</v>
      </c>
      <c r="D12516" s="1" t="str">
        <f>"PB008"</f>
        <v>PB008</v>
      </c>
      <c r="E12516" s="1" t="s">
        <v>4579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</row>
    <row r="12517" spans="1:11" x14ac:dyDescent="0.2">
      <c r="A12517" s="1" t="s">
        <v>2246</v>
      </c>
      <c r="B12517" s="1" t="s">
        <v>2359</v>
      </c>
      <c r="C12517" s="1" t="str">
        <f>"66298891149797"</f>
        <v>66298891149797</v>
      </c>
      <c r="D12517" s="1" t="str">
        <f>"PB017"</f>
        <v>PB017</v>
      </c>
      <c r="E12517" s="1" t="s">
        <v>4579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</row>
    <row r="12518" spans="1:11" x14ac:dyDescent="0.2">
      <c r="A12518" s="1" t="s">
        <v>2246</v>
      </c>
      <c r="B12518" s="1" t="s">
        <v>2360</v>
      </c>
      <c r="C12518" s="1" t="str">
        <f>"66298891189846"</f>
        <v>66298891189846</v>
      </c>
      <c r="D12518" s="1" t="str">
        <f>"B014"</f>
        <v>B014</v>
      </c>
      <c r="E12518" s="1" t="s">
        <v>4579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</row>
    <row r="12519" spans="1:11" x14ac:dyDescent="0.2">
      <c r="A12519" s="1" t="s">
        <v>2246</v>
      </c>
      <c r="B12519" s="1" t="s">
        <v>2361</v>
      </c>
      <c r="C12519" s="1" t="str">
        <f>"66298891263582"</f>
        <v>66298891263582</v>
      </c>
      <c r="D12519" s="1" t="str">
        <f>"RD030"</f>
        <v>RD030</v>
      </c>
      <c r="E12519" s="1" t="s">
        <v>4579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</row>
    <row r="12520" spans="1:11" x14ac:dyDescent="0.2">
      <c r="A12520" s="1" t="s">
        <v>2246</v>
      </c>
      <c r="B12520" s="1" t="s">
        <v>2362</v>
      </c>
      <c r="C12520" s="1" t="str">
        <f>"66298891303123"</f>
        <v>66298891303123</v>
      </c>
      <c r="D12520" s="1" t="str">
        <f>"RD031"</f>
        <v>RD031</v>
      </c>
      <c r="E12520" s="1" t="s">
        <v>4579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</row>
    <row r="12521" spans="1:11" x14ac:dyDescent="0.2">
      <c r="A12521" s="1" t="s">
        <v>2246</v>
      </c>
      <c r="B12521" s="1" t="s">
        <v>2363</v>
      </c>
      <c r="C12521" s="1" t="str">
        <f>"66298891227504"</f>
        <v>66298891227504</v>
      </c>
      <c r="D12521" s="1" t="str">
        <f>"RD022"</f>
        <v>RD022</v>
      </c>
      <c r="E12521" s="1" t="s">
        <v>4579</v>
      </c>
      <c r="F12521" s="1">
        <v>2</v>
      </c>
      <c r="G12521" s="1">
        <v>4370</v>
      </c>
      <c r="H12521" s="1">
        <v>8740</v>
      </c>
      <c r="I12521" s="1">
        <v>0</v>
      </c>
      <c r="J12521" s="1">
        <v>2</v>
      </c>
      <c r="K12521" s="1">
        <v>0</v>
      </c>
    </row>
    <row r="12522" spans="1:11" x14ac:dyDescent="0.2">
      <c r="A12522" s="1" t="s">
        <v>2246</v>
      </c>
      <c r="B12522" s="1" t="s">
        <v>2364</v>
      </c>
      <c r="C12522" s="1" t="str">
        <f>"PB013"</f>
        <v>PB013</v>
      </c>
      <c r="D12522" s="1" t="str">
        <f>"PB013"</f>
        <v>PB013</v>
      </c>
      <c r="E12522" s="1" t="s">
        <v>4579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</row>
    <row r="12523" spans="1:11" x14ac:dyDescent="0.2">
      <c r="A12523" s="1" t="s">
        <v>2246</v>
      </c>
      <c r="B12523" s="1" t="s">
        <v>2365</v>
      </c>
      <c r="C12523" s="1" t="str">
        <f>"66298891343433"</f>
        <v>66298891343433</v>
      </c>
      <c r="D12523" s="1" t="str">
        <f>"33701-KCZ-004"</f>
        <v>33701-KCZ-004</v>
      </c>
      <c r="E12523" s="1" t="s">
        <v>4579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</row>
    <row r="12524" spans="1:11" x14ac:dyDescent="0.2">
      <c r="A12524" s="1" t="s">
        <v>2246</v>
      </c>
      <c r="B12524" s="1" t="s">
        <v>2366</v>
      </c>
      <c r="C12524" s="1" t="str">
        <f>"PB021"</f>
        <v>PB021</v>
      </c>
      <c r="D12524" s="1" t="str">
        <f>"PB021"</f>
        <v>PB021</v>
      </c>
      <c r="E12524" s="1" t="s">
        <v>4579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</row>
    <row r="12525" spans="1:11" x14ac:dyDescent="0.2">
      <c r="A12525" s="1" t="s">
        <v>2246</v>
      </c>
      <c r="B12525" s="1" t="s">
        <v>2367</v>
      </c>
      <c r="C12525" s="1" t="str">
        <f>"PB029"</f>
        <v>PB029</v>
      </c>
      <c r="D12525" s="1" t="str">
        <f>"PB029"</f>
        <v>PB029</v>
      </c>
      <c r="E12525" s="1" t="s">
        <v>4579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</row>
    <row r="12526" spans="1:11" x14ac:dyDescent="0.2">
      <c r="A12526" s="1" t="s">
        <v>2291</v>
      </c>
      <c r="B12526" s="1" t="s">
        <v>2368</v>
      </c>
      <c r="C12526" s="1" t="str">
        <f>"66298891386992"</f>
        <v>66298891386992</v>
      </c>
      <c r="D12526" s="1" t="str">
        <f>"3228"</f>
        <v>3228</v>
      </c>
      <c r="E12526" s="1" t="s">
        <v>4579</v>
      </c>
      <c r="F12526" s="1">
        <v>2</v>
      </c>
      <c r="G12526" s="1">
        <v>2479</v>
      </c>
      <c r="H12526" s="1">
        <v>4958</v>
      </c>
      <c r="I12526" s="1">
        <v>0</v>
      </c>
      <c r="J12526" s="1">
        <v>2</v>
      </c>
      <c r="K12526" s="1">
        <v>0</v>
      </c>
    </row>
    <row r="12527" spans="1:11" x14ac:dyDescent="0.2">
      <c r="A12527" s="1" t="s">
        <v>2291</v>
      </c>
      <c r="B12527" s="1" t="s">
        <v>2369</v>
      </c>
      <c r="C12527" s="1" t="str">
        <f>"66298891425878"</f>
        <v>66298891425878</v>
      </c>
      <c r="D12527" s="1" t="str">
        <f>"0038A"</f>
        <v>0038A</v>
      </c>
      <c r="E12527" s="1" t="s">
        <v>4579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</row>
    <row r="12528" spans="1:11" x14ac:dyDescent="0.2">
      <c r="A12528" s="1" t="s">
        <v>2246</v>
      </c>
      <c r="B12528" s="1" t="s">
        <v>2370</v>
      </c>
      <c r="C12528" s="1" t="str">
        <f>"RF029"</f>
        <v>RF029</v>
      </c>
      <c r="D12528" s="1" t="str">
        <f>"RF029"</f>
        <v>RF029</v>
      </c>
      <c r="E12528" s="1" t="s">
        <v>4579</v>
      </c>
      <c r="F12528" s="1">
        <v>1</v>
      </c>
      <c r="G12528" s="1">
        <v>3570</v>
      </c>
      <c r="H12528" s="1">
        <v>3570</v>
      </c>
      <c r="I12528" s="1">
        <v>0</v>
      </c>
      <c r="J12528" s="1">
        <v>1</v>
      </c>
      <c r="K12528" s="1">
        <v>0</v>
      </c>
    </row>
    <row r="12529" spans="1:11" x14ac:dyDescent="0.2">
      <c r="A12529" s="1" t="s">
        <v>2246</v>
      </c>
      <c r="B12529" s="1" t="s">
        <v>2371</v>
      </c>
      <c r="C12529" s="1" t="str">
        <f>"RF016"</f>
        <v>RF016</v>
      </c>
      <c r="D12529" s="1" t="str">
        <f>"RF016"</f>
        <v>RF016</v>
      </c>
      <c r="E12529" s="1" t="s">
        <v>4579</v>
      </c>
      <c r="F12529" s="1">
        <v>3</v>
      </c>
      <c r="G12529" s="1">
        <v>3760</v>
      </c>
      <c r="H12529" s="1">
        <v>11280</v>
      </c>
      <c r="I12529" s="1">
        <v>0</v>
      </c>
      <c r="J12529" s="1">
        <v>3</v>
      </c>
      <c r="K12529" s="1">
        <v>0</v>
      </c>
    </row>
    <row r="12530" spans="1:11" x14ac:dyDescent="0.2">
      <c r="A12530" s="1" t="s">
        <v>2246</v>
      </c>
      <c r="B12530" s="1" t="s">
        <v>2372</v>
      </c>
      <c r="C12530" s="1" t="str">
        <f>"RF025"</f>
        <v>RF025</v>
      </c>
      <c r="D12530" s="1" t="str">
        <f>"RF025"</f>
        <v>RF025</v>
      </c>
      <c r="E12530" s="1" t="s">
        <v>4579</v>
      </c>
      <c r="F12530" s="1">
        <v>3</v>
      </c>
      <c r="G12530" s="1">
        <v>3570</v>
      </c>
      <c r="H12530" s="1">
        <v>10710</v>
      </c>
      <c r="I12530" s="1">
        <v>0</v>
      </c>
      <c r="J12530" s="1">
        <v>3</v>
      </c>
      <c r="K12530" s="1">
        <v>0</v>
      </c>
    </row>
    <row r="12531" spans="1:11" ht="30" x14ac:dyDescent="0.2">
      <c r="A12531" s="1" t="s">
        <v>2291</v>
      </c>
      <c r="B12531" s="1" t="s">
        <v>2373</v>
      </c>
      <c r="C12531" s="1" t="str">
        <f>"49CC05"</f>
        <v>49CC05</v>
      </c>
      <c r="D12531" s="1" t="str">
        <f>"49CC05"</f>
        <v>49CC05</v>
      </c>
      <c r="E12531" s="1" t="s">
        <v>4579</v>
      </c>
      <c r="F12531" s="1">
        <v>3</v>
      </c>
      <c r="G12531" s="1">
        <v>5250</v>
      </c>
      <c r="H12531" s="1">
        <v>15750</v>
      </c>
      <c r="I12531" s="1">
        <v>0</v>
      </c>
      <c r="J12531" s="1">
        <v>3</v>
      </c>
      <c r="K12531" s="1">
        <v>0</v>
      </c>
    </row>
    <row r="12532" spans="1:11" x14ac:dyDescent="0.2">
      <c r="A12532" s="1" t="s">
        <v>2246</v>
      </c>
      <c r="B12532" s="1" t="s">
        <v>2374</v>
      </c>
      <c r="C12532" s="1" t="str">
        <f>"12072-PAR"</f>
        <v>12072-PAR</v>
      </c>
      <c r="D12532" s="1" t="str">
        <f>"12072-PAR"</f>
        <v>12072-PAR</v>
      </c>
      <c r="E12532" s="1" t="s">
        <v>4579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</row>
    <row r="12533" spans="1:11" x14ac:dyDescent="0.2">
      <c r="A12533" s="1" t="s">
        <v>2246</v>
      </c>
      <c r="B12533" s="1" t="s">
        <v>2375</v>
      </c>
      <c r="C12533" s="1" t="str">
        <f>"RF013"</f>
        <v>RF013</v>
      </c>
      <c r="D12533" s="1" t="str">
        <f>"RF013"</f>
        <v>RF013</v>
      </c>
      <c r="E12533" s="1" t="s">
        <v>4579</v>
      </c>
      <c r="F12533" s="1">
        <v>4</v>
      </c>
      <c r="G12533" s="1">
        <v>3380</v>
      </c>
      <c r="H12533" s="1">
        <v>13520</v>
      </c>
      <c r="I12533" s="1">
        <v>0</v>
      </c>
      <c r="J12533" s="1">
        <v>4</v>
      </c>
      <c r="K12533" s="1">
        <v>0</v>
      </c>
    </row>
    <row r="12534" spans="1:11" x14ac:dyDescent="0.2">
      <c r="A12534" s="1" t="s">
        <v>2246</v>
      </c>
      <c r="B12534" s="1" t="s">
        <v>2376</v>
      </c>
      <c r="C12534" s="1" t="str">
        <f>"RF024"</f>
        <v>RF024</v>
      </c>
      <c r="D12534" s="1" t="str">
        <f>"RF024"</f>
        <v>RF024</v>
      </c>
      <c r="E12534" s="1" t="s">
        <v>4579</v>
      </c>
      <c r="F12534" s="1">
        <v>1</v>
      </c>
      <c r="G12534" s="1">
        <v>3480</v>
      </c>
      <c r="H12534" s="1">
        <v>3480</v>
      </c>
      <c r="I12534" s="1">
        <v>0</v>
      </c>
      <c r="J12534" s="1">
        <v>1</v>
      </c>
      <c r="K12534" s="1">
        <v>0</v>
      </c>
    </row>
    <row r="12535" spans="1:11" x14ac:dyDescent="0.2">
      <c r="A12535" s="1" t="s">
        <v>2246</v>
      </c>
      <c r="B12535" s="1" t="s">
        <v>2377</v>
      </c>
      <c r="C12535" s="1" t="str">
        <f>"RF021"</f>
        <v>RF021</v>
      </c>
      <c r="D12535" s="1" t="str">
        <f>"RF021"</f>
        <v>RF021</v>
      </c>
      <c r="E12535" s="1" t="s">
        <v>4579</v>
      </c>
      <c r="F12535" s="1">
        <v>4</v>
      </c>
      <c r="G12535" s="1">
        <v>3290</v>
      </c>
      <c r="H12535" s="1">
        <v>13160</v>
      </c>
      <c r="I12535" s="1">
        <v>0</v>
      </c>
      <c r="J12535" s="1">
        <v>4</v>
      </c>
      <c r="K12535" s="1">
        <v>0</v>
      </c>
    </row>
    <row r="12536" spans="1:11" x14ac:dyDescent="0.2">
      <c r="A12536" s="1" t="s">
        <v>2291</v>
      </c>
      <c r="B12536" s="1" t="s">
        <v>2378</v>
      </c>
      <c r="C12536" s="1" t="str">
        <f>"66298891470234"</f>
        <v>66298891470234</v>
      </c>
      <c r="D12536" s="1" t="str">
        <f>"RF036"</f>
        <v>RF036</v>
      </c>
      <c r="E12536" s="1" t="s">
        <v>4579</v>
      </c>
      <c r="F12536" s="1">
        <v>3</v>
      </c>
      <c r="G12536" s="1">
        <v>4990</v>
      </c>
      <c r="H12536" s="1">
        <v>14970</v>
      </c>
      <c r="I12536" s="1">
        <v>0</v>
      </c>
      <c r="J12536" s="1">
        <v>3</v>
      </c>
      <c r="K12536" s="1">
        <v>0</v>
      </c>
    </row>
    <row r="12537" spans="1:11" x14ac:dyDescent="0.2">
      <c r="A12537" s="1" t="s">
        <v>2291</v>
      </c>
      <c r="B12537" s="1" t="s">
        <v>2379</v>
      </c>
      <c r="C12537" s="1" t="str">
        <f>"66298891511281"</f>
        <v>66298891511281</v>
      </c>
      <c r="D12537" s="1" t="str">
        <f>"0152"</f>
        <v>0152</v>
      </c>
      <c r="E12537" s="1" t="s">
        <v>4579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</row>
    <row r="12538" spans="1:11" x14ac:dyDescent="0.2">
      <c r="A12538" s="1" t="s">
        <v>2291</v>
      </c>
      <c r="B12538" s="1" t="s">
        <v>2379</v>
      </c>
      <c r="C12538" s="1" t="str">
        <f>"66298891551355"</f>
        <v>66298891551355</v>
      </c>
      <c r="D12538" s="1" t="str">
        <f>"83037"</f>
        <v>83037</v>
      </c>
      <c r="E12538" s="1" t="s">
        <v>4579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</row>
    <row r="12539" spans="1:11" x14ac:dyDescent="0.2">
      <c r="A12539" s="1" t="s">
        <v>2291</v>
      </c>
      <c r="B12539" s="1" t="s">
        <v>2380</v>
      </c>
      <c r="C12539" s="1" t="str">
        <f>"66298891592320"</f>
        <v>66298891592320</v>
      </c>
      <c r="D12539" s="1" t="str">
        <f>"1433"</f>
        <v>1433</v>
      </c>
      <c r="E12539" s="1" t="s">
        <v>4579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</row>
    <row r="12540" spans="1:11" x14ac:dyDescent="0.2">
      <c r="A12540" s="1" t="s">
        <v>2291</v>
      </c>
      <c r="B12540" s="1" t="s">
        <v>2381</v>
      </c>
      <c r="C12540" s="1" t="str">
        <f>"66298891666844"</f>
        <v>66298891666844</v>
      </c>
      <c r="D12540" s="1" t="str">
        <f>"0145"</f>
        <v>0145</v>
      </c>
      <c r="E12540" s="1" t="s">
        <v>4579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</row>
    <row r="12541" spans="1:11" x14ac:dyDescent="0.2">
      <c r="A12541" s="1" t="s">
        <v>2291</v>
      </c>
      <c r="B12541" s="1" t="s">
        <v>2381</v>
      </c>
      <c r="C12541" s="1" t="str">
        <f>"66298891672884"</f>
        <v>66298891672884</v>
      </c>
      <c r="D12541" s="1" t="str">
        <f>"0028"</f>
        <v>0028</v>
      </c>
      <c r="E12541" s="1" t="s">
        <v>4579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</row>
    <row r="12542" spans="1:11" x14ac:dyDescent="0.2">
      <c r="A12542" s="1" t="s">
        <v>2291</v>
      </c>
      <c r="B12542" s="1" t="s">
        <v>2381</v>
      </c>
      <c r="C12542" s="1" t="str">
        <f>"66298891679398"</f>
        <v>66298891679398</v>
      </c>
      <c r="D12542" s="1" t="str">
        <f>"0114"</f>
        <v>0114</v>
      </c>
      <c r="E12542" s="1" t="s">
        <v>4579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</row>
    <row r="12543" spans="1:11" x14ac:dyDescent="0.2">
      <c r="A12543" s="1" t="s">
        <v>2291</v>
      </c>
      <c r="B12543" s="1" t="s">
        <v>2381</v>
      </c>
      <c r="C12543" s="1" t="str">
        <f>"66298891688174"</f>
        <v>66298891688174</v>
      </c>
      <c r="D12543" s="1" t="str">
        <f>"84953"</f>
        <v>84953</v>
      </c>
      <c r="E12543" s="1" t="s">
        <v>4579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</row>
    <row r="12544" spans="1:11" x14ac:dyDescent="0.2">
      <c r="A12544" s="1" t="s">
        <v>2291</v>
      </c>
      <c r="B12544" s="1" t="s">
        <v>2381</v>
      </c>
      <c r="C12544" s="1" t="str">
        <f>"66298891693700"</f>
        <v>66298891693700</v>
      </c>
      <c r="D12544" s="1" t="str">
        <f>"84961"</f>
        <v>84961</v>
      </c>
      <c r="E12544" s="1" t="s">
        <v>4579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</row>
    <row r="12545" spans="1:11" x14ac:dyDescent="0.2">
      <c r="A12545" s="1" t="s">
        <v>2291</v>
      </c>
      <c r="B12545" s="1" t="s">
        <v>2381</v>
      </c>
      <c r="C12545" s="1" t="str">
        <f>"66298891698839"</f>
        <v>66298891698839</v>
      </c>
      <c r="D12545" s="1" t="str">
        <f>"84958"</f>
        <v>84958</v>
      </c>
      <c r="E12545" s="1" t="s">
        <v>4579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</row>
    <row r="12546" spans="1:11" x14ac:dyDescent="0.2">
      <c r="A12546" s="1" t="s">
        <v>2291</v>
      </c>
      <c r="B12546" s="1" t="s">
        <v>2381</v>
      </c>
      <c r="C12546" s="1" t="str">
        <f>"66298891704600"</f>
        <v>66298891704600</v>
      </c>
      <c r="D12546" s="1" t="str">
        <f>"84962"</f>
        <v>84962</v>
      </c>
      <c r="E12546" s="1" t="s">
        <v>4579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</row>
    <row r="12547" spans="1:11" x14ac:dyDescent="0.2">
      <c r="A12547" s="1" t="s">
        <v>2291</v>
      </c>
      <c r="B12547" s="1" t="s">
        <v>2381</v>
      </c>
      <c r="C12547" s="1" t="str">
        <f>"66298891709689"</f>
        <v>66298891709689</v>
      </c>
      <c r="D12547" s="1" t="str">
        <f>"84959"</f>
        <v>84959</v>
      </c>
      <c r="E12547" s="1" t="s">
        <v>4579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</row>
    <row r="12548" spans="1:11" x14ac:dyDescent="0.2">
      <c r="A12548" s="1" t="s">
        <v>2291</v>
      </c>
      <c r="B12548" s="1" t="s">
        <v>2381</v>
      </c>
      <c r="C12548" s="1" t="str">
        <f>"66298891714033"</f>
        <v>66298891714033</v>
      </c>
      <c r="D12548" s="1" t="str">
        <f>"RE009"</f>
        <v>RE009</v>
      </c>
      <c r="E12548" s="1" t="s">
        <v>4579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</row>
    <row r="12549" spans="1:11" x14ac:dyDescent="0.2">
      <c r="A12549" s="1" t="s">
        <v>2291</v>
      </c>
      <c r="B12549" s="1" t="s">
        <v>2381</v>
      </c>
      <c r="C12549" s="1" t="str">
        <f>"66298891720280"</f>
        <v>66298891720280</v>
      </c>
      <c r="D12549" s="1" t="str">
        <f>"RE010"</f>
        <v>RE010</v>
      </c>
      <c r="E12549" s="1" t="s">
        <v>4579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</row>
    <row r="12550" spans="1:11" x14ac:dyDescent="0.2">
      <c r="A12550" s="1" t="s">
        <v>2291</v>
      </c>
      <c r="B12550" s="1" t="s">
        <v>2381</v>
      </c>
      <c r="C12550" s="1" t="str">
        <f>"66298891725473"</f>
        <v>66298891725473</v>
      </c>
      <c r="D12550" s="1" t="str">
        <f>"RE014"</f>
        <v>RE014</v>
      </c>
      <c r="E12550" s="1" t="s">
        <v>4579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</row>
    <row r="12551" spans="1:11" x14ac:dyDescent="0.2">
      <c r="A12551" s="1" t="s">
        <v>2291</v>
      </c>
      <c r="B12551" s="1" t="s">
        <v>2381</v>
      </c>
      <c r="C12551" s="1" t="str">
        <f>"66298891908237"</f>
        <v>66298891908237</v>
      </c>
      <c r="D12551" s="1" t="str">
        <f>"556"</f>
        <v>556</v>
      </c>
      <c r="E12551" s="1" t="s">
        <v>4579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</row>
    <row r="12552" spans="1:11" x14ac:dyDescent="0.2">
      <c r="A12552" s="1" t="s">
        <v>2246</v>
      </c>
      <c r="B12552" s="1" t="s">
        <v>2381</v>
      </c>
      <c r="C12552" s="1" t="str">
        <f>"55003"</f>
        <v>55003</v>
      </c>
      <c r="D12552" s="1" t="str">
        <f>"55003"</f>
        <v>55003</v>
      </c>
      <c r="E12552" s="1" t="s">
        <v>4579</v>
      </c>
      <c r="F12552" s="1">
        <v>1</v>
      </c>
      <c r="G12552" s="1">
        <v>2600</v>
      </c>
      <c r="H12552" s="1">
        <v>2600</v>
      </c>
      <c r="I12552" s="1">
        <v>0</v>
      </c>
      <c r="J12552" s="1">
        <v>1</v>
      </c>
      <c r="K12552" s="1">
        <v>0</v>
      </c>
    </row>
    <row r="12553" spans="1:11" x14ac:dyDescent="0.2">
      <c r="A12553" s="1" t="s">
        <v>2246</v>
      </c>
      <c r="B12553" s="1" t="s">
        <v>2381</v>
      </c>
      <c r="C12553" s="1" t="str">
        <f>"134353"</f>
        <v>134353</v>
      </c>
      <c r="D12553" s="1" t="str">
        <f>"134353"</f>
        <v>134353</v>
      </c>
      <c r="E12553" s="1" t="s">
        <v>4579</v>
      </c>
      <c r="F12553" s="1">
        <v>3</v>
      </c>
      <c r="G12553" s="1">
        <v>3235</v>
      </c>
      <c r="H12553" s="1">
        <v>9705</v>
      </c>
      <c r="I12553" s="1">
        <v>0</v>
      </c>
      <c r="J12553" s="1">
        <v>3</v>
      </c>
      <c r="K12553" s="1">
        <v>0</v>
      </c>
    </row>
    <row r="12554" spans="1:11" x14ac:dyDescent="0.2">
      <c r="A12554" s="1" t="s">
        <v>2246</v>
      </c>
      <c r="B12554" s="1" t="s">
        <v>2381</v>
      </c>
      <c r="C12554" s="1" t="str">
        <f>"136795"</f>
        <v>136795</v>
      </c>
      <c r="D12554" s="1" t="str">
        <f>"136795"</f>
        <v>136795</v>
      </c>
      <c r="E12554" s="1" t="s">
        <v>4579</v>
      </c>
      <c r="F12554" s="1">
        <v>1</v>
      </c>
      <c r="G12554" s="1">
        <v>3151</v>
      </c>
      <c r="H12554" s="1">
        <v>3151</v>
      </c>
      <c r="I12554" s="1">
        <v>0</v>
      </c>
      <c r="J12554" s="1">
        <v>1</v>
      </c>
      <c r="K12554" s="1">
        <v>0</v>
      </c>
    </row>
    <row r="12555" spans="1:11" x14ac:dyDescent="0.2">
      <c r="A12555" s="1" t="s">
        <v>2246</v>
      </c>
      <c r="B12555" s="1" t="s">
        <v>2381</v>
      </c>
      <c r="C12555" s="1" t="str">
        <f>"RE013"</f>
        <v>RE013</v>
      </c>
      <c r="D12555" s="1" t="str">
        <f>"RE013"</f>
        <v>RE013</v>
      </c>
      <c r="E12555" s="1" t="s">
        <v>4579</v>
      </c>
      <c r="F12555" s="1">
        <v>3</v>
      </c>
      <c r="G12555" s="1">
        <v>2230</v>
      </c>
      <c r="H12555" s="1">
        <v>6690</v>
      </c>
      <c r="I12555" s="1">
        <v>0</v>
      </c>
      <c r="J12555" s="1">
        <v>3</v>
      </c>
      <c r="K12555" s="1">
        <v>0</v>
      </c>
    </row>
    <row r="12556" spans="1:11" x14ac:dyDescent="0.2">
      <c r="A12556" s="1" t="s">
        <v>2246</v>
      </c>
      <c r="B12556" s="1" t="s">
        <v>2381</v>
      </c>
      <c r="C12556" s="1" t="str">
        <f>"RE074"</f>
        <v>RE074</v>
      </c>
      <c r="D12556" s="1" t="str">
        <f>"RE074"</f>
        <v>RE074</v>
      </c>
      <c r="E12556" s="1" t="s">
        <v>4579</v>
      </c>
      <c r="F12556" s="1">
        <v>4</v>
      </c>
      <c r="G12556" s="1">
        <v>3670</v>
      </c>
      <c r="H12556" s="1">
        <v>14680</v>
      </c>
      <c r="I12556" s="1">
        <v>0</v>
      </c>
      <c r="J12556" s="1">
        <v>4</v>
      </c>
      <c r="K12556" s="1">
        <v>0</v>
      </c>
    </row>
    <row r="12557" spans="1:11" x14ac:dyDescent="0.2">
      <c r="A12557" s="1" t="s">
        <v>2246</v>
      </c>
      <c r="B12557" s="1" t="s">
        <v>2381</v>
      </c>
      <c r="C12557" s="1" t="str">
        <f>"136817"</f>
        <v>136817</v>
      </c>
      <c r="D12557" s="1" t="str">
        <f>"136817"</f>
        <v>136817</v>
      </c>
      <c r="E12557" s="1" t="s">
        <v>4579</v>
      </c>
      <c r="F12557" s="1">
        <v>3</v>
      </c>
      <c r="G12557" s="1">
        <v>2689</v>
      </c>
      <c r="H12557" s="1">
        <v>8067</v>
      </c>
      <c r="I12557" s="1">
        <v>0</v>
      </c>
      <c r="J12557" s="1">
        <v>3</v>
      </c>
      <c r="K12557" s="1">
        <v>0</v>
      </c>
    </row>
    <row r="12558" spans="1:11" x14ac:dyDescent="0.2">
      <c r="A12558" s="1" t="s">
        <v>2246</v>
      </c>
      <c r="B12558" s="1" t="s">
        <v>2381</v>
      </c>
      <c r="C12558" s="1" t="str">
        <f>"2116"</f>
        <v>2116</v>
      </c>
      <c r="D12558" s="1" t="str">
        <f>"2116"</f>
        <v>2116</v>
      </c>
      <c r="E12558" s="1" t="s">
        <v>4579</v>
      </c>
      <c r="F12558" s="1">
        <v>3</v>
      </c>
      <c r="G12558" s="1">
        <v>2731</v>
      </c>
      <c r="H12558" s="1">
        <v>8193</v>
      </c>
      <c r="I12558" s="1">
        <v>0</v>
      </c>
      <c r="J12558" s="1">
        <v>3</v>
      </c>
      <c r="K12558" s="1">
        <v>0</v>
      </c>
    </row>
    <row r="12559" spans="1:11" x14ac:dyDescent="0.2">
      <c r="A12559" s="1" t="s">
        <v>2246</v>
      </c>
      <c r="B12559" s="1" t="s">
        <v>2381</v>
      </c>
      <c r="C12559" s="1" t="str">
        <f>"55002"</f>
        <v>55002</v>
      </c>
      <c r="D12559" s="1" t="str">
        <f>"55002"</f>
        <v>55002</v>
      </c>
      <c r="E12559" s="1" t="s">
        <v>4579</v>
      </c>
      <c r="F12559" s="1">
        <v>1</v>
      </c>
      <c r="G12559" s="1">
        <v>3950</v>
      </c>
      <c r="H12559" s="1">
        <v>3950</v>
      </c>
      <c r="I12559" s="1">
        <v>0</v>
      </c>
      <c r="J12559" s="1">
        <v>1</v>
      </c>
      <c r="K12559" s="1">
        <v>0</v>
      </c>
    </row>
    <row r="12560" spans="1:11" x14ac:dyDescent="0.2">
      <c r="A12560" s="1" t="s">
        <v>2246</v>
      </c>
      <c r="B12560" s="1" t="s">
        <v>2381</v>
      </c>
      <c r="C12560" s="1" t="str">
        <f>"55004"</f>
        <v>55004</v>
      </c>
      <c r="D12560" s="1" t="str">
        <f>"55004"</f>
        <v>55004</v>
      </c>
      <c r="E12560" s="1" t="s">
        <v>4579</v>
      </c>
      <c r="F12560" s="1">
        <v>1</v>
      </c>
      <c r="G12560" s="1">
        <v>2440</v>
      </c>
      <c r="H12560" s="1">
        <v>2440</v>
      </c>
      <c r="I12560" s="1">
        <v>0</v>
      </c>
      <c r="J12560" s="1">
        <v>1</v>
      </c>
      <c r="K12560" s="1">
        <v>0</v>
      </c>
    </row>
    <row r="12561" spans="1:11" x14ac:dyDescent="0.2">
      <c r="A12561" s="1" t="s">
        <v>2246</v>
      </c>
      <c r="B12561" s="1" t="s">
        <v>2381</v>
      </c>
      <c r="C12561" s="1" t="str">
        <f>"55005"</f>
        <v>55005</v>
      </c>
      <c r="D12561" s="1" t="str">
        <f>"55005"</f>
        <v>55005</v>
      </c>
      <c r="E12561" s="1" t="s">
        <v>4579</v>
      </c>
      <c r="F12561" s="1">
        <v>1</v>
      </c>
      <c r="G12561" s="1">
        <v>2720</v>
      </c>
      <c r="H12561" s="1">
        <v>2720</v>
      </c>
      <c r="I12561" s="1">
        <v>0</v>
      </c>
      <c r="J12561" s="1">
        <v>1</v>
      </c>
      <c r="K12561" s="1">
        <v>0</v>
      </c>
    </row>
    <row r="12562" spans="1:11" x14ac:dyDescent="0.2">
      <c r="A12562" s="1" t="s">
        <v>2246</v>
      </c>
      <c r="B12562" s="1" t="s">
        <v>2381</v>
      </c>
      <c r="C12562" s="1" t="str">
        <f>"121604"</f>
        <v>121604</v>
      </c>
      <c r="D12562" s="1" t="str">
        <f>"121604"</f>
        <v>121604</v>
      </c>
      <c r="E12562" s="1" t="s">
        <v>4579</v>
      </c>
      <c r="F12562" s="1">
        <v>3</v>
      </c>
      <c r="G12562" s="1">
        <v>2815</v>
      </c>
      <c r="H12562" s="1">
        <v>8445</v>
      </c>
      <c r="I12562" s="1">
        <v>0</v>
      </c>
      <c r="J12562" s="1">
        <v>3</v>
      </c>
      <c r="K12562" s="1">
        <v>0</v>
      </c>
    </row>
    <row r="12563" spans="1:11" x14ac:dyDescent="0.2">
      <c r="A12563" s="1" t="s">
        <v>2246</v>
      </c>
      <c r="B12563" s="1" t="s">
        <v>2381</v>
      </c>
      <c r="C12563" s="1" t="str">
        <f>"13551"</f>
        <v>13551</v>
      </c>
      <c r="D12563" s="1" t="str">
        <f>"13551"</f>
        <v>13551</v>
      </c>
      <c r="E12563" s="1" t="s">
        <v>4579</v>
      </c>
      <c r="F12563" s="1">
        <v>2</v>
      </c>
      <c r="G12563" s="1">
        <v>2990</v>
      </c>
      <c r="H12563" s="1">
        <v>5980</v>
      </c>
      <c r="I12563" s="1">
        <v>0</v>
      </c>
      <c r="J12563" s="1">
        <v>2</v>
      </c>
      <c r="K12563" s="1">
        <v>0</v>
      </c>
    </row>
    <row r="12564" spans="1:11" x14ac:dyDescent="0.2">
      <c r="A12564" s="1" t="s">
        <v>2246</v>
      </c>
      <c r="B12564" s="1" t="s">
        <v>2381</v>
      </c>
      <c r="C12564" s="1" t="str">
        <f>"13552"</f>
        <v>13552</v>
      </c>
      <c r="D12564" s="1" t="str">
        <f>"13552"</f>
        <v>13552</v>
      </c>
      <c r="E12564" s="1" t="s">
        <v>4579</v>
      </c>
      <c r="F12564" s="1">
        <v>2</v>
      </c>
      <c r="G12564" s="1">
        <v>4330</v>
      </c>
      <c r="H12564" s="1">
        <v>8660</v>
      </c>
      <c r="I12564" s="1">
        <v>0</v>
      </c>
      <c r="J12564" s="1">
        <v>2</v>
      </c>
      <c r="K12564" s="1">
        <v>0</v>
      </c>
    </row>
    <row r="12565" spans="1:11" x14ac:dyDescent="0.2">
      <c r="A12565" s="1" t="s">
        <v>2246</v>
      </c>
      <c r="B12565" s="1" t="s">
        <v>2381</v>
      </c>
      <c r="C12565" s="1" t="str">
        <f>"RE030"</f>
        <v>RE030</v>
      </c>
      <c r="D12565" s="1" t="str">
        <f>"RE030"</f>
        <v>RE030</v>
      </c>
      <c r="E12565" s="1" t="s">
        <v>4579</v>
      </c>
      <c r="F12565" s="1">
        <v>3</v>
      </c>
      <c r="G12565" s="1">
        <v>2430</v>
      </c>
      <c r="H12565" s="1">
        <v>7290</v>
      </c>
      <c r="I12565" s="1">
        <v>0</v>
      </c>
      <c r="J12565" s="1">
        <v>3</v>
      </c>
      <c r="K12565" s="1">
        <v>0</v>
      </c>
    </row>
    <row r="12566" spans="1:11" x14ac:dyDescent="0.2">
      <c r="A12566" s="1" t="s">
        <v>2246</v>
      </c>
      <c r="B12566" s="1" t="s">
        <v>2381</v>
      </c>
      <c r="C12566" s="1" t="str">
        <f>"RE037"</f>
        <v>RE037</v>
      </c>
      <c r="D12566" s="1" t="str">
        <f>"RE037"</f>
        <v>RE037</v>
      </c>
      <c r="E12566" s="1" t="s">
        <v>4579</v>
      </c>
      <c r="F12566" s="1">
        <v>3</v>
      </c>
      <c r="G12566" s="1">
        <v>2230</v>
      </c>
      <c r="H12566" s="1">
        <v>6690</v>
      </c>
      <c r="I12566" s="1">
        <v>0</v>
      </c>
      <c r="J12566" s="1">
        <v>3</v>
      </c>
      <c r="K12566" s="1">
        <v>0</v>
      </c>
    </row>
    <row r="12567" spans="1:11" x14ac:dyDescent="0.2">
      <c r="A12567" s="1" t="s">
        <v>2246</v>
      </c>
      <c r="B12567" s="1" t="s">
        <v>2381</v>
      </c>
      <c r="C12567" s="1" t="str">
        <f>"RE039"</f>
        <v>RE039</v>
      </c>
      <c r="D12567" s="1" t="str">
        <f>"RE039"</f>
        <v>RE039</v>
      </c>
      <c r="E12567" s="1" t="s">
        <v>4579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</row>
    <row r="12568" spans="1:11" x14ac:dyDescent="0.2">
      <c r="A12568" s="1" t="s">
        <v>2246</v>
      </c>
      <c r="B12568" s="1" t="s">
        <v>2381</v>
      </c>
      <c r="C12568" s="1" t="str">
        <f>"RE040"</f>
        <v>RE040</v>
      </c>
      <c r="D12568" s="1" t="str">
        <f>"RE040"</f>
        <v>RE040</v>
      </c>
      <c r="E12568" s="1" t="s">
        <v>4579</v>
      </c>
      <c r="F12568" s="1">
        <v>3</v>
      </c>
      <c r="G12568" s="1">
        <v>2230</v>
      </c>
      <c r="H12568" s="1">
        <v>6690</v>
      </c>
      <c r="I12568" s="1">
        <v>0</v>
      </c>
      <c r="J12568" s="1">
        <v>3</v>
      </c>
      <c r="K12568" s="1">
        <v>0</v>
      </c>
    </row>
    <row r="12569" spans="1:11" x14ac:dyDescent="0.2">
      <c r="A12569" s="1" t="s">
        <v>2246</v>
      </c>
      <c r="B12569" s="1" t="s">
        <v>2381</v>
      </c>
      <c r="C12569" s="1" t="str">
        <f>"RE043"</f>
        <v>RE043</v>
      </c>
      <c r="D12569" s="1" t="str">
        <f>"RE043"</f>
        <v>RE043</v>
      </c>
      <c r="E12569" s="1" t="s">
        <v>4579</v>
      </c>
      <c r="F12569" s="1">
        <v>1</v>
      </c>
      <c r="G12569" s="1">
        <v>2780</v>
      </c>
      <c r="H12569" s="1">
        <v>2780</v>
      </c>
      <c r="I12569" s="1">
        <v>0</v>
      </c>
      <c r="J12569" s="1">
        <v>1</v>
      </c>
      <c r="K12569" s="1">
        <v>0</v>
      </c>
    </row>
    <row r="12570" spans="1:11" x14ac:dyDescent="0.2">
      <c r="A12570" s="1" t="s">
        <v>2246</v>
      </c>
      <c r="B12570" s="1" t="s">
        <v>2381</v>
      </c>
      <c r="C12570" s="1" t="str">
        <f>"3156"</f>
        <v>3156</v>
      </c>
      <c r="D12570" s="1" t="str">
        <f>"3156"</f>
        <v>3156</v>
      </c>
      <c r="E12570" s="1" t="s">
        <v>4579</v>
      </c>
      <c r="F12570" s="1">
        <v>3</v>
      </c>
      <c r="G12570" s="1">
        <v>3992</v>
      </c>
      <c r="H12570" s="1">
        <v>11976</v>
      </c>
      <c r="I12570" s="1">
        <v>0</v>
      </c>
      <c r="J12570" s="1">
        <v>3</v>
      </c>
      <c r="K12570" s="1">
        <v>0</v>
      </c>
    </row>
    <row r="12571" spans="1:11" x14ac:dyDescent="0.2">
      <c r="A12571" s="1" t="s">
        <v>2246</v>
      </c>
      <c r="B12571" s="1" t="s">
        <v>2381</v>
      </c>
      <c r="C12571" s="1" t="str">
        <f>"55001"</f>
        <v>55001</v>
      </c>
      <c r="D12571" s="1" t="str">
        <f>"55001"</f>
        <v>55001</v>
      </c>
      <c r="E12571" s="1" t="s">
        <v>4579</v>
      </c>
      <c r="F12571" s="1">
        <v>1</v>
      </c>
      <c r="G12571" s="1">
        <v>5650</v>
      </c>
      <c r="H12571" s="1">
        <v>5650</v>
      </c>
      <c r="I12571" s="1">
        <v>0</v>
      </c>
      <c r="J12571" s="1">
        <v>1</v>
      </c>
      <c r="K12571" s="1">
        <v>0</v>
      </c>
    </row>
    <row r="12572" spans="1:11" x14ac:dyDescent="0.2">
      <c r="A12572" s="1" t="s">
        <v>2246</v>
      </c>
      <c r="B12572" s="1" t="s">
        <v>2381</v>
      </c>
      <c r="C12572" s="1" t="str">
        <f>"120724"</f>
        <v>120724</v>
      </c>
      <c r="D12572" s="1" t="str">
        <f>"120724"</f>
        <v>120724</v>
      </c>
      <c r="E12572" s="1" t="s">
        <v>4579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</row>
    <row r="12573" spans="1:11" x14ac:dyDescent="0.2">
      <c r="A12573" s="1" t="s">
        <v>2246</v>
      </c>
      <c r="B12573" s="1" t="s">
        <v>2381</v>
      </c>
      <c r="C12573" s="1" t="str">
        <f>"120713"</f>
        <v>120713</v>
      </c>
      <c r="D12573" s="1" t="str">
        <f>"120713"</f>
        <v>120713</v>
      </c>
      <c r="E12573" s="1" t="s">
        <v>4579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</row>
    <row r="12574" spans="1:11" x14ac:dyDescent="0.2">
      <c r="A12574" s="1" t="s">
        <v>2246</v>
      </c>
      <c r="B12574" s="1" t="s">
        <v>2381</v>
      </c>
      <c r="C12574" s="1" t="str">
        <f>"136784"</f>
        <v>136784</v>
      </c>
      <c r="D12574" s="1" t="str">
        <f>"136784"</f>
        <v>136784</v>
      </c>
      <c r="E12574" s="1" t="s">
        <v>4579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</row>
    <row r="12575" spans="1:11" x14ac:dyDescent="0.2">
      <c r="A12575" s="1" t="s">
        <v>2291</v>
      </c>
      <c r="B12575" s="1" t="s">
        <v>2382</v>
      </c>
      <c r="C12575" s="1" t="str">
        <f>"66298891949160"</f>
        <v>66298891949160</v>
      </c>
      <c r="D12575" s="1" t="str">
        <f>"81236"</f>
        <v>81236</v>
      </c>
      <c r="E12575" s="1" t="s">
        <v>4579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</row>
    <row r="12576" spans="1:11" ht="30" x14ac:dyDescent="0.2">
      <c r="A12576" s="1" t="s">
        <v>2246</v>
      </c>
      <c r="B12576" s="1" t="s">
        <v>2383</v>
      </c>
      <c r="C12576" s="1" t="str">
        <f>"RF035"</f>
        <v>RF035</v>
      </c>
      <c r="D12576" s="1" t="str">
        <f>"RF035"</f>
        <v>RF035</v>
      </c>
      <c r="E12576" s="1" t="s">
        <v>4579</v>
      </c>
      <c r="F12576" s="1">
        <v>3</v>
      </c>
      <c r="G12576" s="1">
        <v>3250</v>
      </c>
      <c r="H12576" s="1">
        <v>9750</v>
      </c>
      <c r="I12576" s="1">
        <v>0</v>
      </c>
      <c r="J12576" s="1">
        <v>3</v>
      </c>
      <c r="K12576" s="1">
        <v>0</v>
      </c>
    </row>
    <row r="12577" spans="1:11" ht="30" x14ac:dyDescent="0.2">
      <c r="A12577" s="1" t="s">
        <v>2246</v>
      </c>
      <c r="B12577" s="1" t="s">
        <v>2384</v>
      </c>
      <c r="C12577" s="1" t="str">
        <f>"RF001"</f>
        <v>RF001</v>
      </c>
      <c r="D12577" s="1" t="str">
        <f>"RF001"</f>
        <v>RF001</v>
      </c>
      <c r="E12577" s="1" t="s">
        <v>4579</v>
      </c>
      <c r="F12577" s="1">
        <v>3</v>
      </c>
      <c r="G12577" s="1">
        <v>3220</v>
      </c>
      <c r="H12577" s="1">
        <v>9660</v>
      </c>
      <c r="I12577" s="1">
        <v>0</v>
      </c>
      <c r="J12577" s="1">
        <v>3</v>
      </c>
      <c r="K12577" s="1">
        <v>0</v>
      </c>
    </row>
    <row r="12578" spans="1:11" x14ac:dyDescent="0.2">
      <c r="A12578" s="1" t="s">
        <v>2291</v>
      </c>
      <c r="B12578" s="1" t="s">
        <v>2385</v>
      </c>
      <c r="C12578" s="1" t="str">
        <f>"RF052"</f>
        <v>RF052</v>
      </c>
      <c r="D12578" s="1" t="str">
        <f>"RF052"</f>
        <v>RF052</v>
      </c>
      <c r="E12578" s="1" t="s">
        <v>4579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</row>
    <row r="12579" spans="1:11" x14ac:dyDescent="0.2">
      <c r="A12579" s="1" t="s">
        <v>2291</v>
      </c>
      <c r="B12579" s="1" t="s">
        <v>2386</v>
      </c>
      <c r="C12579" s="1" t="str">
        <f>"66298891987915"</f>
        <v>66298891987915</v>
      </c>
      <c r="D12579" s="1" t="str">
        <f>"RF028"</f>
        <v>RF028</v>
      </c>
      <c r="E12579" s="1" t="s">
        <v>4579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</row>
    <row r="12580" spans="1:11" ht="30" x14ac:dyDescent="0.2">
      <c r="A12580" s="1" t="s">
        <v>2291</v>
      </c>
      <c r="B12580" s="1" t="s">
        <v>2387</v>
      </c>
      <c r="C12580" s="1" t="str">
        <f>"49CC06"</f>
        <v>49CC06</v>
      </c>
      <c r="D12580" s="1" t="str">
        <f>"49CC06"</f>
        <v>49CC06</v>
      </c>
      <c r="E12580" s="1" t="s">
        <v>4579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</row>
    <row r="12581" spans="1:11" x14ac:dyDescent="0.2">
      <c r="A12581" s="1" t="s">
        <v>2246</v>
      </c>
      <c r="B12581" s="1" t="s">
        <v>2388</v>
      </c>
      <c r="C12581" s="1" t="str">
        <f>"RF014"</f>
        <v>RF014</v>
      </c>
      <c r="D12581" s="1" t="str">
        <f>"RF014"</f>
        <v>RF014</v>
      </c>
      <c r="E12581" s="1" t="s">
        <v>4579</v>
      </c>
      <c r="F12581" s="1">
        <v>3</v>
      </c>
      <c r="G12581" s="1">
        <v>3390</v>
      </c>
      <c r="H12581" s="1">
        <v>10170</v>
      </c>
      <c r="I12581" s="1">
        <v>0</v>
      </c>
      <c r="J12581" s="1">
        <v>3</v>
      </c>
      <c r="K12581" s="1">
        <v>0</v>
      </c>
    </row>
    <row r="12582" spans="1:11" x14ac:dyDescent="0.2">
      <c r="A12582" s="1" t="s">
        <v>2246</v>
      </c>
      <c r="B12582" s="1" t="s">
        <v>2389</v>
      </c>
      <c r="C12582" s="1" t="str">
        <f>"RF027"</f>
        <v>RF027</v>
      </c>
      <c r="D12582" s="1" t="str">
        <f>"RF027"</f>
        <v>RF027</v>
      </c>
      <c r="E12582" s="1" t="s">
        <v>4579</v>
      </c>
      <c r="F12582" s="1">
        <v>2</v>
      </c>
      <c r="G12582" s="1">
        <v>4350</v>
      </c>
      <c r="H12582" s="1">
        <v>8700</v>
      </c>
      <c r="I12582" s="1">
        <v>0</v>
      </c>
      <c r="J12582" s="1">
        <v>2</v>
      </c>
      <c r="K12582" s="1">
        <v>0</v>
      </c>
    </row>
    <row r="12583" spans="1:11" x14ac:dyDescent="0.2">
      <c r="A12583" s="1" t="s">
        <v>2246</v>
      </c>
      <c r="B12583" s="1" t="s">
        <v>2390</v>
      </c>
      <c r="C12583" s="1" t="str">
        <f>"RF033"</f>
        <v>RF033</v>
      </c>
      <c r="D12583" s="1" t="str">
        <f>"RF033"</f>
        <v>RF033</v>
      </c>
      <c r="E12583" s="1" t="s">
        <v>4579</v>
      </c>
      <c r="F12583" s="1">
        <v>3</v>
      </c>
      <c r="G12583" s="1">
        <v>2850</v>
      </c>
      <c r="H12583" s="1">
        <v>8550</v>
      </c>
      <c r="I12583" s="1">
        <v>0</v>
      </c>
      <c r="J12583" s="1">
        <v>3</v>
      </c>
      <c r="K12583" s="1">
        <v>0</v>
      </c>
    </row>
    <row r="12584" spans="1:11" x14ac:dyDescent="0.2">
      <c r="A12584" s="1" t="s">
        <v>2246</v>
      </c>
      <c r="B12584" s="1" t="s">
        <v>2391</v>
      </c>
      <c r="C12584" s="1" t="str">
        <f>"RF026"</f>
        <v>RF026</v>
      </c>
      <c r="D12584" s="1" t="str">
        <f>"RF026"</f>
        <v>RF026</v>
      </c>
      <c r="E12584" s="1" t="s">
        <v>4579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</row>
    <row r="12585" spans="1:11" x14ac:dyDescent="0.2">
      <c r="A12585" s="1" t="s">
        <v>2291</v>
      </c>
      <c r="B12585" s="1" t="s">
        <v>2392</v>
      </c>
      <c r="C12585" s="1" t="str">
        <f>"66298892074026"</f>
        <v>66298892074026</v>
      </c>
      <c r="D12585" s="1" t="str">
        <f>"RE002-CR"</f>
        <v>RE002-CR</v>
      </c>
      <c r="E12585" s="1" t="s">
        <v>4579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</row>
    <row r="12586" spans="1:11" x14ac:dyDescent="0.2">
      <c r="A12586" s="1" t="s">
        <v>2291</v>
      </c>
      <c r="B12586" s="1" t="s">
        <v>2393</v>
      </c>
      <c r="C12586" s="1" t="str">
        <f>"66298892121918"</f>
        <v>66298892121918</v>
      </c>
      <c r="D12586" s="1" t="str">
        <f>"RE002-N"</f>
        <v>RE002-N</v>
      </c>
      <c r="E12586" s="1" t="s">
        <v>4579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</row>
    <row r="12587" spans="1:11" x14ac:dyDescent="0.2">
      <c r="A12587" s="1" t="s">
        <v>2291</v>
      </c>
      <c r="B12587" s="1" t="s">
        <v>2393</v>
      </c>
      <c r="C12587" s="1" t="str">
        <f>"66298892128494"</f>
        <v>66298892128494</v>
      </c>
      <c r="D12587" s="1" t="str">
        <f>"RE004"</f>
        <v>RE004</v>
      </c>
      <c r="E12587" s="1" t="s">
        <v>4579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</row>
    <row r="12588" spans="1:11" x14ac:dyDescent="0.2">
      <c r="A12588" s="1" t="s">
        <v>2291</v>
      </c>
      <c r="B12588" s="1" t="s">
        <v>2394</v>
      </c>
      <c r="C12588" s="1" t="str">
        <f>"66298892029481"</f>
        <v>66298892029481</v>
      </c>
      <c r="D12588" s="1" t="str">
        <f>"RE017"</f>
        <v>RE017</v>
      </c>
      <c r="E12588" s="1" t="s">
        <v>4579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</row>
    <row r="12589" spans="1:11" x14ac:dyDescent="0.2">
      <c r="A12589" s="1" t="s">
        <v>2246</v>
      </c>
      <c r="B12589" s="1" t="s">
        <v>2394</v>
      </c>
      <c r="C12589" s="1" t="str">
        <f>"RE002"</f>
        <v>RE002</v>
      </c>
      <c r="D12589" s="1" t="str">
        <f>"RE002"</f>
        <v>RE002</v>
      </c>
      <c r="E12589" s="1" t="s">
        <v>4579</v>
      </c>
      <c r="F12589" s="1">
        <v>3</v>
      </c>
      <c r="G12589" s="1">
        <v>3450</v>
      </c>
      <c r="H12589" s="1">
        <v>10350</v>
      </c>
      <c r="I12589" s="1">
        <v>0</v>
      </c>
      <c r="J12589" s="1">
        <v>3</v>
      </c>
      <c r="K12589" s="1">
        <v>0</v>
      </c>
    </row>
    <row r="12590" spans="1:11" x14ac:dyDescent="0.2">
      <c r="A12590" s="1" t="s">
        <v>2246</v>
      </c>
      <c r="B12590" s="1" t="s">
        <v>2394</v>
      </c>
      <c r="C12590" s="1" t="str">
        <f>"RE003"</f>
        <v>RE003</v>
      </c>
      <c r="D12590" s="1" t="str">
        <f>"RE003"</f>
        <v>RE003</v>
      </c>
      <c r="E12590" s="1" t="s">
        <v>4579</v>
      </c>
      <c r="F12590" s="1">
        <v>1</v>
      </c>
      <c r="G12590" s="1">
        <v>4310</v>
      </c>
      <c r="H12590" s="1">
        <v>4310</v>
      </c>
      <c r="I12590" s="1">
        <v>0</v>
      </c>
      <c r="J12590" s="1">
        <v>1</v>
      </c>
      <c r="K12590" s="1">
        <v>0</v>
      </c>
    </row>
    <row r="12591" spans="1:11" x14ac:dyDescent="0.2">
      <c r="A12591" s="1" t="s">
        <v>2291</v>
      </c>
      <c r="B12591" s="1" t="s">
        <v>2395</v>
      </c>
      <c r="C12591" s="1" t="str">
        <f>"RF023"</f>
        <v>RF023</v>
      </c>
      <c r="D12591" s="1" t="str">
        <f>"RF023"</f>
        <v>RF023</v>
      </c>
      <c r="E12591" s="1" t="s">
        <v>4579</v>
      </c>
      <c r="F12591" s="1">
        <v>3</v>
      </c>
      <c r="G12591" s="1">
        <v>3290</v>
      </c>
      <c r="H12591" s="1">
        <v>9870</v>
      </c>
      <c r="I12591" s="1">
        <v>0</v>
      </c>
      <c r="J12591" s="1">
        <v>3</v>
      </c>
      <c r="K12591" s="1">
        <v>0</v>
      </c>
    </row>
    <row r="12592" spans="1:11" x14ac:dyDescent="0.2">
      <c r="A12592" s="1" t="s">
        <v>98</v>
      </c>
      <c r="B12592" s="1" t="s">
        <v>2396</v>
      </c>
      <c r="C12592" s="1" t="str">
        <f>"66298892231325"</f>
        <v>66298892231325</v>
      </c>
      <c r="D12592" s="1" t="str">
        <f>"44151H2C000H000"</f>
        <v>44151H2C000H000</v>
      </c>
      <c r="E12592" s="1" t="s">
        <v>4579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</row>
    <row r="12593" spans="1:11" x14ac:dyDescent="0.2">
      <c r="A12593" s="1" t="s">
        <v>1359</v>
      </c>
      <c r="B12593" s="1" t="s">
        <v>2397</v>
      </c>
      <c r="C12593" s="1" t="str">
        <f>"31350"</f>
        <v>31350</v>
      </c>
      <c r="D12593" s="1" t="str">
        <f>"31350"</f>
        <v>31350</v>
      </c>
      <c r="E12593" s="1" t="s">
        <v>4579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</row>
    <row r="12594" spans="1:11" x14ac:dyDescent="0.2">
      <c r="A12594" s="1" t="s">
        <v>18</v>
      </c>
      <c r="B12594" s="1" t="s">
        <v>2398</v>
      </c>
      <c r="C12594" s="1" t="str">
        <f>"124508"</f>
        <v>124508</v>
      </c>
      <c r="D12594" s="1" t="str">
        <f>"124508"</f>
        <v>124508</v>
      </c>
      <c r="E12594" s="1" t="s">
        <v>4579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</row>
    <row r="12595" spans="1:11" x14ac:dyDescent="0.2">
      <c r="A12595" s="1" t="s">
        <v>1359</v>
      </c>
      <c r="B12595" s="1" t="s">
        <v>2399</v>
      </c>
      <c r="C12595" s="1" t="str">
        <f>"66298892280056"</f>
        <v>66298892280056</v>
      </c>
      <c r="D12595" s="1" t="str">
        <f>"HH056"</f>
        <v>HH056</v>
      </c>
      <c r="E12595" s="1" t="s">
        <v>4579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</row>
    <row r="12596" spans="1:11" x14ac:dyDescent="0.2">
      <c r="A12596" s="1" t="s">
        <v>1359</v>
      </c>
      <c r="B12596" s="1" t="s">
        <v>2400</v>
      </c>
      <c r="C12596" s="1" t="str">
        <f>"66298892325510"</f>
        <v>66298892325510</v>
      </c>
      <c r="D12596" s="1" t="str">
        <f>"HH055"</f>
        <v>HH055</v>
      </c>
      <c r="E12596" s="1" t="s">
        <v>4579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</row>
    <row r="12597" spans="1:11" x14ac:dyDescent="0.2">
      <c r="A12597" s="1" t="s">
        <v>1359</v>
      </c>
      <c r="B12597" s="1" t="s">
        <v>2401</v>
      </c>
      <c r="C12597" s="1" t="str">
        <f>"66298892372500"</f>
        <v>66298892372500</v>
      </c>
      <c r="D12597" s="1" t="str">
        <f>"FU-10A"</f>
        <v>FU-10A</v>
      </c>
      <c r="E12597" s="1" t="s">
        <v>4579</v>
      </c>
      <c r="F12597" s="1">
        <v>2</v>
      </c>
      <c r="G12597" s="1">
        <v>24</v>
      </c>
      <c r="H12597" s="1">
        <v>48</v>
      </c>
      <c r="I12597" s="1">
        <v>0</v>
      </c>
      <c r="J12597" s="1">
        <v>2</v>
      </c>
      <c r="K12597" s="1">
        <v>0</v>
      </c>
    </row>
    <row r="12598" spans="1:11" x14ac:dyDescent="0.2">
      <c r="A12598" s="1" t="s">
        <v>1359</v>
      </c>
      <c r="B12598" s="1" t="s">
        <v>2402</v>
      </c>
      <c r="C12598" s="1" t="str">
        <f>"66298892417290"</f>
        <v>66298892417290</v>
      </c>
      <c r="D12598" s="1" t="str">
        <f>"FU-20A"</f>
        <v>FU-20A</v>
      </c>
      <c r="E12598" s="1" t="s">
        <v>4579</v>
      </c>
      <c r="F12598" s="1">
        <v>3</v>
      </c>
      <c r="G12598" s="1">
        <v>24</v>
      </c>
      <c r="H12598" s="1">
        <v>72</v>
      </c>
      <c r="I12598" s="1">
        <v>0</v>
      </c>
      <c r="J12598" s="1">
        <v>3</v>
      </c>
      <c r="K12598" s="1">
        <v>0</v>
      </c>
    </row>
    <row r="12599" spans="1:11" x14ac:dyDescent="0.2">
      <c r="A12599" s="1" t="s">
        <v>2403</v>
      </c>
      <c r="B12599" s="1" t="s">
        <v>2404</v>
      </c>
      <c r="C12599" s="1" t="str">
        <f>"66298892510718"</f>
        <v>66298892510718</v>
      </c>
      <c r="D12599" s="1" t="str">
        <f>"1586"</f>
        <v>1586</v>
      </c>
      <c r="E12599" s="1" t="s">
        <v>4579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</row>
    <row r="12600" spans="1:11" x14ac:dyDescent="0.2">
      <c r="A12600" s="1" t="s">
        <v>2403</v>
      </c>
      <c r="B12600" s="1" t="s">
        <v>2405</v>
      </c>
      <c r="C12600" s="1" t="str">
        <f>"66298892551569"</f>
        <v>66298892551569</v>
      </c>
      <c r="D12600" s="1" t="str">
        <f>"GO-PART-MORADO"</f>
        <v>GO-PART-MORADO</v>
      </c>
      <c r="E12600" s="1" t="s">
        <v>4579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</row>
    <row r="12601" spans="1:11" x14ac:dyDescent="0.2">
      <c r="A12601" s="1" t="s">
        <v>2403</v>
      </c>
      <c r="B12601" s="1" t="s">
        <v>2406</v>
      </c>
      <c r="C12601" s="1" t="str">
        <f>"61201"</f>
        <v>61201</v>
      </c>
      <c r="D12601" s="1" t="str">
        <f>"61201"</f>
        <v>61201</v>
      </c>
      <c r="E12601" s="1" t="s">
        <v>4579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</row>
    <row r="12602" spans="1:11" x14ac:dyDescent="0.2">
      <c r="A12602" s="1" t="s">
        <v>18</v>
      </c>
      <c r="B12602" s="1" t="s">
        <v>2406</v>
      </c>
      <c r="C12602" s="1" t="str">
        <f>"B060"</f>
        <v>B060</v>
      </c>
      <c r="D12602" s="1" t="str">
        <f>"B060"</f>
        <v>B060</v>
      </c>
      <c r="E12602" s="1" t="s">
        <v>4579</v>
      </c>
      <c r="F12602" s="1">
        <v>4</v>
      </c>
      <c r="G12602" s="1">
        <v>615</v>
      </c>
      <c r="H12602" s="1">
        <v>2460</v>
      </c>
      <c r="I12602" s="1">
        <v>0</v>
      </c>
      <c r="J12602" s="1">
        <v>4</v>
      </c>
      <c r="K12602" s="1">
        <v>0</v>
      </c>
    </row>
    <row r="12603" spans="1:11" x14ac:dyDescent="0.2">
      <c r="A12603" s="1" t="s">
        <v>18</v>
      </c>
      <c r="B12603" s="1" t="s">
        <v>2407</v>
      </c>
      <c r="C12603" s="1" t="str">
        <f>"R037"</f>
        <v>R037</v>
      </c>
      <c r="D12603" s="1" t="str">
        <f>"R037"</f>
        <v>R037</v>
      </c>
      <c r="E12603" s="1" t="s">
        <v>4579</v>
      </c>
      <c r="F12603" s="1">
        <v>4</v>
      </c>
      <c r="G12603" s="1">
        <v>590</v>
      </c>
      <c r="H12603" s="1">
        <v>2360</v>
      </c>
      <c r="I12603" s="1">
        <v>0</v>
      </c>
      <c r="J12603" s="1">
        <v>4</v>
      </c>
      <c r="K12603" s="1">
        <v>0</v>
      </c>
    </row>
    <row r="12604" spans="1:11" x14ac:dyDescent="0.2">
      <c r="A12604" s="1" t="s">
        <v>2403</v>
      </c>
      <c r="B12604" s="1" t="s">
        <v>2408</v>
      </c>
      <c r="C12604" s="1" t="str">
        <f>"66298892593171"</f>
        <v>66298892593171</v>
      </c>
      <c r="D12604" s="1" t="str">
        <f>"84484"</f>
        <v>84484</v>
      </c>
      <c r="E12604" s="1" t="s">
        <v>4579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</row>
    <row r="12605" spans="1:11" x14ac:dyDescent="0.2">
      <c r="A12605" s="1" t="s">
        <v>2403</v>
      </c>
      <c r="B12605" s="1" t="s">
        <v>2409</v>
      </c>
      <c r="C12605" s="1" t="str">
        <f>"66298892636836"</f>
        <v>66298892636836</v>
      </c>
      <c r="D12605" s="1" t="str">
        <f>"SB001"</f>
        <v>SB001</v>
      </c>
      <c r="E12605" s="1" t="s">
        <v>4579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</row>
    <row r="12606" spans="1:11" x14ac:dyDescent="0.2">
      <c r="A12606" s="1" t="s">
        <v>2403</v>
      </c>
      <c r="B12606" s="1" t="s">
        <v>2410</v>
      </c>
      <c r="C12606" s="1" t="str">
        <f>"66298892679653"</f>
        <v>66298892679653</v>
      </c>
      <c r="D12606" s="1" t="str">
        <f>"SB002"</f>
        <v>SB002</v>
      </c>
      <c r="E12606" s="1" t="s">
        <v>4579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</row>
    <row r="12607" spans="1:11" ht="30" x14ac:dyDescent="0.2">
      <c r="A12607" s="1" t="s">
        <v>2403</v>
      </c>
      <c r="B12607" s="1" t="s">
        <v>2411</v>
      </c>
      <c r="C12607" s="1" t="str">
        <f>"66298892716977"</f>
        <v>66298892716977</v>
      </c>
      <c r="D12607" s="1" t="str">
        <f>"09943"</f>
        <v>09943</v>
      </c>
      <c r="E12607" s="1" t="s">
        <v>4579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</row>
    <row r="12608" spans="1:11" x14ac:dyDescent="0.2">
      <c r="A12608" s="1" t="s">
        <v>2403</v>
      </c>
      <c r="B12608" s="1" t="s">
        <v>2412</v>
      </c>
      <c r="C12608" s="1" t="str">
        <f>"66298892762986"</f>
        <v>66298892762986</v>
      </c>
      <c r="D12608" s="1" t="str">
        <f>"SB004-ROJO"</f>
        <v>SB004-ROJO</v>
      </c>
      <c r="E12608" s="1" t="s">
        <v>4579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</row>
    <row r="12609" spans="1:11" x14ac:dyDescent="0.2">
      <c r="A12609" s="1" t="s">
        <v>2403</v>
      </c>
      <c r="B12609" s="1" t="s">
        <v>2412</v>
      </c>
      <c r="C12609" s="1" t="str">
        <f>"66298892772091"</f>
        <v>66298892772091</v>
      </c>
      <c r="D12609" s="1" t="str">
        <f>"SB004-AZUL"</f>
        <v>SB004-AZUL</v>
      </c>
      <c r="E12609" s="1" t="s">
        <v>4579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</row>
    <row r="12610" spans="1:11" x14ac:dyDescent="0.2">
      <c r="A12610" s="1" t="s">
        <v>2403</v>
      </c>
      <c r="B12610" s="1" t="s">
        <v>2413</v>
      </c>
      <c r="C12610" s="1" t="str">
        <f>"66298892833289"</f>
        <v>66298892833289</v>
      </c>
      <c r="D12610" s="1" t="str">
        <f>"SB003-NARANJO"</f>
        <v>SB003-NARANJO</v>
      </c>
      <c r="E12610" s="1" t="s">
        <v>4579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</row>
    <row r="12611" spans="1:11" x14ac:dyDescent="0.2">
      <c r="A12611" s="1" t="s">
        <v>2403</v>
      </c>
      <c r="B12611" s="1" t="s">
        <v>2413</v>
      </c>
      <c r="C12611" s="1" t="str">
        <f>"66298892873266"</f>
        <v>66298892873266</v>
      </c>
      <c r="D12611" s="1" t="str">
        <f>"SB003-ROJO"</f>
        <v>SB003-ROJO</v>
      </c>
      <c r="E12611" s="1" t="s">
        <v>4579</v>
      </c>
      <c r="F12611" s="1">
        <v>1</v>
      </c>
      <c r="G12611" s="1">
        <v>4139</v>
      </c>
      <c r="H12611" s="1">
        <v>4139</v>
      </c>
      <c r="I12611" s="1">
        <v>0</v>
      </c>
      <c r="J12611" s="1">
        <v>1</v>
      </c>
      <c r="K12611" s="1">
        <v>0</v>
      </c>
    </row>
    <row r="12612" spans="1:11" x14ac:dyDescent="0.2">
      <c r="A12612" s="1" t="s">
        <v>2403</v>
      </c>
      <c r="B12612" s="1" t="s">
        <v>2413</v>
      </c>
      <c r="C12612" s="1" t="str">
        <f>"66298892879252"</f>
        <v>66298892879252</v>
      </c>
      <c r="D12612" s="1" t="str">
        <f>"SB003-AZUL"</f>
        <v>SB003-AZUL</v>
      </c>
      <c r="E12612" s="1" t="s">
        <v>4579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</row>
    <row r="12613" spans="1:11" x14ac:dyDescent="0.2">
      <c r="A12613" s="1" t="s">
        <v>15</v>
      </c>
      <c r="B12613" s="1" t="s">
        <v>2414</v>
      </c>
      <c r="C12613" s="1" t="str">
        <f>"701798"</f>
        <v>701798</v>
      </c>
      <c r="D12613" s="1" t="str">
        <f>"701798"</f>
        <v>701798</v>
      </c>
      <c r="E12613" s="1" t="s">
        <v>4579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</row>
    <row r="12614" spans="1:11" x14ac:dyDescent="0.2">
      <c r="A12614" s="1" t="s">
        <v>15</v>
      </c>
      <c r="B12614" s="1" t="s">
        <v>2415</v>
      </c>
      <c r="C12614" s="1" t="str">
        <f>"GRASA-ROJA"</f>
        <v>GRASA-ROJA</v>
      </c>
      <c r="D12614" s="1" t="str">
        <f>"GRASA-ROJA"</f>
        <v>GRASA-ROJA</v>
      </c>
      <c r="E12614" s="1" t="s">
        <v>4579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</row>
    <row r="12615" spans="1:11" x14ac:dyDescent="0.2">
      <c r="A12615" s="1" t="s">
        <v>18</v>
      </c>
      <c r="B12615" s="1" t="s">
        <v>2416</v>
      </c>
      <c r="C12615" s="1" t="str">
        <f>"WB069-AZUL"</f>
        <v>WB069-AZUL</v>
      </c>
      <c r="D12615" s="1" t="str">
        <f>"WB069-AZUL"</f>
        <v>WB069-AZUL</v>
      </c>
      <c r="E12615" s="1" t="s">
        <v>4579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</row>
    <row r="12616" spans="1:11" x14ac:dyDescent="0.2">
      <c r="A12616" s="1" t="s">
        <v>18</v>
      </c>
      <c r="B12616" s="1" t="s">
        <v>2417</v>
      </c>
      <c r="C12616" s="1" t="str">
        <f>"66298893019761"</f>
        <v>66298893019761</v>
      </c>
      <c r="D12616" s="1" t="str">
        <f>"WB069-ROJO"</f>
        <v>WB069-ROJO</v>
      </c>
      <c r="E12616" s="1" t="s">
        <v>4579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</row>
    <row r="12617" spans="1:11" x14ac:dyDescent="0.2">
      <c r="A12617" s="1" t="s">
        <v>18</v>
      </c>
      <c r="B12617" s="1" t="s">
        <v>2418</v>
      </c>
      <c r="C12617" s="1" t="str">
        <f>"WB027-NEG/ROJ-XL"</f>
        <v>WB027-NEG/ROJ-XL</v>
      </c>
      <c r="D12617" s="1" t="str">
        <f>"WB027-NEG/ROJ-XL"</f>
        <v>WB027-NEG/ROJ-XL</v>
      </c>
      <c r="E12617" s="1" t="s">
        <v>4579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</row>
    <row r="12618" spans="1:11" x14ac:dyDescent="0.2">
      <c r="A12618" s="1" t="s">
        <v>2419</v>
      </c>
      <c r="B12618" s="1" t="s">
        <v>2420</v>
      </c>
      <c r="C12618" s="1" t="str">
        <f>"130789-AZUL-XL"</f>
        <v>130789-AZUL-XL</v>
      </c>
      <c r="D12618" s="1" t="str">
        <f>"130789-AZUL-XL"</f>
        <v>130789-AZUL-XL</v>
      </c>
      <c r="E12618" s="1" t="s">
        <v>4579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</row>
    <row r="12619" spans="1:11" x14ac:dyDescent="0.2">
      <c r="A12619" s="1" t="s">
        <v>2419</v>
      </c>
      <c r="B12619" s="1" t="s">
        <v>2421</v>
      </c>
      <c r="C12619" s="1" t="str">
        <f>"130789-AZUL-XXL"</f>
        <v>130789-AZUL-XXL</v>
      </c>
      <c r="D12619" s="1" t="str">
        <f>"130789-AZUL-XXL"</f>
        <v>130789-AZUL-XXL</v>
      </c>
      <c r="E12619" s="1" t="s">
        <v>4579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</row>
    <row r="12620" spans="1:11" x14ac:dyDescent="0.2">
      <c r="A12620" s="1" t="s">
        <v>2419</v>
      </c>
      <c r="B12620" s="1" t="s">
        <v>2422</v>
      </c>
      <c r="C12620" s="1" t="str">
        <f>"130789-GRIS-XXL"</f>
        <v>130789-GRIS-XXL</v>
      </c>
      <c r="D12620" s="1" t="str">
        <f>"130789-GRIS-XXL"</f>
        <v>130789-GRIS-XXL</v>
      </c>
      <c r="E12620" s="1" t="s">
        <v>4579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</row>
    <row r="12621" spans="1:11" x14ac:dyDescent="0.2">
      <c r="A12621" s="1" t="s">
        <v>2419</v>
      </c>
      <c r="B12621" s="1" t="s">
        <v>2423</v>
      </c>
      <c r="C12621" s="1" t="str">
        <f>"130789-ROJO-XL"</f>
        <v>130789-ROJO-XL</v>
      </c>
      <c r="D12621" s="1" t="str">
        <f>"130789-ROJO-XL"</f>
        <v>130789-ROJO-XL</v>
      </c>
      <c r="E12621" s="1" t="s">
        <v>4579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</row>
    <row r="12622" spans="1:11" x14ac:dyDescent="0.2">
      <c r="A12622" s="1" t="s">
        <v>18</v>
      </c>
      <c r="B12622" s="1" t="s">
        <v>2424</v>
      </c>
      <c r="C12622" s="1" t="str">
        <f>"WB004-NEG/FLU-L"</f>
        <v>WB004-NEG/FLU-L</v>
      </c>
      <c r="D12622" s="1" t="str">
        <f>"WB004-NEG/FLU-L"</f>
        <v>WB004-NEG/FLU-L</v>
      </c>
      <c r="E12622" s="1" t="s">
        <v>4579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</row>
    <row r="12623" spans="1:11" x14ac:dyDescent="0.2">
      <c r="A12623" s="1" t="s">
        <v>18</v>
      </c>
      <c r="B12623" s="1" t="s">
        <v>2425</v>
      </c>
      <c r="C12623" s="1" t="str">
        <f>"WB076-FLUOR-M"</f>
        <v>WB076-FLUOR-M</v>
      </c>
      <c r="D12623" s="1" t="str">
        <f>"WB076-FLUOR-M"</f>
        <v>WB076-FLUOR-M</v>
      </c>
      <c r="E12623" s="1" t="s">
        <v>4579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</row>
    <row r="12624" spans="1:11" x14ac:dyDescent="0.2">
      <c r="A12624" s="1" t="s">
        <v>18</v>
      </c>
      <c r="B12624" s="1" t="s">
        <v>2426</v>
      </c>
      <c r="C12624" s="1" t="str">
        <f>"66298893170310"</f>
        <v>66298893170310</v>
      </c>
      <c r="D12624" s="1" t="str">
        <f>"WB076-FLUOR-XL"</f>
        <v>WB076-FLUOR-XL</v>
      </c>
      <c r="E12624" s="1" t="s">
        <v>4579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</row>
    <row r="12625" spans="1:11" x14ac:dyDescent="0.2">
      <c r="A12625" s="1" t="s">
        <v>18</v>
      </c>
      <c r="B12625" s="1" t="s">
        <v>2427</v>
      </c>
      <c r="C12625" s="1" t="str">
        <f>"WB076-NARANJO-L"</f>
        <v>WB076-NARANJO-L</v>
      </c>
      <c r="D12625" s="1" t="str">
        <f>"WB076-NARANJO-L"</f>
        <v>WB076-NARANJO-L</v>
      </c>
      <c r="E12625" s="1" t="s">
        <v>4579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</row>
    <row r="12626" spans="1:11" x14ac:dyDescent="0.2">
      <c r="A12626" s="1" t="s">
        <v>18</v>
      </c>
      <c r="B12626" s="1" t="s">
        <v>2428</v>
      </c>
      <c r="C12626" s="1" t="str">
        <f>"WB076-NARANJO-M"</f>
        <v>WB076-NARANJO-M</v>
      </c>
      <c r="D12626" s="1" t="str">
        <f>"WB076-NARANJO-M"</f>
        <v>WB076-NARANJO-M</v>
      </c>
      <c r="E12626" s="1" t="s">
        <v>4579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</row>
    <row r="12627" spans="1:11" x14ac:dyDescent="0.2">
      <c r="A12627" s="1" t="s">
        <v>18</v>
      </c>
      <c r="B12627" s="1" t="s">
        <v>2429</v>
      </c>
      <c r="C12627" s="1" t="str">
        <f>"WB076-NARANJO-XL"</f>
        <v>WB076-NARANJO-XL</v>
      </c>
      <c r="D12627" s="1" t="str">
        <f>"WB076-NARANJO-XL"</f>
        <v>WB076-NARANJO-XL</v>
      </c>
      <c r="E12627" s="1" t="s">
        <v>4579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</row>
    <row r="12628" spans="1:11" x14ac:dyDescent="0.2">
      <c r="A12628" s="1" t="s">
        <v>18</v>
      </c>
      <c r="B12628" s="1" t="s">
        <v>2430</v>
      </c>
      <c r="C12628" s="1" t="str">
        <f>"66298893069647"</f>
        <v>66298893069647</v>
      </c>
      <c r="D12628" s="1" t="str">
        <f>"WB076-FLUOR-L"</f>
        <v>WB076-FLUOR-L</v>
      </c>
      <c r="E12628" s="1" t="s">
        <v>4579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</row>
    <row r="12629" spans="1:11" ht="30" x14ac:dyDescent="0.2">
      <c r="A12629" s="1" t="s">
        <v>18</v>
      </c>
      <c r="B12629" s="1" t="s">
        <v>2431</v>
      </c>
      <c r="C12629" s="1" t="str">
        <f>"66298893477632"</f>
        <v>66298893477632</v>
      </c>
      <c r="D12629" s="1" t="str">
        <f>"WB070-NARANJO"</f>
        <v>WB070-NARANJO</v>
      </c>
      <c r="E12629" s="1" t="s">
        <v>4579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</row>
    <row r="12630" spans="1:11" ht="30" x14ac:dyDescent="0.2">
      <c r="A12630" s="1" t="s">
        <v>18</v>
      </c>
      <c r="B12630" s="1" t="s">
        <v>2432</v>
      </c>
      <c r="C12630" s="1" t="str">
        <f>"66298893526824"</f>
        <v>66298893526824</v>
      </c>
      <c r="D12630" s="1" t="str">
        <f>"WB077-M"</f>
        <v>WB077-M</v>
      </c>
      <c r="E12630" s="1" t="s">
        <v>4579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</row>
    <row r="12631" spans="1:11" x14ac:dyDescent="0.2">
      <c r="A12631" s="1" t="s">
        <v>18</v>
      </c>
      <c r="B12631" s="1" t="s">
        <v>2433</v>
      </c>
      <c r="C12631" s="1" t="str">
        <f>"66298893350598"</f>
        <v>66298893350598</v>
      </c>
      <c r="D12631" s="1" t="str">
        <f>"WB073"</f>
        <v>WB073</v>
      </c>
      <c r="E12631" s="1" t="s">
        <v>4579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</row>
    <row r="12632" spans="1:11" x14ac:dyDescent="0.2">
      <c r="A12632" s="1" t="s">
        <v>2419</v>
      </c>
      <c r="B12632" s="1" t="s">
        <v>2434</v>
      </c>
      <c r="C12632" s="1" t="str">
        <f>"116082-AZUL"</f>
        <v>116082-AZUL</v>
      </c>
      <c r="D12632" s="1" t="str">
        <f>"116082-AZUL"</f>
        <v>116082-AZUL</v>
      </c>
      <c r="E12632" s="1" t="s">
        <v>4579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</row>
    <row r="12633" spans="1:11" x14ac:dyDescent="0.2">
      <c r="A12633" s="1" t="s">
        <v>18</v>
      </c>
      <c r="B12633" s="1" t="s">
        <v>2435</v>
      </c>
      <c r="C12633" s="1" t="str">
        <f>"1104-AMARILLO-L"</f>
        <v>1104-AMARILLO-L</v>
      </c>
      <c r="D12633" s="1" t="str">
        <f>"1104-AMARILLO-L"</f>
        <v>1104-AMARILLO-L</v>
      </c>
      <c r="E12633" s="1" t="s">
        <v>4579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</row>
    <row r="12634" spans="1:11" x14ac:dyDescent="0.2">
      <c r="A12634" s="1" t="s">
        <v>18</v>
      </c>
      <c r="B12634" s="1" t="s">
        <v>2436</v>
      </c>
      <c r="C12634" s="1" t="str">
        <f>"1104-AZUL-L"</f>
        <v>1104-AZUL-L</v>
      </c>
      <c r="D12634" s="1" t="str">
        <f>"1104-AZUL-L"</f>
        <v>1104-AZUL-L</v>
      </c>
      <c r="E12634" s="1" t="s">
        <v>4579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</row>
    <row r="12635" spans="1:11" x14ac:dyDescent="0.2">
      <c r="A12635" s="1" t="s">
        <v>18</v>
      </c>
      <c r="B12635" s="1" t="s">
        <v>2437</v>
      </c>
      <c r="C12635" s="1" t="str">
        <f>"815-GRIS-L"</f>
        <v>815-GRIS-L</v>
      </c>
      <c r="D12635" s="1" t="str">
        <f>"815-GRIS-L"</f>
        <v>815-GRIS-L</v>
      </c>
      <c r="E12635" s="1" t="s">
        <v>4579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</row>
    <row r="12636" spans="1:11" x14ac:dyDescent="0.2">
      <c r="A12636" s="1" t="s">
        <v>18</v>
      </c>
      <c r="B12636" s="1" t="s">
        <v>2438</v>
      </c>
      <c r="C12636" s="1" t="str">
        <f>"1411-NEGRO-L"</f>
        <v>1411-NEGRO-L</v>
      </c>
      <c r="D12636" s="1" t="str">
        <f>"1411-NEGRO-L"</f>
        <v>1411-NEGRO-L</v>
      </c>
      <c r="E12636" s="1" t="s">
        <v>4579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</row>
    <row r="12637" spans="1:11" x14ac:dyDescent="0.2">
      <c r="A12637" s="1" t="s">
        <v>2419</v>
      </c>
      <c r="B12637" s="1" t="s">
        <v>2439</v>
      </c>
      <c r="C12637" s="1" t="str">
        <f>"116082-NEGRO"</f>
        <v>116082-NEGRO</v>
      </c>
      <c r="D12637" s="1" t="str">
        <f>"116082-NEGRO"</f>
        <v>116082-NEGRO</v>
      </c>
      <c r="E12637" s="1" t="s">
        <v>4579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</row>
    <row r="12638" spans="1:11" x14ac:dyDescent="0.2">
      <c r="A12638" s="1" t="s">
        <v>18</v>
      </c>
      <c r="B12638" s="1" t="s">
        <v>2440</v>
      </c>
      <c r="C12638" s="1" t="str">
        <f>"1104-ROJO-L"</f>
        <v>1104-ROJO-L</v>
      </c>
      <c r="D12638" s="1" t="str">
        <f>"1104-ROJO-L"</f>
        <v>1104-ROJO-L</v>
      </c>
      <c r="E12638" s="1" t="s">
        <v>4579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</row>
    <row r="12639" spans="1:11" x14ac:dyDescent="0.2">
      <c r="A12639" s="1" t="s">
        <v>2419</v>
      </c>
      <c r="B12639" s="1" t="s">
        <v>2441</v>
      </c>
      <c r="C12639" s="1" t="str">
        <f>"116082-ROJO"</f>
        <v>116082-ROJO</v>
      </c>
      <c r="D12639" s="1" t="str">
        <f>"116082-ROJO"</f>
        <v>116082-ROJO</v>
      </c>
      <c r="E12639" s="1" t="s">
        <v>4579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</row>
    <row r="12640" spans="1:11" x14ac:dyDescent="0.2">
      <c r="A12640" s="1" t="s">
        <v>18</v>
      </c>
      <c r="B12640" s="1" t="s">
        <v>2442</v>
      </c>
      <c r="C12640" s="1" t="str">
        <f>"1104-AMARILLO-XL"</f>
        <v>1104-AMARILLO-XL</v>
      </c>
      <c r="D12640" s="1" t="str">
        <f>"1104-AMARILLO-XL"</f>
        <v>1104-AMARILLO-XL</v>
      </c>
      <c r="E12640" s="1" t="s">
        <v>4579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</row>
    <row r="12641" spans="1:11" x14ac:dyDescent="0.2">
      <c r="A12641" s="1" t="s">
        <v>18</v>
      </c>
      <c r="B12641" s="1" t="s">
        <v>2443</v>
      </c>
      <c r="C12641" s="1" t="str">
        <f>"816-AZUL-XL"</f>
        <v>816-AZUL-XL</v>
      </c>
      <c r="D12641" s="1" t="str">
        <f>"816-AZUL-XL"</f>
        <v>816-AZUL-XL</v>
      </c>
      <c r="E12641" s="1" t="s">
        <v>4579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</row>
    <row r="12642" spans="1:11" x14ac:dyDescent="0.2">
      <c r="A12642" s="1" t="s">
        <v>18</v>
      </c>
      <c r="B12642" s="1" t="s">
        <v>2443</v>
      </c>
      <c r="C12642" s="1" t="str">
        <f>"957-AZUL-XL"</f>
        <v>957-AZUL-XL</v>
      </c>
      <c r="D12642" s="1" t="str">
        <f>"957-AZUL-XL"</f>
        <v>957-AZUL-XL</v>
      </c>
      <c r="E12642" s="1" t="s">
        <v>4579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</row>
    <row r="12643" spans="1:11" x14ac:dyDescent="0.2">
      <c r="A12643" s="1" t="s">
        <v>18</v>
      </c>
      <c r="B12643" s="1" t="s">
        <v>2443</v>
      </c>
      <c r="C12643" s="1" t="str">
        <f>"1104-AZUL-XL"</f>
        <v>1104-AZUL-XL</v>
      </c>
      <c r="D12643" s="1" t="str">
        <f>"1104-AZUL-XL"</f>
        <v>1104-AZUL-XL</v>
      </c>
      <c r="E12643" s="1" t="s">
        <v>4579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</row>
    <row r="12644" spans="1:11" x14ac:dyDescent="0.2">
      <c r="A12644" s="1" t="s">
        <v>18</v>
      </c>
      <c r="B12644" s="1" t="s">
        <v>2443</v>
      </c>
      <c r="C12644" s="1" t="str">
        <f>"1411-AZUL-XL"</f>
        <v>1411-AZUL-XL</v>
      </c>
      <c r="D12644" s="1" t="str">
        <f>"1411-AZUL-XL"</f>
        <v>1411-AZUL-XL</v>
      </c>
      <c r="E12644" s="1" t="s">
        <v>4579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</row>
    <row r="12645" spans="1:11" x14ac:dyDescent="0.2">
      <c r="A12645" s="1" t="s">
        <v>18</v>
      </c>
      <c r="B12645" s="1" t="s">
        <v>2444</v>
      </c>
      <c r="C12645" s="1" t="str">
        <f>"815-GRIS-XL"</f>
        <v>815-GRIS-XL</v>
      </c>
      <c r="D12645" s="1" t="str">
        <f>"815-GRIS-XL"</f>
        <v>815-GRIS-XL</v>
      </c>
      <c r="E12645" s="1" t="s">
        <v>4579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</row>
    <row r="12646" spans="1:11" x14ac:dyDescent="0.2">
      <c r="A12646" s="1" t="s">
        <v>18</v>
      </c>
      <c r="B12646" s="1" t="s">
        <v>2445</v>
      </c>
      <c r="C12646" s="1" t="str">
        <f>"816-NEGRO-XL"</f>
        <v>816-NEGRO-XL</v>
      </c>
      <c r="D12646" s="1" t="str">
        <f>"816-NEGRO-XL"</f>
        <v>816-NEGRO-XL</v>
      </c>
      <c r="E12646" s="1" t="s">
        <v>4579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</row>
    <row r="12647" spans="1:11" x14ac:dyDescent="0.2">
      <c r="A12647" s="1" t="s">
        <v>18</v>
      </c>
      <c r="B12647" s="1" t="s">
        <v>2445</v>
      </c>
      <c r="C12647" s="1" t="str">
        <f>"957-NEGRO-XL"</f>
        <v>957-NEGRO-XL</v>
      </c>
      <c r="D12647" s="1" t="str">
        <f>"957-NEGRO-XL"</f>
        <v>957-NEGRO-XL</v>
      </c>
      <c r="E12647" s="1" t="s">
        <v>4579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</row>
    <row r="12648" spans="1:11" x14ac:dyDescent="0.2">
      <c r="A12648" s="1" t="s">
        <v>18</v>
      </c>
      <c r="B12648" s="1" t="s">
        <v>2445</v>
      </c>
      <c r="C12648" s="1" t="str">
        <f>"1411-NEGRO-XL"</f>
        <v>1411-NEGRO-XL</v>
      </c>
      <c r="D12648" s="1" t="str">
        <f>"1411-NEGRO-XL"</f>
        <v>1411-NEGRO-XL</v>
      </c>
      <c r="E12648" s="1" t="s">
        <v>4579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</row>
    <row r="12649" spans="1:11" x14ac:dyDescent="0.2">
      <c r="A12649" s="1" t="s">
        <v>18</v>
      </c>
      <c r="B12649" s="1" t="s">
        <v>2446</v>
      </c>
      <c r="C12649" s="1" t="str">
        <f>"816-ROJO-XL"</f>
        <v>816-ROJO-XL</v>
      </c>
      <c r="D12649" s="1" t="str">
        <f>"816-ROJO-XL"</f>
        <v>816-ROJO-XL</v>
      </c>
      <c r="E12649" s="1" t="s">
        <v>4579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</row>
    <row r="12650" spans="1:11" x14ac:dyDescent="0.2">
      <c r="A12650" s="1" t="s">
        <v>18</v>
      </c>
      <c r="B12650" s="1" t="s">
        <v>2446</v>
      </c>
      <c r="C12650" s="1" t="str">
        <f>"957-ROJO-XL"</f>
        <v>957-ROJO-XL</v>
      </c>
      <c r="D12650" s="1" t="str">
        <f>"957-ROJO-XL"</f>
        <v>957-ROJO-XL</v>
      </c>
      <c r="E12650" s="1" t="s">
        <v>4579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</row>
    <row r="12651" spans="1:11" x14ac:dyDescent="0.2">
      <c r="A12651" s="1" t="s">
        <v>18</v>
      </c>
      <c r="B12651" s="1" t="s">
        <v>2446</v>
      </c>
      <c r="C12651" s="1" t="str">
        <f>"1411-ROJO-XL"</f>
        <v>1411-ROJO-XL</v>
      </c>
      <c r="D12651" s="1" t="str">
        <f>"1411-ROJO-XL"</f>
        <v>1411-ROJO-XL</v>
      </c>
      <c r="E12651" s="1" t="s">
        <v>4579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</row>
    <row r="12652" spans="1:11" x14ac:dyDescent="0.2">
      <c r="A12652" s="1" t="s">
        <v>18</v>
      </c>
      <c r="B12652" s="1" t="s">
        <v>2446</v>
      </c>
      <c r="C12652" s="1" t="str">
        <f>"1104-ROJO-XL"</f>
        <v>1104-ROJO-XL</v>
      </c>
      <c r="D12652" s="1" t="str">
        <f>"1104-ROJO-XL"</f>
        <v>1104-ROJO-XL</v>
      </c>
      <c r="E12652" s="1" t="s">
        <v>4579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</row>
    <row r="12653" spans="1:11" x14ac:dyDescent="0.2">
      <c r="A12653" s="1" t="s">
        <v>18</v>
      </c>
      <c r="B12653" s="1" t="s">
        <v>2447</v>
      </c>
      <c r="C12653" s="1" t="str">
        <f>"1411-VERDE-XL"</f>
        <v>1411-VERDE-XL</v>
      </c>
      <c r="D12653" s="1" t="str">
        <f>"1411-VERDE-XL"</f>
        <v>1411-VERDE-XL</v>
      </c>
      <c r="E12653" s="1" t="s">
        <v>4579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</row>
    <row r="12654" spans="1:11" x14ac:dyDescent="0.2">
      <c r="A12654" s="1" t="s">
        <v>18</v>
      </c>
      <c r="B12654" s="1" t="s">
        <v>2448</v>
      </c>
      <c r="C12654" s="1" t="str">
        <f>"957-AZUL-XXL"</f>
        <v>957-AZUL-XXL</v>
      </c>
      <c r="D12654" s="1" t="str">
        <f>"957-AZUL-XXL"</f>
        <v>957-AZUL-XXL</v>
      </c>
      <c r="E12654" s="1" t="s">
        <v>4579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</row>
    <row r="12655" spans="1:11" x14ac:dyDescent="0.2">
      <c r="A12655" s="1" t="s">
        <v>18</v>
      </c>
      <c r="B12655" s="1" t="s">
        <v>2448</v>
      </c>
      <c r="C12655" s="1" t="str">
        <f>"1411-AZUL-XXL"</f>
        <v>1411-AZUL-XXL</v>
      </c>
      <c r="D12655" s="1" t="str">
        <f>"1411-AZUL-XXL"</f>
        <v>1411-AZUL-XXL</v>
      </c>
      <c r="E12655" s="1" t="s">
        <v>4579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</row>
    <row r="12656" spans="1:11" x14ac:dyDescent="0.2">
      <c r="A12656" s="1" t="s">
        <v>18</v>
      </c>
      <c r="B12656" s="1" t="s">
        <v>2449</v>
      </c>
      <c r="C12656" s="1" t="str">
        <f>"1411-ROJO-XXL"</f>
        <v>1411-ROJO-XXL</v>
      </c>
      <c r="D12656" s="1" t="str">
        <f>"1411-ROJO-XXL"</f>
        <v>1411-ROJO-XXL</v>
      </c>
      <c r="E12656" s="1" t="s">
        <v>4579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</row>
    <row r="12657" spans="1:11" x14ac:dyDescent="0.2">
      <c r="A12657" s="1" t="s">
        <v>18</v>
      </c>
      <c r="B12657" s="1" t="s">
        <v>2450</v>
      </c>
      <c r="C12657" s="1" t="str">
        <f>"1411-VERDE-XXL"</f>
        <v>1411-VERDE-XXL</v>
      </c>
      <c r="D12657" s="1" t="str">
        <f>"1411-VERDE-XXL"</f>
        <v>1411-VERDE-XXL</v>
      </c>
      <c r="E12657" s="1" t="s">
        <v>4579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</row>
    <row r="12658" spans="1:11" x14ac:dyDescent="0.2">
      <c r="A12658" s="1" t="s">
        <v>18</v>
      </c>
      <c r="B12658" s="1" t="s">
        <v>2451</v>
      </c>
      <c r="C12658" s="1" t="str">
        <f>"66298893573295"</f>
        <v>66298893573295</v>
      </c>
      <c r="D12658" s="1" t="str">
        <f>"WB071-AZUL"</f>
        <v>WB071-AZUL</v>
      </c>
      <c r="E12658" s="1" t="s">
        <v>4579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</row>
    <row r="12659" spans="1:11" x14ac:dyDescent="0.2">
      <c r="A12659" s="1" t="s">
        <v>18</v>
      </c>
      <c r="B12659" s="1" t="s">
        <v>2452</v>
      </c>
      <c r="C12659" s="1" t="str">
        <f>"66298893611903"</f>
        <v>66298893611903</v>
      </c>
      <c r="D12659" s="1" t="str">
        <f>"WB071-ROJO"</f>
        <v>WB071-ROJO</v>
      </c>
      <c r="E12659" s="1" t="s">
        <v>4579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</row>
    <row r="12660" spans="1:11" x14ac:dyDescent="0.2">
      <c r="A12660" s="1" t="s">
        <v>2419</v>
      </c>
      <c r="B12660" s="1" t="s">
        <v>2453</v>
      </c>
      <c r="C12660" s="1" t="str">
        <f>"66298893651141"</f>
        <v>66298893651141</v>
      </c>
      <c r="D12660" s="1" t="str">
        <f>"WB072-NARANJO"</f>
        <v>WB072-NARANJO</v>
      </c>
      <c r="E12660" s="1" t="s">
        <v>4579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</row>
    <row r="12661" spans="1:11" x14ac:dyDescent="0.2">
      <c r="A12661" s="1" t="s">
        <v>18</v>
      </c>
      <c r="B12661" s="1" t="s">
        <v>2454</v>
      </c>
      <c r="C12661" s="1" t="str">
        <f>"66298893695889"</f>
        <v>66298893695889</v>
      </c>
      <c r="D12661" s="1" t="str">
        <f>"WB072-VERDE"</f>
        <v>WB072-VERDE</v>
      </c>
      <c r="E12661" s="1" t="s">
        <v>4579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</row>
    <row r="12662" spans="1:11" x14ac:dyDescent="0.2">
      <c r="A12662" s="1" t="s">
        <v>18</v>
      </c>
      <c r="B12662" s="1" t="s">
        <v>2455</v>
      </c>
      <c r="C12662" s="1" t="str">
        <f>"WB042-AZUL-L"</f>
        <v>WB042-AZUL-L</v>
      </c>
      <c r="D12662" s="1" t="str">
        <f>"WB042-AZUL-L"</f>
        <v>WB042-AZUL-L</v>
      </c>
      <c r="E12662" s="1" t="s">
        <v>4579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</row>
    <row r="12663" spans="1:11" x14ac:dyDescent="0.2">
      <c r="A12663" s="1" t="s">
        <v>18</v>
      </c>
      <c r="B12663" s="1" t="s">
        <v>2456</v>
      </c>
      <c r="C12663" s="1" t="str">
        <f>"WB042-AZUL-XL"</f>
        <v>WB042-AZUL-XL</v>
      </c>
      <c r="D12663" s="1" t="str">
        <f>"WB042-AZUL-XL"</f>
        <v>WB042-AZUL-XL</v>
      </c>
      <c r="E12663" s="1" t="s">
        <v>4579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</row>
    <row r="12664" spans="1:11" x14ac:dyDescent="0.2">
      <c r="A12664" s="1" t="s">
        <v>18</v>
      </c>
      <c r="B12664" s="1" t="s">
        <v>2457</v>
      </c>
      <c r="C12664" s="1" t="str">
        <f>"WB042-ROJO-L"</f>
        <v>WB042-ROJO-L</v>
      </c>
      <c r="D12664" s="1" t="str">
        <f>"WB042-ROJO-L"</f>
        <v>WB042-ROJO-L</v>
      </c>
      <c r="E12664" s="1" t="s">
        <v>4579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</row>
    <row r="12665" spans="1:11" x14ac:dyDescent="0.2">
      <c r="A12665" s="1" t="s">
        <v>18</v>
      </c>
      <c r="B12665" s="1" t="s">
        <v>2458</v>
      </c>
      <c r="C12665" s="1" t="str">
        <f>"WB042-VERDE-L"</f>
        <v>WB042-VERDE-L</v>
      </c>
      <c r="D12665" s="1" t="str">
        <f>"WB042-VERDE-L"</f>
        <v>WB042-VERDE-L</v>
      </c>
      <c r="E12665" s="1" t="s">
        <v>4579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</row>
    <row r="12666" spans="1:11" x14ac:dyDescent="0.2">
      <c r="A12666" s="1" t="s">
        <v>18</v>
      </c>
      <c r="B12666" s="1" t="s">
        <v>2459</v>
      </c>
      <c r="C12666" s="1" t="str">
        <f>"WB042-VERDE-XL"</f>
        <v>WB042-VERDE-XL</v>
      </c>
      <c r="D12666" s="1" t="str">
        <f>"WB042-VERDE-XL"</f>
        <v>WB042-VERDE-XL</v>
      </c>
      <c r="E12666" s="1" t="s">
        <v>4579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</row>
    <row r="12667" spans="1:11" ht="30" x14ac:dyDescent="0.2">
      <c r="A12667" s="1" t="s">
        <v>18</v>
      </c>
      <c r="B12667" s="1" t="s">
        <v>2460</v>
      </c>
      <c r="C12667" s="1" t="str">
        <f>"66298893747357"</f>
        <v>66298893747357</v>
      </c>
      <c r="D12667" s="1" t="str">
        <f>"2564-NEG/NAR-XL"</f>
        <v>2564-NEG/NAR-XL</v>
      </c>
      <c r="E12667" s="1" t="s">
        <v>4579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</row>
    <row r="12668" spans="1:11" x14ac:dyDescent="0.2">
      <c r="A12668" s="1" t="s">
        <v>18</v>
      </c>
      <c r="B12668" s="1" t="s">
        <v>2461</v>
      </c>
      <c r="C12668" s="1" t="str">
        <f>"66298893792130"</f>
        <v>66298893792130</v>
      </c>
      <c r="D12668" s="1" t="str">
        <f>"2564-NEG/NAR-XXL"</f>
        <v>2564-NEG/NAR-XXL</v>
      </c>
      <c r="E12668" s="1" t="s">
        <v>4579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</row>
    <row r="12669" spans="1:11" x14ac:dyDescent="0.2">
      <c r="A12669" s="1" t="s">
        <v>18</v>
      </c>
      <c r="B12669" s="1" t="s">
        <v>2462</v>
      </c>
      <c r="C12669" s="1" t="str">
        <f>"66298893843852"</f>
        <v>66298893843852</v>
      </c>
      <c r="D12669" s="1" t="str">
        <f>"WB068-AZUL"</f>
        <v>WB068-AZUL</v>
      </c>
      <c r="E12669" s="1" t="s">
        <v>4579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</row>
    <row r="12670" spans="1:11" x14ac:dyDescent="0.2">
      <c r="A12670" s="1" t="s">
        <v>18</v>
      </c>
      <c r="B12670" s="1" t="s">
        <v>2463</v>
      </c>
      <c r="C12670" s="1" t="str">
        <f>"66298893892845"</f>
        <v>66298893892845</v>
      </c>
      <c r="D12670" s="1" t="str">
        <f>"WB068-ROJO"</f>
        <v>WB068-ROJO</v>
      </c>
      <c r="E12670" s="1" t="s">
        <v>4579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</row>
    <row r="12671" spans="1:11" x14ac:dyDescent="0.2">
      <c r="A12671" s="1" t="s">
        <v>18</v>
      </c>
      <c r="B12671" s="1" t="s">
        <v>2464</v>
      </c>
      <c r="C12671" s="1" t="str">
        <f>"66298893933672"</f>
        <v>66298893933672</v>
      </c>
      <c r="D12671" s="1" t="str">
        <f>"WB066-AZUL"</f>
        <v>WB066-AZUL</v>
      </c>
      <c r="E12671" s="1" t="s">
        <v>4579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</row>
    <row r="12672" spans="1:11" x14ac:dyDescent="0.2">
      <c r="A12672" s="1" t="s">
        <v>18</v>
      </c>
      <c r="B12672" s="1" t="s">
        <v>2465</v>
      </c>
      <c r="C12672" s="1" t="str">
        <f>"66298893978742"</f>
        <v>66298893978742</v>
      </c>
      <c r="D12672" s="1" t="str">
        <f>"WB066-ROJO"</f>
        <v>WB066-ROJO</v>
      </c>
      <c r="E12672" s="1" t="s">
        <v>4579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</row>
    <row r="12673" spans="1:11" x14ac:dyDescent="0.2">
      <c r="A12673" s="1" t="s">
        <v>18</v>
      </c>
      <c r="B12673" s="1" t="s">
        <v>2466</v>
      </c>
      <c r="C12673" s="1" t="str">
        <f>"66298894025179"</f>
        <v>66298894025179</v>
      </c>
      <c r="D12673" s="1" t="str">
        <f>"WB066-VERDE"</f>
        <v>WB066-VERDE</v>
      </c>
      <c r="E12673" s="1" t="s">
        <v>4579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</row>
    <row r="12674" spans="1:11" x14ac:dyDescent="0.2">
      <c r="A12674" s="1" t="s">
        <v>18</v>
      </c>
      <c r="B12674" s="1" t="s">
        <v>2467</v>
      </c>
      <c r="C12674" s="1" t="str">
        <f>"130811"</f>
        <v>130811</v>
      </c>
      <c r="D12674" s="1" t="str">
        <f>"130811"</f>
        <v>130811</v>
      </c>
      <c r="E12674" s="1" t="s">
        <v>4579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</row>
    <row r="12675" spans="1:11" x14ac:dyDescent="0.2">
      <c r="A12675" s="1" t="s">
        <v>18</v>
      </c>
      <c r="B12675" s="1" t="s">
        <v>2468</v>
      </c>
      <c r="C12675" s="1" t="str">
        <f>"66298894069066"</f>
        <v>66298894069066</v>
      </c>
      <c r="D12675" s="1" t="str">
        <f>"WB004-ROJO-XL"</f>
        <v>WB004-ROJO-XL</v>
      </c>
      <c r="E12675" s="1" t="s">
        <v>4579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</row>
    <row r="12676" spans="1:11" x14ac:dyDescent="0.2">
      <c r="A12676" s="1" t="s">
        <v>18</v>
      </c>
      <c r="B12676" s="1" t="s">
        <v>2469</v>
      </c>
      <c r="C12676" s="1" t="str">
        <f>"66298894111958"</f>
        <v>66298894111958</v>
      </c>
      <c r="D12676" s="1" t="str">
        <f>"WB067-MORADO"</f>
        <v>WB067-MORADO</v>
      </c>
      <c r="E12676" s="1" t="s">
        <v>4579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</row>
    <row r="12677" spans="1:11" x14ac:dyDescent="0.2">
      <c r="A12677" s="1" t="s">
        <v>18</v>
      </c>
      <c r="B12677" s="1" t="s">
        <v>2470</v>
      </c>
      <c r="C12677" s="1" t="str">
        <f>"66298894155119"</f>
        <v>66298894155119</v>
      </c>
      <c r="D12677" s="1" t="str">
        <f>"WB067-VERDE"</f>
        <v>WB067-VERDE</v>
      </c>
      <c r="E12677" s="1" t="s">
        <v>4579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</row>
    <row r="12678" spans="1:11" x14ac:dyDescent="0.2">
      <c r="A12678" s="1" t="s">
        <v>18</v>
      </c>
      <c r="B12678" s="1" t="s">
        <v>2471</v>
      </c>
      <c r="C12678" s="1" t="str">
        <f>"66298894198124"</f>
        <v>66298894198124</v>
      </c>
      <c r="D12678" s="1" t="str">
        <f>"WB070-VERDE"</f>
        <v>WB070-VERDE</v>
      </c>
      <c r="E12678" s="1" t="s">
        <v>4579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</row>
    <row r="12679" spans="1:11" x14ac:dyDescent="0.2">
      <c r="A12679" s="1" t="s">
        <v>18</v>
      </c>
      <c r="B12679" s="1" t="s">
        <v>2472</v>
      </c>
      <c r="C12679" s="1" t="str">
        <f>"66298894243605"</f>
        <v>66298894243605</v>
      </c>
      <c r="D12679" s="1" t="str">
        <f>"WB064-AZUL"</f>
        <v>WB064-AZUL</v>
      </c>
      <c r="E12679" s="1" t="s">
        <v>4579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</row>
    <row r="12680" spans="1:11" x14ac:dyDescent="0.2">
      <c r="A12680" s="1" t="s">
        <v>18</v>
      </c>
      <c r="B12680" s="1" t="s">
        <v>2473</v>
      </c>
      <c r="C12680" s="1" t="str">
        <f>"66298894281633"</f>
        <v>66298894281633</v>
      </c>
      <c r="D12680" s="1" t="str">
        <f>"WB064-GRIS"</f>
        <v>WB064-GRIS</v>
      </c>
      <c r="E12680" s="1" t="s">
        <v>4579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</row>
    <row r="12681" spans="1:11" x14ac:dyDescent="0.2">
      <c r="A12681" s="1" t="s">
        <v>18</v>
      </c>
      <c r="B12681" s="1" t="s">
        <v>2474</v>
      </c>
      <c r="C12681" s="1" t="str">
        <f>"66298894323027"</f>
        <v>66298894323027</v>
      </c>
      <c r="D12681" s="1" t="str">
        <f>"WB064-ROJO"</f>
        <v>WB064-ROJO</v>
      </c>
      <c r="E12681" s="1" t="s">
        <v>4579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</row>
    <row r="12682" spans="1:11" x14ac:dyDescent="0.2">
      <c r="A12682" s="1" t="s">
        <v>18</v>
      </c>
      <c r="B12682" s="1" t="s">
        <v>2475</v>
      </c>
      <c r="C12682" s="1" t="str">
        <f>"66298894366589"</f>
        <v>66298894366589</v>
      </c>
      <c r="D12682" s="1" t="str">
        <f>"LE040A"</f>
        <v>LE040A</v>
      </c>
      <c r="E12682" s="1" t="s">
        <v>4579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</row>
    <row r="12683" spans="1:11" x14ac:dyDescent="0.2">
      <c r="A12683" s="1" t="s">
        <v>18</v>
      </c>
      <c r="B12683" s="1" t="s">
        <v>2476</v>
      </c>
      <c r="C12683" s="1" t="str">
        <f>"66298892467824"</f>
        <v>66298892467824</v>
      </c>
      <c r="D12683" s="1" t="str">
        <f>"LE040N"</f>
        <v>LE040N</v>
      </c>
      <c r="E12683" s="1" t="s">
        <v>4579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</row>
    <row r="12684" spans="1:11" x14ac:dyDescent="0.2">
      <c r="A12684" s="1" t="s">
        <v>18</v>
      </c>
      <c r="B12684" s="1" t="s">
        <v>2477</v>
      </c>
      <c r="C12684" s="1" t="str">
        <f>"66298894409495"</f>
        <v>66298894409495</v>
      </c>
      <c r="D12684" s="1" t="str">
        <f>"LE040R"</f>
        <v>LE040R</v>
      </c>
      <c r="E12684" s="1" t="s">
        <v>4579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</row>
    <row r="12685" spans="1:11" x14ac:dyDescent="0.2">
      <c r="A12685" s="1" t="s">
        <v>18</v>
      </c>
      <c r="B12685" s="1" t="s">
        <v>2478</v>
      </c>
      <c r="C12685" s="1" t="str">
        <f>"WB063-AZUL-L"</f>
        <v>WB063-AZUL-L</v>
      </c>
      <c r="D12685" s="1" t="str">
        <f>"WB063-AZUL-L"</f>
        <v>WB063-AZUL-L</v>
      </c>
      <c r="E12685" s="1" t="s">
        <v>4579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</row>
    <row r="12686" spans="1:11" x14ac:dyDescent="0.2">
      <c r="A12686" s="1" t="s">
        <v>18</v>
      </c>
      <c r="B12686" s="1" t="s">
        <v>2479</v>
      </c>
      <c r="C12686" s="1" t="str">
        <f>"WB063-AZUL-XL"</f>
        <v>WB063-AZUL-XL</v>
      </c>
      <c r="D12686" s="1" t="str">
        <f>"WB063-AZUL-XL"</f>
        <v>WB063-AZUL-XL</v>
      </c>
      <c r="E12686" s="1" t="s">
        <v>4579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</row>
    <row r="12687" spans="1:11" x14ac:dyDescent="0.2">
      <c r="A12687" s="1" t="s">
        <v>18</v>
      </c>
      <c r="B12687" s="1" t="s">
        <v>2480</v>
      </c>
      <c r="C12687" s="1" t="str">
        <f>"WB063-NEGRO-XL"</f>
        <v>WB063-NEGRO-XL</v>
      </c>
      <c r="D12687" s="1" t="str">
        <f>"WB063-NEGRO-XL"</f>
        <v>WB063-NEGRO-XL</v>
      </c>
      <c r="E12687" s="1" t="s">
        <v>4579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</row>
    <row r="12688" spans="1:11" x14ac:dyDescent="0.2">
      <c r="A12688" s="1" t="s">
        <v>18</v>
      </c>
      <c r="B12688" s="1" t="s">
        <v>2481</v>
      </c>
      <c r="C12688" s="1" t="str">
        <f>"WB063-ROJO-L"</f>
        <v>WB063-ROJO-L</v>
      </c>
      <c r="D12688" s="1" t="str">
        <f>"WB063-ROJO-L"</f>
        <v>WB063-ROJO-L</v>
      </c>
      <c r="E12688" s="1" t="s">
        <v>4579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</row>
    <row r="12689" spans="1:11" x14ac:dyDescent="0.2">
      <c r="A12689" s="1" t="s">
        <v>18</v>
      </c>
      <c r="B12689" s="1" t="s">
        <v>2482</v>
      </c>
      <c r="C12689" s="1" t="str">
        <f>"WB063-ROJO-XL"</f>
        <v>WB063-ROJO-XL</v>
      </c>
      <c r="D12689" s="1" t="str">
        <f>"WB063-ROJO-XL"</f>
        <v>WB063-ROJO-XL</v>
      </c>
      <c r="E12689" s="1" t="s">
        <v>4579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</row>
    <row r="12690" spans="1:11" x14ac:dyDescent="0.2">
      <c r="A12690" s="1" t="s">
        <v>2419</v>
      </c>
      <c r="B12690" s="1" t="s">
        <v>2483</v>
      </c>
      <c r="C12690" s="1" t="str">
        <f>"142020"</f>
        <v>142020</v>
      </c>
      <c r="D12690" s="1" t="str">
        <f>"142020"</f>
        <v>142020</v>
      </c>
      <c r="E12690" s="1" t="s">
        <v>4579</v>
      </c>
      <c r="F12690" s="1">
        <v>3</v>
      </c>
      <c r="G12690" s="1">
        <v>1975</v>
      </c>
      <c r="H12690" s="1">
        <v>5925</v>
      </c>
      <c r="I12690" s="1">
        <v>0</v>
      </c>
      <c r="J12690" s="1">
        <v>3</v>
      </c>
      <c r="K12690" s="1">
        <v>0</v>
      </c>
    </row>
    <row r="12691" spans="1:11" x14ac:dyDescent="0.2">
      <c r="A12691" s="1" t="s">
        <v>18</v>
      </c>
      <c r="B12691" s="1" t="s">
        <v>2484</v>
      </c>
      <c r="C12691" s="1" t="str">
        <f>"136432"</f>
        <v>136432</v>
      </c>
      <c r="D12691" s="1" t="str">
        <f>"136432"</f>
        <v>136432</v>
      </c>
      <c r="E12691" s="1" t="s">
        <v>4579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</row>
    <row r="12692" spans="1:11" x14ac:dyDescent="0.2">
      <c r="A12692" s="1" t="s">
        <v>2419</v>
      </c>
      <c r="B12692" s="1" t="s">
        <v>2485</v>
      </c>
      <c r="C12692" s="1" t="str">
        <f>"WB004"</f>
        <v>WB004</v>
      </c>
      <c r="D12692" s="1" t="str">
        <f>"WB004"</f>
        <v>WB004</v>
      </c>
      <c r="E12692" s="1" t="s">
        <v>4579</v>
      </c>
      <c r="F12692" s="1">
        <v>1</v>
      </c>
      <c r="G12692" s="1">
        <v>5120</v>
      </c>
      <c r="H12692" s="1">
        <v>5120</v>
      </c>
      <c r="I12692" s="1">
        <v>0</v>
      </c>
      <c r="J12692" s="1">
        <v>1</v>
      </c>
      <c r="K12692" s="1">
        <v>0</v>
      </c>
    </row>
    <row r="12693" spans="1:11" x14ac:dyDescent="0.2">
      <c r="A12693" s="1" t="s">
        <v>2419</v>
      </c>
      <c r="B12693" s="1" t="s">
        <v>2485</v>
      </c>
      <c r="C12693" s="1" t="str">
        <f>"WB060"</f>
        <v>WB060</v>
      </c>
      <c r="D12693" s="1" t="str">
        <f>"WB060"</f>
        <v>WB060</v>
      </c>
      <c r="E12693" s="1" t="s">
        <v>4579</v>
      </c>
      <c r="F12693" s="1">
        <v>3</v>
      </c>
      <c r="G12693" s="1">
        <v>3120</v>
      </c>
      <c r="H12693" s="1">
        <v>9360</v>
      </c>
      <c r="I12693" s="1">
        <v>0</v>
      </c>
      <c r="J12693" s="1">
        <v>3</v>
      </c>
      <c r="K12693" s="1">
        <v>0</v>
      </c>
    </row>
    <row r="12694" spans="1:11" x14ac:dyDescent="0.2">
      <c r="A12694" s="1" t="s">
        <v>2419</v>
      </c>
      <c r="B12694" s="1" t="s">
        <v>2485</v>
      </c>
      <c r="C12694" s="1" t="str">
        <f>"WB064"</f>
        <v>WB064</v>
      </c>
      <c r="D12694" s="1" t="str">
        <f>"WB064"</f>
        <v>WB064</v>
      </c>
      <c r="E12694" s="1" t="s">
        <v>4579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</row>
    <row r="12695" spans="1:11" x14ac:dyDescent="0.2">
      <c r="A12695" s="1" t="s">
        <v>2419</v>
      </c>
      <c r="B12695" s="1" t="s">
        <v>2485</v>
      </c>
      <c r="C12695" s="1" t="str">
        <f>"WB066"</f>
        <v>WB066</v>
      </c>
      <c r="D12695" s="1" t="str">
        <f>"WB066"</f>
        <v>WB066</v>
      </c>
      <c r="E12695" s="1" t="s">
        <v>4579</v>
      </c>
      <c r="F12695" s="1">
        <v>2</v>
      </c>
      <c r="G12695" s="1">
        <v>1692</v>
      </c>
      <c r="H12695" s="1">
        <v>3384</v>
      </c>
      <c r="I12695" s="1">
        <v>0</v>
      </c>
      <c r="J12695" s="1">
        <v>2</v>
      </c>
      <c r="K12695" s="1">
        <v>0</v>
      </c>
    </row>
    <row r="12696" spans="1:11" x14ac:dyDescent="0.2">
      <c r="A12696" s="1" t="s">
        <v>2419</v>
      </c>
      <c r="B12696" s="1" t="s">
        <v>2485</v>
      </c>
      <c r="C12696" s="1" t="str">
        <f>"WB068"</f>
        <v>WB068</v>
      </c>
      <c r="D12696" s="1" t="str">
        <f>"WB068"</f>
        <v>WB068</v>
      </c>
      <c r="E12696" s="1" t="s">
        <v>4579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</row>
    <row r="12697" spans="1:11" x14ac:dyDescent="0.2">
      <c r="A12697" s="1" t="s">
        <v>2419</v>
      </c>
      <c r="B12697" s="1" t="s">
        <v>2485</v>
      </c>
      <c r="C12697" s="1" t="str">
        <f>"WB093"</f>
        <v>WB093</v>
      </c>
      <c r="D12697" s="1" t="str">
        <f>"WB093"</f>
        <v>WB093</v>
      </c>
      <c r="E12697" s="1" t="s">
        <v>4579</v>
      </c>
      <c r="F12697" s="1">
        <v>6</v>
      </c>
      <c r="G12697" s="1">
        <v>4735</v>
      </c>
      <c r="H12697" s="1">
        <v>28410</v>
      </c>
      <c r="I12697" s="1">
        <v>0</v>
      </c>
      <c r="J12697" s="1">
        <v>6</v>
      </c>
      <c r="K12697" s="1">
        <v>0</v>
      </c>
    </row>
    <row r="12698" spans="1:11" x14ac:dyDescent="0.2">
      <c r="A12698" s="1" t="s">
        <v>18</v>
      </c>
      <c r="B12698" s="1" t="s">
        <v>2486</v>
      </c>
      <c r="C12698" s="1" t="str">
        <f>"66298894494879"</f>
        <v>66298894494879</v>
      </c>
      <c r="D12698" s="1" t="str">
        <f>"0400-GUANTES"</f>
        <v>0400-GUANTES</v>
      </c>
      <c r="E12698" s="1" t="s">
        <v>4579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</row>
    <row r="12699" spans="1:11" x14ac:dyDescent="0.2">
      <c r="A12699" s="1" t="s">
        <v>18</v>
      </c>
      <c r="B12699" s="1" t="s">
        <v>2486</v>
      </c>
      <c r="C12699" s="1" t="str">
        <f>"A-3320"</f>
        <v>A-3320</v>
      </c>
      <c r="D12699" s="1" t="str">
        <f>"A-3320"</f>
        <v>A-3320</v>
      </c>
      <c r="E12699" s="1" t="s">
        <v>4579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</row>
    <row r="12700" spans="1:11" x14ac:dyDescent="0.2">
      <c r="A12700" s="1" t="s">
        <v>18</v>
      </c>
      <c r="B12700" s="1" t="s">
        <v>2487</v>
      </c>
      <c r="C12700" s="1" t="str">
        <f>"66298895222289"</f>
        <v>66298895222289</v>
      </c>
      <c r="D12700" s="1" t="str">
        <f>"0400-NIÑO"</f>
        <v>0400-NIÑO</v>
      </c>
      <c r="E12700" s="1" t="s">
        <v>4579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</row>
    <row r="12701" spans="1:11" x14ac:dyDescent="0.2">
      <c r="A12701" s="1" t="s">
        <v>18</v>
      </c>
      <c r="B12701" s="1" t="s">
        <v>2488</v>
      </c>
      <c r="C12701" s="1" t="str">
        <f>"3785"</f>
        <v>3785</v>
      </c>
      <c r="D12701" s="1" t="str">
        <f>"3785"</f>
        <v>3785</v>
      </c>
      <c r="E12701" s="1" t="s">
        <v>4579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</row>
    <row r="12702" spans="1:11" x14ac:dyDescent="0.2">
      <c r="A12702" s="1" t="s">
        <v>18</v>
      </c>
      <c r="B12702" s="1" t="s">
        <v>2489</v>
      </c>
      <c r="C12702" s="1" t="str">
        <f>"8600"</f>
        <v>8600</v>
      </c>
      <c r="D12702" s="1" t="str">
        <f>"8600"</f>
        <v>8600</v>
      </c>
      <c r="E12702" s="1" t="s">
        <v>4579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</row>
    <row r="12703" spans="1:11" x14ac:dyDescent="0.2">
      <c r="A12703" s="1" t="s">
        <v>18</v>
      </c>
      <c r="B12703" s="1" t="s">
        <v>2490</v>
      </c>
      <c r="C12703" s="1" t="str">
        <f>"66298894450475"</f>
        <v>66298894450475</v>
      </c>
      <c r="D12703" s="1" t="str">
        <f>"MECHANIX-L"</f>
        <v>MECHANIX-L</v>
      </c>
      <c r="E12703" s="1" t="s">
        <v>4579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</row>
    <row r="12704" spans="1:11" x14ac:dyDescent="0.2">
      <c r="A12704" s="1" t="s">
        <v>2491</v>
      </c>
      <c r="B12704" s="1" t="s">
        <v>2492</v>
      </c>
      <c r="C12704" s="1" t="str">
        <f>"66298894536193"</f>
        <v>66298894536193</v>
      </c>
      <c r="D12704" s="1" t="str">
        <f>"91254-KF0-003"</f>
        <v>91254-KF0-003</v>
      </c>
      <c r="E12704" s="1" t="s">
        <v>4579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</row>
    <row r="12705" spans="1:11" x14ac:dyDescent="0.2">
      <c r="A12705" s="1" t="s">
        <v>98</v>
      </c>
      <c r="B12705" s="1" t="s">
        <v>2493</v>
      </c>
      <c r="C12705" s="1" t="str">
        <f>"14610-KSP-910JP"</f>
        <v>14610-KSP-910JP</v>
      </c>
      <c r="D12705" s="1" t="str">
        <f>"14610-KSP-910JP"</f>
        <v>14610-KSP-910JP</v>
      </c>
      <c r="E12705" s="1" t="s">
        <v>4579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</row>
    <row r="12706" spans="1:11" x14ac:dyDescent="0.2">
      <c r="A12706" s="1" t="s">
        <v>98</v>
      </c>
      <c r="B12706" s="1" t="s">
        <v>2494</v>
      </c>
      <c r="C12706" s="1" t="str">
        <f>"12771-18A00"</f>
        <v>12771-18A00</v>
      </c>
      <c r="D12706" s="1" t="str">
        <f>"12771-18A00"</f>
        <v>12771-18A00</v>
      </c>
      <c r="E12706" s="1" t="s">
        <v>4579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</row>
    <row r="12707" spans="1:11" x14ac:dyDescent="0.2">
      <c r="A12707" s="1" t="s">
        <v>98</v>
      </c>
      <c r="B12707" s="1" t="s">
        <v>2495</v>
      </c>
      <c r="C12707" s="1" t="str">
        <f>"66298894578141"</f>
        <v>66298894578141</v>
      </c>
      <c r="D12707" s="1" t="str">
        <f>"21C-E2231-00"</f>
        <v>21C-E2231-00</v>
      </c>
      <c r="E12707" s="1" t="s">
        <v>4579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</row>
    <row r="12708" spans="1:11" x14ac:dyDescent="0.2">
      <c r="A12708" s="1" t="s">
        <v>98</v>
      </c>
      <c r="B12708" s="1" t="s">
        <v>2496</v>
      </c>
      <c r="C12708" s="1" t="str">
        <f>"66298894621268"</f>
        <v>66298894621268</v>
      </c>
      <c r="D12708" s="1" t="str">
        <f>"12771-12F60JP"</f>
        <v>12771-12F60JP</v>
      </c>
      <c r="E12708" s="1" t="s">
        <v>4579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</row>
    <row r="12709" spans="1:11" x14ac:dyDescent="0.2">
      <c r="A12709" s="1" t="s">
        <v>98</v>
      </c>
      <c r="B12709" s="1" t="s">
        <v>2497</v>
      </c>
      <c r="C12709" s="1" t="str">
        <f>"14620-KPF-900JP"</f>
        <v>14620-KPF-900JP</v>
      </c>
      <c r="D12709" s="1" t="str">
        <f>"14620-KPF-900JP"</f>
        <v>14620-KPF-900JP</v>
      </c>
      <c r="E12709" s="1" t="s">
        <v>4579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</row>
    <row r="12710" spans="1:11" x14ac:dyDescent="0.2">
      <c r="A12710" s="1" t="s">
        <v>98</v>
      </c>
      <c r="B12710" s="1" t="s">
        <v>2498</v>
      </c>
      <c r="C12710" s="1" t="str">
        <f>"66298894669841"</f>
        <v>66298894669841</v>
      </c>
      <c r="D12710" s="1" t="str">
        <f>"Y119"</f>
        <v>Y119</v>
      </c>
      <c r="E12710" s="1" t="s">
        <v>4579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</row>
    <row r="12711" spans="1:11" ht="30" x14ac:dyDescent="0.2">
      <c r="A12711" s="1" t="s">
        <v>98</v>
      </c>
      <c r="B12711" s="1" t="s">
        <v>2499</v>
      </c>
      <c r="C12711" s="1" t="str">
        <f>"14500-KPF-305"</f>
        <v>14500-KPF-305</v>
      </c>
      <c r="D12711" s="1" t="str">
        <f>"14500-KPF-305"</f>
        <v>14500-KPF-305</v>
      </c>
      <c r="E12711" s="1" t="s">
        <v>4579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</row>
    <row r="12712" spans="1:11" x14ac:dyDescent="0.2">
      <c r="A12712" s="1" t="s">
        <v>98</v>
      </c>
      <c r="B12712" s="1" t="s">
        <v>2500</v>
      </c>
      <c r="C12712" s="1" t="str">
        <f>"66298894710533"</f>
        <v>66298894710533</v>
      </c>
      <c r="D12712" s="1" t="str">
        <f>"11827"</f>
        <v>11827</v>
      </c>
      <c r="E12712" s="1" t="s">
        <v>4579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</row>
    <row r="12713" spans="1:11" x14ac:dyDescent="0.2">
      <c r="A12713" s="1" t="s">
        <v>98</v>
      </c>
      <c r="B12713" s="1" t="s">
        <v>2501</v>
      </c>
      <c r="C12713" s="1" t="str">
        <f>"66298894758517"</f>
        <v>66298894758517</v>
      </c>
      <c r="D12713" s="1" t="str">
        <f>"7831"</f>
        <v>7831</v>
      </c>
      <c r="E12713" s="1" t="s">
        <v>4579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</row>
    <row r="12714" spans="1:11" x14ac:dyDescent="0.2">
      <c r="A12714" s="1" t="s">
        <v>98</v>
      </c>
      <c r="B12714" s="1" t="s">
        <v>2501</v>
      </c>
      <c r="C12714" s="1" t="str">
        <f>"66298894813674"</f>
        <v>66298894813674</v>
      </c>
      <c r="D12714" s="1" t="str">
        <f>"CH003"</f>
        <v>CH003</v>
      </c>
      <c r="E12714" s="1" t="s">
        <v>4579</v>
      </c>
      <c r="F12714" s="1">
        <v>2</v>
      </c>
      <c r="G12714" s="1">
        <v>2890</v>
      </c>
      <c r="H12714" s="1">
        <v>5780</v>
      </c>
      <c r="I12714" s="1">
        <v>0</v>
      </c>
      <c r="J12714" s="1">
        <v>2</v>
      </c>
      <c r="K12714" s="1">
        <v>0</v>
      </c>
    </row>
    <row r="12715" spans="1:11" x14ac:dyDescent="0.2">
      <c r="A12715" s="1" t="s">
        <v>98</v>
      </c>
      <c r="B12715" s="1" t="s">
        <v>2502</v>
      </c>
      <c r="C12715" s="1" t="str">
        <f>"66298894859135"</f>
        <v>66298894859135</v>
      </c>
      <c r="D12715" s="1" t="str">
        <f>"1543"</f>
        <v>1543</v>
      </c>
      <c r="E12715" s="1" t="s">
        <v>4579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</row>
    <row r="12716" spans="1:11" x14ac:dyDescent="0.2">
      <c r="A12716" s="1" t="s">
        <v>98</v>
      </c>
      <c r="B12716" s="1" t="s">
        <v>2502</v>
      </c>
      <c r="C12716" s="1" t="str">
        <f>"66298894866481"</f>
        <v>66298894866481</v>
      </c>
      <c r="D12716" s="1" t="str">
        <f>"01543"</f>
        <v>01543</v>
      </c>
      <c r="E12716" s="1" t="s">
        <v>4579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</row>
    <row r="12717" spans="1:11" x14ac:dyDescent="0.2">
      <c r="A12717" s="1" t="s">
        <v>2503</v>
      </c>
      <c r="B12717" s="1" t="s">
        <v>2504</v>
      </c>
      <c r="C12717" s="1" t="str">
        <f>"CH004"</f>
        <v>CH004</v>
      </c>
      <c r="D12717" s="1" t="str">
        <f>"CH004"</f>
        <v>CH004</v>
      </c>
      <c r="E12717" s="1" t="s">
        <v>4579</v>
      </c>
      <c r="F12717" s="1">
        <v>2</v>
      </c>
      <c r="G12717" s="1">
        <v>3204</v>
      </c>
      <c r="H12717" s="1">
        <v>6408</v>
      </c>
      <c r="I12717" s="1">
        <v>0</v>
      </c>
      <c r="J12717" s="1">
        <v>2</v>
      </c>
      <c r="K12717" s="1">
        <v>0</v>
      </c>
    </row>
    <row r="12718" spans="1:11" x14ac:dyDescent="0.2">
      <c r="A12718" s="1" t="s">
        <v>98</v>
      </c>
      <c r="B12718" s="1" t="s">
        <v>2505</v>
      </c>
      <c r="C12718" s="1" t="str">
        <f>"66298894925758"</f>
        <v>66298894925758</v>
      </c>
      <c r="D12718" s="1" t="str">
        <f>"13520"</f>
        <v>13520</v>
      </c>
      <c r="E12718" s="1" t="s">
        <v>4579</v>
      </c>
      <c r="F12718" s="1">
        <v>1</v>
      </c>
      <c r="G12718" s="1">
        <v>2600</v>
      </c>
      <c r="H12718" s="1">
        <v>2600</v>
      </c>
      <c r="I12718" s="1">
        <v>0</v>
      </c>
      <c r="J12718" s="1">
        <v>1</v>
      </c>
      <c r="K12718" s="1">
        <v>0</v>
      </c>
    </row>
    <row r="12719" spans="1:11" x14ac:dyDescent="0.2">
      <c r="A12719" s="1" t="s">
        <v>98</v>
      </c>
      <c r="B12719" s="1" t="s">
        <v>2506</v>
      </c>
      <c r="C12719" s="1" t="str">
        <f>"66298894967530"</f>
        <v>66298894967530</v>
      </c>
      <c r="D12719" s="1" t="str">
        <f>"11826"</f>
        <v>11826</v>
      </c>
      <c r="E12719" s="1" t="s">
        <v>4579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</row>
    <row r="12720" spans="1:11" x14ac:dyDescent="0.2">
      <c r="A12720" s="1" t="s">
        <v>98</v>
      </c>
      <c r="B12720" s="1" t="s">
        <v>2506</v>
      </c>
      <c r="C12720" s="1" t="str">
        <f>"20022"</f>
        <v>20022</v>
      </c>
      <c r="D12720" s="1" t="str">
        <f>"20022"</f>
        <v>20022</v>
      </c>
      <c r="E12720" s="1" t="s">
        <v>4579</v>
      </c>
      <c r="F12720" s="1">
        <v>1</v>
      </c>
      <c r="G12720" s="1">
        <v>2600</v>
      </c>
      <c r="H12720" s="1">
        <v>2600</v>
      </c>
      <c r="I12720" s="1">
        <v>0</v>
      </c>
      <c r="J12720" s="1">
        <v>1</v>
      </c>
      <c r="K12720" s="1">
        <v>0</v>
      </c>
    </row>
    <row r="12721" spans="1:11" x14ac:dyDescent="0.2">
      <c r="A12721" s="1" t="s">
        <v>98</v>
      </c>
      <c r="B12721" s="1" t="s">
        <v>2507</v>
      </c>
      <c r="C12721" s="1" t="str">
        <f>"66298895053735"</f>
        <v>66298895053735</v>
      </c>
      <c r="D12721" s="1" t="str">
        <f>"DK-1013-30"</f>
        <v>DK-1013-30</v>
      </c>
      <c r="E12721" s="1" t="s">
        <v>4579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</row>
    <row r="12722" spans="1:11" x14ac:dyDescent="0.2">
      <c r="A12722" s="1" t="s">
        <v>98</v>
      </c>
      <c r="B12722" s="1" t="s">
        <v>2508</v>
      </c>
      <c r="C12722" s="1" t="str">
        <f>"66298895097488"</f>
        <v>66298895097488</v>
      </c>
      <c r="D12722" s="1" t="str">
        <f>"11828"</f>
        <v>11828</v>
      </c>
      <c r="E12722" s="1" t="s">
        <v>4579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</row>
    <row r="12723" spans="1:11" x14ac:dyDescent="0.2">
      <c r="A12723" s="1" t="s">
        <v>98</v>
      </c>
      <c r="B12723" s="1" t="s">
        <v>2509</v>
      </c>
      <c r="C12723" s="1" t="str">
        <f>"66298895138771"</f>
        <v>66298895138771</v>
      </c>
      <c r="D12723" s="1" t="str">
        <f>"11830-GUIAY TENS"</f>
        <v>11830-GUIAY TENS</v>
      </c>
      <c r="E12723" s="1" t="s">
        <v>4579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</row>
    <row r="12724" spans="1:11" x14ac:dyDescent="0.2">
      <c r="A12724" s="1" t="s">
        <v>98</v>
      </c>
      <c r="B12724" s="1" t="s">
        <v>2510</v>
      </c>
      <c r="C12724" s="1" t="str">
        <f>"66298895179840"</f>
        <v>66298895179840</v>
      </c>
      <c r="D12724" s="1" t="str">
        <f>"GUIA-TENS-DOMINA"</f>
        <v>GUIA-TENS-DOMINA</v>
      </c>
      <c r="E12724" s="1" t="s">
        <v>4579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</row>
    <row r="12725" spans="1:11" x14ac:dyDescent="0.2">
      <c r="A12725" s="1" t="s">
        <v>18</v>
      </c>
      <c r="B12725" s="1" t="s">
        <v>2511</v>
      </c>
      <c r="C12725" s="1" t="str">
        <f>"66298895271761"</f>
        <v>66298895271761</v>
      </c>
      <c r="D12725" s="1" t="str">
        <f>"H158-B"</f>
        <v>H158-B</v>
      </c>
      <c r="E12725" s="1" t="s">
        <v>4579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</row>
    <row r="12726" spans="1:11" x14ac:dyDescent="0.2">
      <c r="A12726" s="1" t="s">
        <v>18</v>
      </c>
      <c r="B12726" s="1" t="s">
        <v>2511</v>
      </c>
      <c r="C12726" s="1" t="str">
        <f>"66298895281160"</f>
        <v>66298895281160</v>
      </c>
      <c r="D12726" s="1" t="str">
        <f>"H158"</f>
        <v>H158</v>
      </c>
      <c r="E12726" s="1" t="s">
        <v>4579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</row>
    <row r="12727" spans="1:11" x14ac:dyDescent="0.2">
      <c r="A12727" s="1" t="s">
        <v>102</v>
      </c>
      <c r="B12727" s="1" t="s">
        <v>2512</v>
      </c>
      <c r="C12727" s="1" t="str">
        <f>"66298895340030"</f>
        <v>66298895340030</v>
      </c>
      <c r="D12727" s="1" t="str">
        <f>"H128"</f>
        <v>H128</v>
      </c>
      <c r="E12727" s="1" t="s">
        <v>4579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</row>
    <row r="12728" spans="1:11" x14ac:dyDescent="0.2">
      <c r="A12728" s="1" t="s">
        <v>2491</v>
      </c>
      <c r="B12728" s="1" t="s">
        <v>2513</v>
      </c>
      <c r="C12728" s="1" t="str">
        <f>"66298895390032"</f>
        <v>66298895390032</v>
      </c>
      <c r="D12728" s="1" t="str">
        <f>"BW125T12-E15-11"</f>
        <v>BW125T12-E15-11</v>
      </c>
      <c r="E12728" s="1" t="s">
        <v>4579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</row>
    <row r="12729" spans="1:11" x14ac:dyDescent="0.2">
      <c r="A12729" s="1" t="s">
        <v>2491</v>
      </c>
      <c r="B12729" s="1" t="s">
        <v>2514</v>
      </c>
      <c r="C12729" s="1" t="str">
        <f>"66298895433888"</f>
        <v>66298895433888</v>
      </c>
      <c r="D12729" s="1" t="str">
        <f>"SA019"</f>
        <v>SA019</v>
      </c>
      <c r="E12729" s="1" t="s">
        <v>4579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</row>
    <row r="12730" spans="1:11" x14ac:dyDescent="0.2">
      <c r="A12730" s="1" t="s">
        <v>2491</v>
      </c>
      <c r="B12730" s="1" t="s">
        <v>2515</v>
      </c>
      <c r="C12730" s="1" t="str">
        <f>"SA043"</f>
        <v>SA043</v>
      </c>
      <c r="D12730" s="1" t="str">
        <f>"SA043"</f>
        <v>SA043</v>
      </c>
      <c r="E12730" s="1" t="s">
        <v>4579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</row>
    <row r="12731" spans="1:11" x14ac:dyDescent="0.2">
      <c r="A12731" s="1" t="s">
        <v>2491</v>
      </c>
      <c r="B12731" s="1" t="s">
        <v>2516</v>
      </c>
      <c r="C12731" s="1" t="str">
        <f>"SA004"</f>
        <v>SA004</v>
      </c>
      <c r="D12731" s="1" t="str">
        <f>"SA004"</f>
        <v>SA004</v>
      </c>
      <c r="E12731" s="1" t="s">
        <v>4579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</row>
    <row r="12732" spans="1:11" x14ac:dyDescent="0.2">
      <c r="A12732" s="1" t="s">
        <v>2491</v>
      </c>
      <c r="B12732" s="1" t="s">
        <v>2517</v>
      </c>
      <c r="C12732" s="1" t="str">
        <f>"66298895478483"</f>
        <v>66298895478483</v>
      </c>
      <c r="D12732" s="1" t="str">
        <f>"SA006"</f>
        <v>SA006</v>
      </c>
      <c r="E12732" s="1" t="s">
        <v>4579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</row>
    <row r="12733" spans="1:11" x14ac:dyDescent="0.2">
      <c r="A12733" s="1" t="s">
        <v>2491</v>
      </c>
      <c r="B12733" s="1" t="s">
        <v>2518</v>
      </c>
      <c r="C12733" s="1" t="str">
        <f>"66298895521549"</f>
        <v>66298895521549</v>
      </c>
      <c r="D12733" s="1" t="str">
        <f>"49CC42"</f>
        <v>49CC42</v>
      </c>
      <c r="E12733" s="1" t="s">
        <v>4579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</row>
    <row r="12734" spans="1:11" x14ac:dyDescent="0.2">
      <c r="A12734" s="1" t="s">
        <v>2491</v>
      </c>
      <c r="B12734" s="1" t="s">
        <v>2519</v>
      </c>
      <c r="C12734" s="1" t="str">
        <f>"66298895565868"</f>
        <v>66298895565868</v>
      </c>
      <c r="D12734" s="1" t="str">
        <f>"SA049"</f>
        <v>SA049</v>
      </c>
      <c r="E12734" s="1" t="s">
        <v>4579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</row>
    <row r="12735" spans="1:11" x14ac:dyDescent="0.2">
      <c r="A12735" s="1" t="s">
        <v>2491</v>
      </c>
      <c r="B12735" s="1" t="s">
        <v>2520</v>
      </c>
      <c r="C12735" s="1" t="str">
        <f>"66298895618815"</f>
        <v>66298895618815</v>
      </c>
      <c r="D12735" s="1" t="str">
        <f>"SA050"</f>
        <v>SA050</v>
      </c>
      <c r="E12735" s="1" t="s">
        <v>4579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</row>
    <row r="12736" spans="1:11" x14ac:dyDescent="0.2">
      <c r="A12736" s="1" t="s">
        <v>2491</v>
      </c>
      <c r="B12736" s="1" t="s">
        <v>2521</v>
      </c>
      <c r="C12736" s="1" t="str">
        <f>"SA053"</f>
        <v>SA053</v>
      </c>
      <c r="D12736" s="1" t="str">
        <f>"SA053"</f>
        <v>SA053</v>
      </c>
      <c r="E12736" s="1" t="s">
        <v>4579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</row>
    <row r="12737" spans="1:11" x14ac:dyDescent="0.2">
      <c r="A12737" s="1" t="s">
        <v>2491</v>
      </c>
      <c r="B12737" s="1" t="s">
        <v>2522</v>
      </c>
      <c r="C12737" s="1" t="str">
        <f>"SA014"</f>
        <v>SA014</v>
      </c>
      <c r="D12737" s="1" t="str">
        <f>"SA014"</f>
        <v>SA014</v>
      </c>
      <c r="E12737" s="1" t="s">
        <v>4579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0</v>
      </c>
    </row>
    <row r="12738" spans="1:11" x14ac:dyDescent="0.2">
      <c r="A12738" s="1" t="s">
        <v>18</v>
      </c>
      <c r="B12738" s="1" t="s">
        <v>2523</v>
      </c>
      <c r="C12738" s="1" t="str">
        <f>"3010101"</f>
        <v>3010101</v>
      </c>
      <c r="D12738" s="1" t="str">
        <f>"3010101"</f>
        <v>3010101</v>
      </c>
      <c r="E12738" s="1" t="s">
        <v>4579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</row>
    <row r="12739" spans="1:11" x14ac:dyDescent="0.2">
      <c r="A12739" s="1" t="s">
        <v>18</v>
      </c>
      <c r="B12739" s="1" t="s">
        <v>2524</v>
      </c>
      <c r="C12739" s="1" t="str">
        <f>"66298895666130"</f>
        <v>66298895666130</v>
      </c>
      <c r="D12739" s="1" t="str">
        <f>"HR-3000-AM"</f>
        <v>HR-3000-AM</v>
      </c>
      <c r="E12739" s="1" t="s">
        <v>4579</v>
      </c>
      <c r="F12739" s="1">
        <v>5</v>
      </c>
      <c r="G12739" s="1">
        <v>155</v>
      </c>
      <c r="H12739" s="1">
        <v>775</v>
      </c>
      <c r="I12739" s="1">
        <v>0</v>
      </c>
      <c r="J12739" s="1">
        <v>5</v>
      </c>
      <c r="K12739" s="1">
        <v>0</v>
      </c>
    </row>
    <row r="12740" spans="1:11" x14ac:dyDescent="0.2">
      <c r="A12740" s="1" t="s">
        <v>18</v>
      </c>
      <c r="B12740" s="1" t="s">
        <v>2525</v>
      </c>
      <c r="C12740" s="1" t="str">
        <f>"3010047"</f>
        <v>3010047</v>
      </c>
      <c r="D12740" s="1" t="str">
        <f>"3010047"</f>
        <v>3010047</v>
      </c>
      <c r="E12740" s="1" t="s">
        <v>4579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</row>
    <row r="12741" spans="1:11" x14ac:dyDescent="0.2">
      <c r="A12741" s="1" t="s">
        <v>18</v>
      </c>
      <c r="B12741" s="1" t="s">
        <v>2526</v>
      </c>
      <c r="C12741" s="1" t="str">
        <f>"66298895710427"</f>
        <v>66298895710427</v>
      </c>
      <c r="D12741" s="1" t="str">
        <f>"HR-3000-R"</f>
        <v>HR-3000-R</v>
      </c>
      <c r="E12741" s="1" t="s">
        <v>4579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</row>
    <row r="12742" spans="1:11" x14ac:dyDescent="0.2">
      <c r="A12742" s="1" t="s">
        <v>1050</v>
      </c>
      <c r="B12742" s="1" t="s">
        <v>2527</v>
      </c>
      <c r="C12742" s="1" t="str">
        <f>"66298895757990"</f>
        <v>66298895757990</v>
      </c>
      <c r="D12742" s="1" t="str">
        <f>"49CC69"</f>
        <v>49CC69</v>
      </c>
      <c r="E12742" s="1" t="s">
        <v>4579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</row>
    <row r="12743" spans="1:11" x14ac:dyDescent="0.2">
      <c r="A12743" s="1" t="s">
        <v>1050</v>
      </c>
      <c r="B12743" s="1" t="s">
        <v>2528</v>
      </c>
      <c r="C12743" s="1" t="str">
        <f>"66298895803760"</f>
        <v>66298895803760</v>
      </c>
      <c r="D12743" s="1" t="str">
        <f>"B075"</f>
        <v>B075</v>
      </c>
      <c r="E12743" s="1" t="s">
        <v>4579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</row>
    <row r="12744" spans="1:11" x14ac:dyDescent="0.2">
      <c r="A12744" s="1" t="s">
        <v>1050</v>
      </c>
      <c r="B12744" s="1" t="s">
        <v>2529</v>
      </c>
      <c r="C12744" s="1" t="str">
        <f>"66298895843269"</f>
        <v>66298895843269</v>
      </c>
      <c r="D12744" s="1" t="str">
        <f>"82331"</f>
        <v>82331</v>
      </c>
      <c r="E12744" s="1" t="s">
        <v>4579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</row>
    <row r="12745" spans="1:11" x14ac:dyDescent="0.2">
      <c r="A12745" s="1" t="s">
        <v>2530</v>
      </c>
      <c r="B12745" s="1" t="s">
        <v>2531</v>
      </c>
      <c r="C12745" s="1" t="str">
        <f>"U030"</f>
        <v>U030</v>
      </c>
      <c r="D12745" s="1" t="str">
        <f>"U030"</f>
        <v>U030</v>
      </c>
      <c r="E12745" s="1" t="s">
        <v>4579</v>
      </c>
      <c r="F12745" s="1">
        <v>1</v>
      </c>
      <c r="G12745" s="1">
        <v>1510</v>
      </c>
      <c r="H12745" s="1">
        <v>1510</v>
      </c>
      <c r="I12745" s="1">
        <v>0</v>
      </c>
      <c r="J12745" s="1">
        <v>1</v>
      </c>
      <c r="K12745" s="1">
        <v>0</v>
      </c>
    </row>
    <row r="12746" spans="1:11" x14ac:dyDescent="0.2">
      <c r="A12746" s="1" t="s">
        <v>2530</v>
      </c>
      <c r="B12746" s="1" t="s">
        <v>2531</v>
      </c>
      <c r="C12746" s="1" t="str">
        <f>"XA002"</f>
        <v>XA002</v>
      </c>
      <c r="D12746" s="1" t="str">
        <f>"XA002"</f>
        <v>XA002</v>
      </c>
      <c r="E12746" s="1" t="s">
        <v>4579</v>
      </c>
      <c r="F12746" s="1">
        <v>3</v>
      </c>
      <c r="G12746" s="1">
        <v>2390</v>
      </c>
      <c r="H12746" s="1">
        <v>7170</v>
      </c>
      <c r="I12746" s="1">
        <v>0</v>
      </c>
      <c r="J12746" s="1">
        <v>3</v>
      </c>
      <c r="K12746" s="1">
        <v>0</v>
      </c>
    </row>
    <row r="12747" spans="1:11" x14ac:dyDescent="0.2">
      <c r="A12747" s="1" t="s">
        <v>1050</v>
      </c>
      <c r="B12747" s="1" t="s">
        <v>2532</v>
      </c>
      <c r="C12747" s="1" t="str">
        <f>"66298895884673"</f>
        <v>66298895884673</v>
      </c>
      <c r="D12747" s="1" t="str">
        <f>"E011"</f>
        <v>E011</v>
      </c>
      <c r="E12747" s="1" t="s">
        <v>4579</v>
      </c>
      <c r="F12747" s="1">
        <v>2</v>
      </c>
      <c r="G12747" s="1">
        <v>1950</v>
      </c>
      <c r="H12747" s="1">
        <v>3900</v>
      </c>
      <c r="I12747" s="1">
        <v>0</v>
      </c>
      <c r="J12747" s="1">
        <v>2</v>
      </c>
      <c r="K12747" s="1">
        <v>0</v>
      </c>
    </row>
    <row r="12748" spans="1:11" x14ac:dyDescent="0.2">
      <c r="A12748" s="1" t="s">
        <v>1050</v>
      </c>
      <c r="B12748" s="1" t="s">
        <v>2533</v>
      </c>
      <c r="C12748" s="1" t="str">
        <f>"66298895931161"</f>
        <v>66298895931161</v>
      </c>
      <c r="D12748" s="1" t="str">
        <f>"XA019"</f>
        <v>XA019</v>
      </c>
      <c r="E12748" s="1" t="s">
        <v>4579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</row>
    <row r="12749" spans="1:11" x14ac:dyDescent="0.2">
      <c r="A12749" s="1" t="s">
        <v>1050</v>
      </c>
      <c r="B12749" s="1" t="s">
        <v>2534</v>
      </c>
      <c r="C12749" s="1" t="str">
        <f>"66298896019807"</f>
        <v>66298896019807</v>
      </c>
      <c r="D12749" s="1" t="str">
        <f>"16210-437-000BR"</f>
        <v>16210-437-000BR</v>
      </c>
      <c r="E12749" s="1" t="s">
        <v>4579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</row>
    <row r="12750" spans="1:11" x14ac:dyDescent="0.2">
      <c r="A12750" s="1" t="s">
        <v>2530</v>
      </c>
      <c r="B12750" s="1" t="s">
        <v>2535</v>
      </c>
      <c r="C12750" s="1" t="str">
        <f>"589003"</f>
        <v>589003</v>
      </c>
      <c r="D12750" s="1" t="str">
        <f>"589003"</f>
        <v>589003</v>
      </c>
      <c r="E12750" s="1" t="s">
        <v>4579</v>
      </c>
      <c r="F12750" s="1">
        <v>1</v>
      </c>
      <c r="G12750" s="1">
        <v>830</v>
      </c>
      <c r="H12750" s="1">
        <v>830</v>
      </c>
      <c r="I12750" s="1">
        <v>0</v>
      </c>
      <c r="J12750" s="1">
        <v>1</v>
      </c>
      <c r="K12750" s="1">
        <v>0</v>
      </c>
    </row>
    <row r="12751" spans="1:11" x14ac:dyDescent="0.2">
      <c r="A12751" s="1" t="s">
        <v>1050</v>
      </c>
      <c r="B12751" s="1" t="s">
        <v>2536</v>
      </c>
      <c r="C12751" s="1" t="str">
        <f>"66298896060035"</f>
        <v>66298896060035</v>
      </c>
      <c r="D12751" s="1" t="str">
        <f>"XA014"</f>
        <v>XA014</v>
      </c>
      <c r="E12751" s="1" t="s">
        <v>4579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</row>
    <row r="12752" spans="1:11" x14ac:dyDescent="0.2">
      <c r="A12752" s="1" t="s">
        <v>1050</v>
      </c>
      <c r="B12752" s="1" t="s">
        <v>2537</v>
      </c>
      <c r="C12752" s="1" t="str">
        <f>"66298896106876"</f>
        <v>66298896106876</v>
      </c>
      <c r="D12752" s="1" t="str">
        <f>"38B-E3585-00"</f>
        <v>38B-E3585-00</v>
      </c>
      <c r="E12752" s="1" t="s">
        <v>4579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</row>
    <row r="12753" spans="1:11" x14ac:dyDescent="0.2">
      <c r="A12753" s="1" t="s">
        <v>98</v>
      </c>
      <c r="B12753" s="1" t="s">
        <v>2538</v>
      </c>
      <c r="C12753" s="1" t="str">
        <f>"66298896152067"</f>
        <v>66298896152067</v>
      </c>
      <c r="D12753" s="1" t="str">
        <f>"R056"</f>
        <v>R056</v>
      </c>
      <c r="E12753" s="1" t="s">
        <v>4579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</row>
    <row r="12754" spans="1:11" x14ac:dyDescent="0.2">
      <c r="A12754" s="1" t="s">
        <v>2530</v>
      </c>
      <c r="B12754" s="1" t="s">
        <v>2539</v>
      </c>
      <c r="C12754" s="1" t="str">
        <f>"GAA001"</f>
        <v>GAA001</v>
      </c>
      <c r="D12754" s="1" t="str">
        <f>"GAA001"</f>
        <v>GAA001</v>
      </c>
      <c r="E12754" s="1" t="s">
        <v>4579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</row>
    <row r="12755" spans="1:11" x14ac:dyDescent="0.2">
      <c r="A12755" s="1" t="s">
        <v>1050</v>
      </c>
      <c r="B12755" s="1" t="s">
        <v>2540</v>
      </c>
      <c r="C12755" s="1" t="str">
        <f>"66298896192923"</f>
        <v>66298896192923</v>
      </c>
      <c r="D12755" s="1" t="str">
        <f>"XA006"</f>
        <v>XA006</v>
      </c>
      <c r="E12755" s="1" t="s">
        <v>4579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</row>
    <row r="12756" spans="1:11" x14ac:dyDescent="0.2">
      <c r="A12756" s="1" t="s">
        <v>479</v>
      </c>
      <c r="B12756" s="1" t="s">
        <v>2541</v>
      </c>
      <c r="C12756" s="1" t="str">
        <f>"66298896235068"</f>
        <v>66298896235068</v>
      </c>
      <c r="D12756" s="1" t="str">
        <f>"I-S-1958"</f>
        <v>I-S-1958</v>
      </c>
      <c r="E12756" s="1" t="s">
        <v>4579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</row>
    <row r="12757" spans="1:11" x14ac:dyDescent="0.2">
      <c r="A12757" s="1" t="s">
        <v>1567</v>
      </c>
      <c r="B12757" s="1" t="s">
        <v>2542</v>
      </c>
      <c r="C12757" s="1" t="str">
        <f>"RO-3124"</f>
        <v>RO-3124</v>
      </c>
      <c r="D12757" s="1" t="str">
        <f>"RO-3124"</f>
        <v>RO-3124</v>
      </c>
      <c r="E12757" s="1" t="s">
        <v>4579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</row>
    <row r="12758" spans="1:11" x14ac:dyDescent="0.2">
      <c r="B12758" s="1" t="s">
        <v>1569</v>
      </c>
    </row>
    <row r="12759" spans="1:11" x14ac:dyDescent="0.2">
      <c r="B12759" s="1" t="s">
        <v>2543</v>
      </c>
    </row>
    <row r="12760" spans="1:11" x14ac:dyDescent="0.2">
      <c r="B12760" s="1" t="s">
        <v>2544</v>
      </c>
    </row>
    <row r="12761" spans="1:11" x14ac:dyDescent="0.2">
      <c r="B12761" s="1" t="s">
        <v>4561</v>
      </c>
    </row>
    <row r="12762" spans="1:11" x14ac:dyDescent="0.2">
      <c r="B12762" s="1" t="s">
        <v>2546</v>
      </c>
    </row>
    <row r="12763" spans="1:11" x14ac:dyDescent="0.2">
      <c r="B12763" s="1" t="s">
        <v>1574</v>
      </c>
    </row>
    <row r="12764" spans="1:11" x14ac:dyDescent="0.2">
      <c r="B12764" s="1" t="s">
        <v>1575</v>
      </c>
    </row>
    <row r="12765" spans="1:11" x14ac:dyDescent="0.2">
      <c r="B12765" s="1" t="s">
        <v>4568</v>
      </c>
    </row>
    <row r="12766" spans="1:11" x14ac:dyDescent="0.2">
      <c r="B12766" s="1" t="s">
        <v>4569</v>
      </c>
    </row>
    <row r="12767" spans="1:11" x14ac:dyDescent="0.2">
      <c r="A12767" s="1" t="s">
        <v>1567</v>
      </c>
      <c r="B12767" s="1" t="s">
        <v>2542</v>
      </c>
      <c r="C12767" s="1" t="str">
        <f>"RO-3128"</f>
        <v>RO-3128</v>
      </c>
      <c r="D12767" s="1" t="str">
        <f>"RO-3128"</f>
        <v>RO-3128</v>
      </c>
      <c r="E12767" s="1" t="s">
        <v>4579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</row>
    <row r="12768" spans="1:11" x14ac:dyDescent="0.2">
      <c r="B12768" s="1" t="s">
        <v>1569</v>
      </c>
    </row>
    <row r="12769" spans="1:11" x14ac:dyDescent="0.2">
      <c r="B12769" s="1" t="s">
        <v>2543</v>
      </c>
    </row>
    <row r="12770" spans="1:11" x14ac:dyDescent="0.2">
      <c r="B12770" s="1" t="s">
        <v>2544</v>
      </c>
    </row>
    <row r="12771" spans="1:11" x14ac:dyDescent="0.2">
      <c r="B12771" s="1" t="s">
        <v>2545</v>
      </c>
    </row>
    <row r="12772" spans="1:11" x14ac:dyDescent="0.2">
      <c r="B12772" s="1" t="s">
        <v>2546</v>
      </c>
    </row>
    <row r="12773" spans="1:11" x14ac:dyDescent="0.2">
      <c r="B12773" s="1" t="s">
        <v>1574</v>
      </c>
    </row>
    <row r="12774" spans="1:11" x14ac:dyDescent="0.2">
      <c r="B12774" s="1" t="s">
        <v>1575</v>
      </c>
    </row>
    <row r="12775" spans="1:11" x14ac:dyDescent="0.2">
      <c r="B12775" s="1" t="s">
        <v>2547</v>
      </c>
    </row>
    <row r="12776" spans="1:11" x14ac:dyDescent="0.2">
      <c r="B12776" s="1" t="s">
        <v>2548</v>
      </c>
    </row>
    <row r="12777" spans="1:11" x14ac:dyDescent="0.2">
      <c r="A12777" s="1" t="s">
        <v>1567</v>
      </c>
      <c r="B12777" s="1" t="s">
        <v>2542</v>
      </c>
      <c r="C12777" s="1" t="str">
        <f>"RO-3150"</f>
        <v>RO-3150</v>
      </c>
      <c r="D12777" s="1" t="str">
        <f>"RO-3150"</f>
        <v>RO-3150</v>
      </c>
      <c r="E12777" s="1" t="s">
        <v>4579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</row>
    <row r="12778" spans="1:11" x14ac:dyDescent="0.2">
      <c r="B12778" s="1" t="s">
        <v>1569</v>
      </c>
    </row>
    <row r="12779" spans="1:11" x14ac:dyDescent="0.2">
      <c r="B12779" s="1" t="s">
        <v>2543</v>
      </c>
    </row>
    <row r="12780" spans="1:11" x14ac:dyDescent="0.2">
      <c r="B12780" s="1" t="s">
        <v>2544</v>
      </c>
    </row>
    <row r="12781" spans="1:11" x14ac:dyDescent="0.2">
      <c r="B12781" s="1" t="s">
        <v>2545</v>
      </c>
    </row>
    <row r="12782" spans="1:11" x14ac:dyDescent="0.2">
      <c r="B12782" s="1" t="s">
        <v>2546</v>
      </c>
    </row>
    <row r="12783" spans="1:11" x14ac:dyDescent="0.2">
      <c r="B12783" s="1" t="s">
        <v>1574</v>
      </c>
    </row>
    <row r="12784" spans="1:11" x14ac:dyDescent="0.2">
      <c r="B12784" s="1" t="s">
        <v>1575</v>
      </c>
    </row>
    <row r="12785" spans="1:11" x14ac:dyDescent="0.2">
      <c r="B12785" s="1" t="s">
        <v>2549</v>
      </c>
    </row>
    <row r="12786" spans="1:11" x14ac:dyDescent="0.2">
      <c r="B12786" s="1" t="s">
        <v>2550</v>
      </c>
    </row>
    <row r="12787" spans="1:11" x14ac:dyDescent="0.2">
      <c r="A12787" s="1" t="s">
        <v>1567</v>
      </c>
      <c r="B12787" s="1" t="s">
        <v>2542</v>
      </c>
      <c r="C12787" s="1" t="str">
        <f>"RO-3151"</f>
        <v>RO-3151</v>
      </c>
      <c r="D12787" s="1" t="str">
        <f>"RO-3151"</f>
        <v>RO-3151</v>
      </c>
      <c r="E12787" s="1" t="s">
        <v>4579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</row>
    <row r="12788" spans="1:11" x14ac:dyDescent="0.2">
      <c r="B12788" s="1" t="s">
        <v>1569</v>
      </c>
    </row>
    <row r="12789" spans="1:11" x14ac:dyDescent="0.2">
      <c r="B12789" s="1" t="s">
        <v>2543</v>
      </c>
    </row>
    <row r="12790" spans="1:11" x14ac:dyDescent="0.2">
      <c r="B12790" s="1" t="s">
        <v>2544</v>
      </c>
    </row>
    <row r="12791" spans="1:11" x14ac:dyDescent="0.2">
      <c r="B12791" s="1" t="s">
        <v>2545</v>
      </c>
    </row>
    <row r="12792" spans="1:11" x14ac:dyDescent="0.2">
      <c r="B12792" s="1" t="s">
        <v>2546</v>
      </c>
    </row>
    <row r="12793" spans="1:11" x14ac:dyDescent="0.2">
      <c r="B12793" s="1" t="s">
        <v>1574</v>
      </c>
    </row>
    <row r="12794" spans="1:11" x14ac:dyDescent="0.2">
      <c r="B12794" s="1" t="s">
        <v>1575</v>
      </c>
    </row>
    <row r="12795" spans="1:11" x14ac:dyDescent="0.2">
      <c r="B12795" s="1" t="s">
        <v>2551</v>
      </c>
    </row>
    <row r="12796" spans="1:11" x14ac:dyDescent="0.2">
      <c r="B12796" s="1" t="s">
        <v>2552</v>
      </c>
    </row>
    <row r="12797" spans="1:11" x14ac:dyDescent="0.2">
      <c r="A12797" s="1" t="s">
        <v>1567</v>
      </c>
      <c r="B12797" s="1" t="s">
        <v>2542</v>
      </c>
      <c r="C12797" s="1" t="str">
        <f>"RO-3127"</f>
        <v>RO-3127</v>
      </c>
      <c r="D12797" s="1" t="str">
        <f>"RO-3127"</f>
        <v>RO-3127</v>
      </c>
      <c r="E12797" s="1" t="s">
        <v>4579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</row>
    <row r="12798" spans="1:11" x14ac:dyDescent="0.2">
      <c r="B12798" s="1" t="s">
        <v>1569</v>
      </c>
    </row>
    <row r="12799" spans="1:11" x14ac:dyDescent="0.2">
      <c r="B12799" s="1" t="s">
        <v>2543</v>
      </c>
    </row>
    <row r="12800" spans="1:11" x14ac:dyDescent="0.2">
      <c r="B12800" s="1" t="s">
        <v>1571</v>
      </c>
    </row>
    <row r="12801" spans="1:11" x14ac:dyDescent="0.2">
      <c r="B12801" s="1" t="s">
        <v>2553</v>
      </c>
    </row>
    <row r="12802" spans="1:11" x14ac:dyDescent="0.2">
      <c r="B12802" s="1" t="s">
        <v>2546</v>
      </c>
    </row>
    <row r="12803" spans="1:11" x14ac:dyDescent="0.2">
      <c r="B12803" s="1" t="s">
        <v>1574</v>
      </c>
    </row>
    <row r="12804" spans="1:11" x14ac:dyDescent="0.2">
      <c r="B12804" s="1" t="s">
        <v>1575</v>
      </c>
    </row>
    <row r="12805" spans="1:11" x14ac:dyDescent="0.2">
      <c r="B12805" s="1" t="s">
        <v>2554</v>
      </c>
    </row>
    <row r="12806" spans="1:11" x14ac:dyDescent="0.2">
      <c r="B12806" s="1" t="s">
        <v>2555</v>
      </c>
    </row>
    <row r="12807" spans="1:11" x14ac:dyDescent="0.2">
      <c r="A12807" s="1" t="s">
        <v>1567</v>
      </c>
      <c r="B12807" s="1" t="s">
        <v>2556</v>
      </c>
      <c r="C12807" s="1" t="str">
        <f>"RO-3180"</f>
        <v>RO-3180</v>
      </c>
      <c r="D12807" s="1" t="str">
        <f>"RO-3180"</f>
        <v>RO-3180</v>
      </c>
      <c r="E12807" s="1" t="s">
        <v>4579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</row>
    <row r="12808" spans="1:11" x14ac:dyDescent="0.2">
      <c r="B12808" s="1" t="s">
        <v>2557</v>
      </c>
    </row>
    <row r="12809" spans="1:11" x14ac:dyDescent="0.2">
      <c r="B12809" s="1" t="s">
        <v>2558</v>
      </c>
    </row>
    <row r="12810" spans="1:11" x14ac:dyDescent="0.2">
      <c r="B12810" s="1" t="s">
        <v>2544</v>
      </c>
    </row>
    <row r="12811" spans="1:11" x14ac:dyDescent="0.2">
      <c r="B12811" s="1" t="s">
        <v>2545</v>
      </c>
    </row>
    <row r="12812" spans="1:11" x14ac:dyDescent="0.2">
      <c r="B12812" s="1" t="s">
        <v>2546</v>
      </c>
    </row>
    <row r="12813" spans="1:11" x14ac:dyDescent="0.2">
      <c r="B12813" s="1" t="s">
        <v>1574</v>
      </c>
    </row>
    <row r="12814" spans="1:11" x14ac:dyDescent="0.2">
      <c r="B12814" s="1" t="s">
        <v>1575</v>
      </c>
    </row>
    <row r="12815" spans="1:11" x14ac:dyDescent="0.2">
      <c r="B12815" s="1" t="s">
        <v>2559</v>
      </c>
    </row>
    <row r="12816" spans="1:11" x14ac:dyDescent="0.2">
      <c r="B12816" s="1" t="s">
        <v>2560</v>
      </c>
    </row>
    <row r="12817" spans="1:11" x14ac:dyDescent="0.2">
      <c r="A12817" s="1" t="s">
        <v>1567</v>
      </c>
      <c r="B12817" s="1" t="s">
        <v>2556</v>
      </c>
      <c r="C12817" s="1" t="str">
        <f>"RO-3179"</f>
        <v>RO-3179</v>
      </c>
      <c r="D12817" s="1" t="str">
        <f>"RO-3179"</f>
        <v>RO-3179</v>
      </c>
      <c r="E12817" s="1" t="s">
        <v>4579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</row>
    <row r="12818" spans="1:11" x14ac:dyDescent="0.2">
      <c r="B12818" s="1" t="s">
        <v>2557</v>
      </c>
    </row>
    <row r="12819" spans="1:11" x14ac:dyDescent="0.2">
      <c r="B12819" s="1" t="s">
        <v>2558</v>
      </c>
    </row>
    <row r="12820" spans="1:11" x14ac:dyDescent="0.2">
      <c r="B12820" s="1" t="s">
        <v>1571</v>
      </c>
    </row>
    <row r="12821" spans="1:11" x14ac:dyDescent="0.2">
      <c r="B12821" s="1" t="s">
        <v>2545</v>
      </c>
    </row>
    <row r="12822" spans="1:11" x14ac:dyDescent="0.2">
      <c r="B12822" s="1" t="s">
        <v>2546</v>
      </c>
    </row>
    <row r="12823" spans="1:11" x14ac:dyDescent="0.2">
      <c r="B12823" s="1" t="s">
        <v>1574</v>
      </c>
    </row>
    <row r="12824" spans="1:11" x14ac:dyDescent="0.2">
      <c r="B12824" s="1" t="s">
        <v>1575</v>
      </c>
    </row>
    <row r="12825" spans="1:11" x14ac:dyDescent="0.2">
      <c r="B12825" s="1" t="s">
        <v>2561</v>
      </c>
    </row>
    <row r="12826" spans="1:11" x14ac:dyDescent="0.2">
      <c r="B12826" s="1" t="s">
        <v>2562</v>
      </c>
    </row>
    <row r="12827" spans="1:11" ht="30" x14ac:dyDescent="0.2">
      <c r="A12827" s="1" t="s">
        <v>2004</v>
      </c>
      <c r="B12827" s="1" t="s">
        <v>2563</v>
      </c>
      <c r="C12827" s="1" t="str">
        <f>"67950195409428"</f>
        <v>67950195409428</v>
      </c>
      <c r="D12827" s="1" t="str">
        <f>"P-H10E16-01"</f>
        <v>P-H10E16-01</v>
      </c>
      <c r="E12827" s="1" t="s">
        <v>4579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</row>
    <row r="12828" spans="1:11" ht="30" x14ac:dyDescent="0.2">
      <c r="A12828" s="1" t="s">
        <v>2004</v>
      </c>
      <c r="B12828" s="1" t="s">
        <v>2564</v>
      </c>
      <c r="C12828" s="1" t="str">
        <f>"67950195429541"</f>
        <v>67950195429541</v>
      </c>
      <c r="D12828" s="1" t="str">
        <f>"P-H11E20-01"</f>
        <v>P-H11E20-01</v>
      </c>
      <c r="E12828" s="1" t="s">
        <v>4579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</row>
    <row r="12829" spans="1:11" x14ac:dyDescent="0.2">
      <c r="A12829" s="1" t="s">
        <v>2565</v>
      </c>
      <c r="B12829" s="1" t="s">
        <v>2566</v>
      </c>
      <c r="C12829" s="1" t="str">
        <f>"66298896285030"</f>
        <v>66298896285030</v>
      </c>
      <c r="D12829" s="1" t="str">
        <f>"82617"</f>
        <v>82617</v>
      </c>
      <c r="E12829" s="1" t="s">
        <v>4579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</row>
    <row r="12830" spans="1:11" x14ac:dyDescent="0.2">
      <c r="A12830" s="1" t="s">
        <v>2567</v>
      </c>
      <c r="B12830" s="1" t="s">
        <v>2568</v>
      </c>
      <c r="C12830" s="1" t="str">
        <f>"66298896340012"</f>
        <v>66298896340012</v>
      </c>
      <c r="D12830" s="1" t="str">
        <f>"S0119"</f>
        <v>S0119</v>
      </c>
      <c r="E12830" s="1" t="s">
        <v>4579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</row>
    <row r="12831" spans="1:11" x14ac:dyDescent="0.2">
      <c r="A12831" s="1" t="s">
        <v>2567</v>
      </c>
      <c r="B12831" s="1" t="s">
        <v>2569</v>
      </c>
      <c r="C12831" s="1" t="str">
        <f>"1899"</f>
        <v>1899</v>
      </c>
      <c r="D12831" s="1" t="str">
        <f>"1899"</f>
        <v>1899</v>
      </c>
      <c r="E12831" s="1" t="s">
        <v>4579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</row>
    <row r="12832" spans="1:11" ht="45" x14ac:dyDescent="0.2">
      <c r="A12832" s="1" t="s">
        <v>2567</v>
      </c>
      <c r="B12832" s="1" t="s">
        <v>2570</v>
      </c>
      <c r="C12832" s="1" t="str">
        <f>"11189"</f>
        <v>11189</v>
      </c>
      <c r="D12832" s="1" t="str">
        <f>"11189"</f>
        <v>11189</v>
      </c>
      <c r="E12832" s="1" t="s">
        <v>4579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</row>
    <row r="12833" spans="1:11" ht="30" x14ac:dyDescent="0.2">
      <c r="A12833" s="1" t="s">
        <v>2567</v>
      </c>
      <c r="B12833" s="1" t="s">
        <v>2571</v>
      </c>
      <c r="C12833" s="1" t="str">
        <f>"49CC93"</f>
        <v>49CC93</v>
      </c>
      <c r="D12833" s="1" t="str">
        <f>"49CC93"</f>
        <v>49CC93</v>
      </c>
      <c r="E12833" s="1" t="s">
        <v>4579</v>
      </c>
      <c r="F12833" s="1">
        <v>1</v>
      </c>
      <c r="G12833" s="1">
        <v>15780</v>
      </c>
      <c r="H12833" s="1">
        <v>15780</v>
      </c>
      <c r="I12833" s="1">
        <v>0</v>
      </c>
      <c r="J12833" s="1">
        <v>1</v>
      </c>
      <c r="K12833" s="1">
        <v>0</v>
      </c>
    </row>
    <row r="12834" spans="1:11" x14ac:dyDescent="0.2">
      <c r="A12834" s="1" t="s">
        <v>2567</v>
      </c>
      <c r="B12834" s="1" t="s">
        <v>2572</v>
      </c>
      <c r="C12834" s="1" t="str">
        <f>"DA029"</f>
        <v>DA029</v>
      </c>
      <c r="D12834" s="1" t="str">
        <f>"DA029"</f>
        <v>DA029</v>
      </c>
      <c r="E12834" s="1" t="s">
        <v>4579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</row>
    <row r="12835" spans="1:11" ht="30" x14ac:dyDescent="0.2">
      <c r="A12835" s="1" t="s">
        <v>2567</v>
      </c>
      <c r="B12835" s="1" t="s">
        <v>2573</v>
      </c>
      <c r="C12835" s="1" t="str">
        <f>"66298896429209"</f>
        <v>66298896429209</v>
      </c>
      <c r="D12835" s="1" t="str">
        <f>"400038"</f>
        <v>400038</v>
      </c>
      <c r="E12835" s="1" t="s">
        <v>4579</v>
      </c>
      <c r="F12835" s="1">
        <v>1</v>
      </c>
      <c r="G12835" s="1">
        <v>16647</v>
      </c>
      <c r="H12835" s="1">
        <v>16647</v>
      </c>
      <c r="I12835" s="1">
        <v>0</v>
      </c>
      <c r="J12835" s="1">
        <v>1</v>
      </c>
      <c r="K12835" s="1">
        <v>0</v>
      </c>
    </row>
    <row r="12836" spans="1:11" ht="30" x14ac:dyDescent="0.2">
      <c r="A12836" s="1" t="s">
        <v>2567</v>
      </c>
      <c r="B12836" s="1" t="s">
        <v>2574</v>
      </c>
      <c r="C12836" s="1" t="str">
        <f>"66298896471925"</f>
        <v>66298896471925</v>
      </c>
      <c r="D12836" s="1" t="str">
        <f>"400740"</f>
        <v>400740</v>
      </c>
      <c r="E12836" s="1" t="s">
        <v>4579</v>
      </c>
      <c r="F12836" s="1">
        <v>1</v>
      </c>
      <c r="G12836" s="1">
        <v>18807</v>
      </c>
      <c r="H12836" s="1">
        <v>18807</v>
      </c>
      <c r="I12836" s="1">
        <v>0</v>
      </c>
      <c r="J12836" s="1">
        <v>1</v>
      </c>
      <c r="K12836" s="1">
        <v>0</v>
      </c>
    </row>
    <row r="12837" spans="1:11" x14ac:dyDescent="0.2">
      <c r="A12837" s="1" t="s">
        <v>2567</v>
      </c>
      <c r="B12837" s="1" t="s">
        <v>2575</v>
      </c>
      <c r="C12837" s="1" t="str">
        <f>"66298896383619"</f>
        <v>66298896383619</v>
      </c>
      <c r="D12837" s="1" t="str">
        <f>"400037"</f>
        <v>400037</v>
      </c>
      <c r="E12837" s="1" t="s">
        <v>4579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</row>
    <row r="12838" spans="1:11" x14ac:dyDescent="0.2">
      <c r="A12838" s="1" t="s">
        <v>2567</v>
      </c>
      <c r="B12838" s="1" t="s">
        <v>2576</v>
      </c>
      <c r="C12838" s="1" t="str">
        <f>"7859"</f>
        <v>7859</v>
      </c>
      <c r="D12838" s="1" t="str">
        <f>"7859"</f>
        <v>7859</v>
      </c>
      <c r="E12838" s="1" t="s">
        <v>4579</v>
      </c>
      <c r="F12838" s="1">
        <v>1</v>
      </c>
      <c r="G12838" s="1">
        <v>26011.759999999998</v>
      </c>
      <c r="H12838" s="1">
        <v>26012</v>
      </c>
      <c r="I12838" s="1">
        <v>0</v>
      </c>
      <c r="J12838" s="1">
        <v>1</v>
      </c>
      <c r="K12838" s="1">
        <v>0</v>
      </c>
    </row>
    <row r="12839" spans="1:11" ht="30" x14ac:dyDescent="0.2">
      <c r="A12839" s="1" t="s">
        <v>2567</v>
      </c>
      <c r="B12839" s="1" t="s">
        <v>2577</v>
      </c>
      <c r="C12839" s="1" t="str">
        <f>"12123"</f>
        <v>12123</v>
      </c>
      <c r="D12839" s="1" t="str">
        <f>"12123"</f>
        <v>12123</v>
      </c>
      <c r="E12839" s="1" t="s">
        <v>4579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</row>
    <row r="12840" spans="1:11" ht="30" x14ac:dyDescent="0.2">
      <c r="A12840" s="1" t="s">
        <v>2567</v>
      </c>
      <c r="B12840" s="1" t="s">
        <v>2578</v>
      </c>
      <c r="C12840" s="1" t="str">
        <f>"66298896581769"</f>
        <v>66298896581769</v>
      </c>
      <c r="D12840" s="1" t="str">
        <f>"401083"</f>
        <v>401083</v>
      </c>
      <c r="E12840" s="1" t="s">
        <v>4579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</row>
    <row r="12841" spans="1:11" ht="30" x14ac:dyDescent="0.2">
      <c r="A12841" s="1" t="s">
        <v>2567</v>
      </c>
      <c r="B12841" s="1" t="s">
        <v>2579</v>
      </c>
      <c r="C12841" s="1" t="str">
        <f>"66298896537128"</f>
        <v>66298896537128</v>
      </c>
      <c r="D12841" s="1" t="str">
        <f>"400040"</f>
        <v>400040</v>
      </c>
      <c r="E12841" s="1" t="s">
        <v>4579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</row>
    <row r="12842" spans="1:11" ht="30" x14ac:dyDescent="0.2">
      <c r="A12842" s="1" t="s">
        <v>2567</v>
      </c>
      <c r="B12842" s="1" t="s">
        <v>2580</v>
      </c>
      <c r="C12842" s="1" t="str">
        <f>"66298896626120"</f>
        <v>66298896626120</v>
      </c>
      <c r="D12842" s="1" t="str">
        <f>"DA015"</f>
        <v>DA015</v>
      </c>
      <c r="E12842" s="1" t="s">
        <v>4579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</row>
    <row r="12843" spans="1:11" ht="30" x14ac:dyDescent="0.2">
      <c r="A12843" s="1" t="s">
        <v>2567</v>
      </c>
      <c r="B12843" s="1" t="s">
        <v>2581</v>
      </c>
      <c r="C12843" s="1" t="str">
        <f>"66298896670599"</f>
        <v>66298896670599</v>
      </c>
      <c r="D12843" s="1" t="str">
        <f>"401076"</f>
        <v>401076</v>
      </c>
      <c r="E12843" s="1" t="s">
        <v>4579</v>
      </c>
      <c r="F12843" s="1">
        <v>1</v>
      </c>
      <c r="G12843" s="1">
        <v>19749</v>
      </c>
      <c r="H12843" s="1">
        <v>19749</v>
      </c>
      <c r="I12843" s="1">
        <v>0</v>
      </c>
      <c r="J12843" s="1">
        <v>1</v>
      </c>
      <c r="K12843" s="1">
        <v>0</v>
      </c>
    </row>
    <row r="12844" spans="1:11" x14ac:dyDescent="0.2">
      <c r="A12844" s="1" t="s">
        <v>2567</v>
      </c>
      <c r="B12844" s="1" t="s">
        <v>2582</v>
      </c>
      <c r="C12844" s="1" t="str">
        <f>"DA001"</f>
        <v>DA001</v>
      </c>
      <c r="D12844" s="1" t="str">
        <f>"DA001"</f>
        <v>DA001</v>
      </c>
      <c r="E12844" s="1" t="s">
        <v>4579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</row>
    <row r="12845" spans="1:11" ht="30" x14ac:dyDescent="0.2">
      <c r="A12845" s="1" t="s">
        <v>2567</v>
      </c>
      <c r="B12845" s="1" t="s">
        <v>2583</v>
      </c>
      <c r="C12845" s="1" t="str">
        <f>"DA011"</f>
        <v>DA011</v>
      </c>
      <c r="D12845" s="1" t="str">
        <f>"DA011"</f>
        <v>DA011</v>
      </c>
      <c r="E12845" s="1" t="s">
        <v>4579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</row>
    <row r="12846" spans="1:11" ht="30" x14ac:dyDescent="0.2">
      <c r="A12846" s="1" t="s">
        <v>2567</v>
      </c>
      <c r="B12846" s="1" t="s">
        <v>2584</v>
      </c>
      <c r="C12846" s="1" t="str">
        <f>"66298896715458"</f>
        <v>66298896715458</v>
      </c>
      <c r="D12846" s="1" t="str">
        <f>"401077"</f>
        <v>401077</v>
      </c>
      <c r="E12846" s="1" t="s">
        <v>4579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</row>
    <row r="12847" spans="1:11" x14ac:dyDescent="0.2">
      <c r="A12847" s="1" t="s">
        <v>2567</v>
      </c>
      <c r="B12847" s="1" t="s">
        <v>2585</v>
      </c>
      <c r="C12847" s="1" t="str">
        <f>"11170"</f>
        <v>11170</v>
      </c>
      <c r="D12847" s="1" t="str">
        <f>"11170"</f>
        <v>11170</v>
      </c>
      <c r="E12847" s="1" t="s">
        <v>4579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</row>
    <row r="12848" spans="1:11" x14ac:dyDescent="0.2">
      <c r="A12848" s="1" t="s">
        <v>2567</v>
      </c>
      <c r="B12848" s="1" t="s">
        <v>2586</v>
      </c>
      <c r="C12848" s="1" t="str">
        <f>"12863"</f>
        <v>12863</v>
      </c>
      <c r="D12848" s="1" t="str">
        <f>"12863"</f>
        <v>12863</v>
      </c>
      <c r="E12848" s="1" t="s">
        <v>4579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</row>
    <row r="12849" spans="1:11" x14ac:dyDescent="0.2">
      <c r="A12849" s="1" t="s">
        <v>2567</v>
      </c>
      <c r="B12849" s="1" t="s">
        <v>2587</v>
      </c>
      <c r="C12849" s="1" t="str">
        <f>"11210-12F50-K"</f>
        <v>11210-12F50-K</v>
      </c>
      <c r="D12849" s="1" t="str">
        <f>"11210-12F50-K"</f>
        <v>11210-12F50-K</v>
      </c>
      <c r="E12849" s="1" t="s">
        <v>4579</v>
      </c>
      <c r="F12849" s="1">
        <v>1</v>
      </c>
      <c r="G12849" s="1">
        <v>56152</v>
      </c>
      <c r="H12849" s="1">
        <v>56152</v>
      </c>
      <c r="I12849" s="1">
        <v>0</v>
      </c>
      <c r="J12849" s="1">
        <v>1</v>
      </c>
      <c r="K12849" s="1">
        <v>0</v>
      </c>
    </row>
    <row r="12850" spans="1:11" x14ac:dyDescent="0.2">
      <c r="A12850" s="1" t="s">
        <v>2567</v>
      </c>
      <c r="B12850" s="1" t="s">
        <v>2588</v>
      </c>
      <c r="C12850" s="1" t="str">
        <f>"12261"</f>
        <v>12261</v>
      </c>
      <c r="D12850" s="1" t="str">
        <f>"12261"</f>
        <v>12261</v>
      </c>
      <c r="E12850" s="1" t="s">
        <v>4579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</row>
    <row r="12851" spans="1:11" x14ac:dyDescent="0.2">
      <c r="A12851" s="1" t="s">
        <v>2567</v>
      </c>
      <c r="B12851" s="1" t="s">
        <v>2589</v>
      </c>
      <c r="C12851" s="1" t="str">
        <f>"8516"</f>
        <v>8516</v>
      </c>
      <c r="D12851" s="1" t="str">
        <f>"8516"</f>
        <v>8516</v>
      </c>
      <c r="E12851" s="1" t="s">
        <v>4579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</row>
    <row r="12852" spans="1:11" ht="30" x14ac:dyDescent="0.2">
      <c r="A12852" s="1" t="s">
        <v>2567</v>
      </c>
      <c r="B12852" s="1" t="s">
        <v>2590</v>
      </c>
      <c r="C12852" s="1" t="str">
        <f>"DA007"</f>
        <v>DA007</v>
      </c>
      <c r="D12852" s="1" t="str">
        <f>"DA007"</f>
        <v>DA007</v>
      </c>
      <c r="E12852" s="1" t="s">
        <v>4579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</row>
    <row r="12853" spans="1:11" ht="30" x14ac:dyDescent="0.2">
      <c r="A12853" s="1" t="s">
        <v>2567</v>
      </c>
      <c r="B12853" s="1" t="s">
        <v>2591</v>
      </c>
      <c r="C12853" s="1" t="str">
        <f>"7823"</f>
        <v>7823</v>
      </c>
      <c r="D12853" s="1" t="str">
        <f>"7823"</f>
        <v>7823</v>
      </c>
      <c r="E12853" s="1" t="s">
        <v>4579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</row>
    <row r="12854" spans="1:11" ht="30" x14ac:dyDescent="0.2">
      <c r="A12854" s="1" t="s">
        <v>2567</v>
      </c>
      <c r="B12854" s="1" t="s">
        <v>2592</v>
      </c>
      <c r="C12854" s="1" t="str">
        <f>"54B-E1310-00"</f>
        <v>54B-E1310-00</v>
      </c>
      <c r="D12854" s="1" t="str">
        <f>"54B-E1310-00"</f>
        <v>54B-E1310-00</v>
      </c>
      <c r="E12854" s="1" t="s">
        <v>4579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</row>
    <row r="12855" spans="1:11" ht="30" x14ac:dyDescent="0.2">
      <c r="A12855" s="1" t="s">
        <v>2567</v>
      </c>
      <c r="B12855" s="1" t="s">
        <v>2593</v>
      </c>
      <c r="C12855" s="1" t="str">
        <f>"66298896757160"</f>
        <v>66298896757160</v>
      </c>
      <c r="D12855" s="1" t="str">
        <f>"401079"</f>
        <v>401079</v>
      </c>
      <c r="E12855" s="1" t="s">
        <v>4579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</row>
    <row r="12856" spans="1:11" ht="30" x14ac:dyDescent="0.2">
      <c r="A12856" s="1" t="s">
        <v>2567</v>
      </c>
      <c r="B12856" s="1" t="s">
        <v>2594</v>
      </c>
      <c r="C12856" s="1" t="str">
        <f>"P400485100063"</f>
        <v>P400485100063</v>
      </c>
      <c r="D12856" s="1" t="str">
        <f>"P400485100063"</f>
        <v>P400485100063</v>
      </c>
      <c r="E12856" s="1" t="s">
        <v>4579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</row>
    <row r="12857" spans="1:11" ht="30" x14ac:dyDescent="0.2">
      <c r="A12857" s="1" t="s">
        <v>2567</v>
      </c>
      <c r="B12857" s="1" t="s">
        <v>2595</v>
      </c>
      <c r="C12857" s="1" t="str">
        <f>"66298896801440"</f>
        <v>66298896801440</v>
      </c>
      <c r="D12857" s="1" t="str">
        <f>"401080"</f>
        <v>401080</v>
      </c>
      <c r="E12857" s="1" t="s">
        <v>4579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</row>
    <row r="12858" spans="1:11" x14ac:dyDescent="0.2">
      <c r="A12858" s="1" t="s">
        <v>2567</v>
      </c>
      <c r="B12858" s="1" t="s">
        <v>2596</v>
      </c>
      <c r="C12858" s="1" t="str">
        <f>"66298896847490"</f>
        <v>66298896847490</v>
      </c>
      <c r="D12858" s="1" t="str">
        <f>"400044"</f>
        <v>400044</v>
      </c>
      <c r="E12858" s="1" t="s">
        <v>4579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</row>
    <row r="12859" spans="1:11" x14ac:dyDescent="0.2">
      <c r="A12859" s="1" t="s">
        <v>2567</v>
      </c>
      <c r="B12859" s="1" t="s">
        <v>2597</v>
      </c>
      <c r="C12859" s="1" t="str">
        <f>"8501"</f>
        <v>8501</v>
      </c>
      <c r="D12859" s="1" t="str">
        <f>"8501"</f>
        <v>8501</v>
      </c>
      <c r="E12859" s="1" t="s">
        <v>4579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</row>
    <row r="12860" spans="1:11" ht="30" x14ac:dyDescent="0.2">
      <c r="A12860" s="1" t="s">
        <v>2567</v>
      </c>
      <c r="B12860" s="1" t="s">
        <v>2598</v>
      </c>
      <c r="C12860" s="1" t="str">
        <f>"66298896888220"</f>
        <v>66298896888220</v>
      </c>
      <c r="D12860" s="1" t="str">
        <f>"401081"</f>
        <v>401081</v>
      </c>
      <c r="E12860" s="1" t="s">
        <v>4579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</row>
    <row r="12861" spans="1:11" x14ac:dyDescent="0.2">
      <c r="A12861" s="1" t="s">
        <v>2567</v>
      </c>
      <c r="B12861" s="1" t="s">
        <v>2599</v>
      </c>
      <c r="C12861" s="1" t="str">
        <f>"DA028"</f>
        <v>DA028</v>
      </c>
      <c r="D12861" s="1" t="str">
        <f>"DA028"</f>
        <v>DA028</v>
      </c>
      <c r="E12861" s="1" t="s">
        <v>4579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</row>
    <row r="12862" spans="1:11" x14ac:dyDescent="0.2">
      <c r="A12862" s="1" t="s">
        <v>2567</v>
      </c>
      <c r="B12862" s="1" t="s">
        <v>2599</v>
      </c>
      <c r="C12862" s="1" t="str">
        <f>"2428"</f>
        <v>2428</v>
      </c>
      <c r="D12862" s="1" t="str">
        <f>"2428"</f>
        <v>2428</v>
      </c>
      <c r="E12862" s="1" t="s">
        <v>4579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</row>
    <row r="12863" spans="1:11" ht="30" x14ac:dyDescent="0.2">
      <c r="A12863" s="1" t="s">
        <v>2567</v>
      </c>
      <c r="B12863" s="1" t="s">
        <v>2600</v>
      </c>
      <c r="C12863" s="1" t="str">
        <f>"66298896929391"</f>
        <v>66298896929391</v>
      </c>
      <c r="D12863" s="1" t="str">
        <f>"400737"</f>
        <v>400737</v>
      </c>
      <c r="E12863" s="1" t="s">
        <v>4579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</row>
    <row r="12864" spans="1:11" ht="30" x14ac:dyDescent="0.2">
      <c r="A12864" s="1" t="s">
        <v>2567</v>
      </c>
      <c r="B12864" s="1" t="s">
        <v>2601</v>
      </c>
      <c r="C12864" s="1" t="str">
        <f>"66298897054631"</f>
        <v>66298897054631</v>
      </c>
      <c r="D12864" s="1" t="str">
        <f>"400743"</f>
        <v>400743</v>
      </c>
      <c r="E12864" s="1" t="s">
        <v>4579</v>
      </c>
      <c r="F12864" s="1">
        <v>1</v>
      </c>
      <c r="G12864" s="1">
        <v>19903</v>
      </c>
      <c r="H12864" s="1">
        <v>19903</v>
      </c>
      <c r="I12864" s="1">
        <v>0</v>
      </c>
      <c r="J12864" s="1">
        <v>1</v>
      </c>
      <c r="K12864" s="1">
        <v>0</v>
      </c>
    </row>
    <row r="12865" spans="1:11" ht="30" x14ac:dyDescent="0.2">
      <c r="A12865" s="1" t="s">
        <v>2567</v>
      </c>
      <c r="B12865" s="1" t="s">
        <v>2602</v>
      </c>
      <c r="C12865" s="1" t="str">
        <f>"66298897004040"</f>
        <v>66298897004040</v>
      </c>
      <c r="D12865" s="1" t="str">
        <f>"DA014"</f>
        <v>DA014</v>
      </c>
      <c r="E12865" s="1" t="s">
        <v>4579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</row>
    <row r="12866" spans="1:11" x14ac:dyDescent="0.2">
      <c r="A12866" s="1" t="s">
        <v>2567</v>
      </c>
      <c r="B12866" s="1" t="s">
        <v>2603</v>
      </c>
      <c r="C12866" s="1" t="str">
        <f>"66298897093099"</f>
        <v>66298897093099</v>
      </c>
      <c r="D12866" s="1" t="str">
        <f>"XM-30306-000-K"</f>
        <v>XM-30306-000-K</v>
      </c>
      <c r="E12866" s="1" t="s">
        <v>4579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</row>
    <row r="12867" spans="1:11" x14ac:dyDescent="0.2">
      <c r="A12867" s="1" t="s">
        <v>2567</v>
      </c>
      <c r="B12867" s="1" t="s">
        <v>2604</v>
      </c>
      <c r="C12867" s="1" t="str">
        <f>"ITF-150"</f>
        <v>ITF-150</v>
      </c>
      <c r="D12867" s="1" t="str">
        <f>"ITF-150"</f>
        <v>ITF-150</v>
      </c>
      <c r="E12867" s="1" t="s">
        <v>4579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</row>
    <row r="12868" spans="1:11" x14ac:dyDescent="0.2">
      <c r="A12868" s="1" t="s">
        <v>2567</v>
      </c>
      <c r="B12868" s="1" t="s">
        <v>2605</v>
      </c>
      <c r="C12868" s="1" t="str">
        <f>"10492"</f>
        <v>10492</v>
      </c>
      <c r="D12868" s="1" t="str">
        <f>"10492"</f>
        <v>10492</v>
      </c>
      <c r="E12868" s="1" t="s">
        <v>4579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</row>
    <row r="12869" spans="1:11" x14ac:dyDescent="0.2">
      <c r="A12869" s="1" t="s">
        <v>2567</v>
      </c>
      <c r="B12869" s="1" t="s">
        <v>2606</v>
      </c>
      <c r="C12869" s="1" t="str">
        <f>"66298897135588"</f>
        <v>66298897135588</v>
      </c>
      <c r="D12869" s="1" t="str">
        <f>"400746"</f>
        <v>400746</v>
      </c>
      <c r="E12869" s="1" t="s">
        <v>4579</v>
      </c>
      <c r="F12869" s="1">
        <v>1</v>
      </c>
      <c r="G12869" s="1">
        <v>17264</v>
      </c>
      <c r="H12869" s="1">
        <v>17264</v>
      </c>
      <c r="I12869" s="1">
        <v>0</v>
      </c>
      <c r="J12869" s="1">
        <v>1</v>
      </c>
      <c r="K12869" s="1">
        <v>0</v>
      </c>
    </row>
    <row r="12870" spans="1:11" ht="30" x14ac:dyDescent="0.2">
      <c r="A12870" s="1" t="s">
        <v>2567</v>
      </c>
      <c r="B12870" s="1" t="s">
        <v>2607</v>
      </c>
      <c r="C12870" s="1" t="str">
        <f>"KIT-HP-PULSAR200"</f>
        <v>KIT-HP-PULSAR200</v>
      </c>
      <c r="D12870" s="1" t="str">
        <f>"KIT-HP-PULSAR200"</f>
        <v>KIT-HP-PULSAR200</v>
      </c>
      <c r="E12870" s="1" t="s">
        <v>4579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</row>
    <row r="12871" spans="1:11" x14ac:dyDescent="0.2">
      <c r="A12871" s="1" t="s">
        <v>2567</v>
      </c>
      <c r="B12871" s="1" t="s">
        <v>2608</v>
      </c>
      <c r="C12871" s="1" t="str">
        <f>"66298897183661"</f>
        <v>66298897183661</v>
      </c>
      <c r="D12871" s="1" t="str">
        <f>"400738"</f>
        <v>400738</v>
      </c>
      <c r="E12871" s="1" t="s">
        <v>4579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</row>
    <row r="12872" spans="1:11" x14ac:dyDescent="0.2">
      <c r="A12872" s="1" t="s">
        <v>2567</v>
      </c>
      <c r="B12872" s="1" t="s">
        <v>2609</v>
      </c>
      <c r="C12872" s="1" t="str">
        <f>"36-JL00-07-K"</f>
        <v>36-JL00-07-K</v>
      </c>
      <c r="D12872" s="1" t="str">
        <f>"36-JL00-07-K"</f>
        <v>36-JL00-07-K</v>
      </c>
      <c r="E12872" s="1" t="s">
        <v>4579</v>
      </c>
      <c r="F12872" s="1">
        <v>1</v>
      </c>
      <c r="G12872" s="1">
        <v>46690</v>
      </c>
      <c r="H12872" s="1">
        <v>46690</v>
      </c>
      <c r="I12872" s="1">
        <v>0</v>
      </c>
      <c r="J12872" s="1">
        <v>1</v>
      </c>
      <c r="K12872" s="1">
        <v>0</v>
      </c>
    </row>
    <row r="12873" spans="1:11" ht="30" x14ac:dyDescent="0.2">
      <c r="A12873" s="1" t="s">
        <v>2567</v>
      </c>
      <c r="B12873" s="1" t="s">
        <v>2610</v>
      </c>
      <c r="C12873" s="1" t="str">
        <f>"66298897227260"</f>
        <v>66298897227260</v>
      </c>
      <c r="D12873" s="1" t="str">
        <f>"1210A-GFY6-C10-K"</f>
        <v>1210A-GFY6-C10-K</v>
      </c>
      <c r="E12873" s="1" t="s">
        <v>4579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</row>
    <row r="12874" spans="1:11" ht="30" x14ac:dyDescent="0.2">
      <c r="A12874" s="1" t="s">
        <v>2567</v>
      </c>
      <c r="B12874" s="1" t="s">
        <v>2610</v>
      </c>
      <c r="C12874" s="1" t="str">
        <f>"66298897266150"</f>
        <v>66298897266150</v>
      </c>
      <c r="D12874" s="1" t="str">
        <f>"DA019"</f>
        <v>DA019</v>
      </c>
      <c r="E12874" s="1" t="s">
        <v>4579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</row>
    <row r="12875" spans="1:11" ht="30" x14ac:dyDescent="0.2">
      <c r="A12875" s="1" t="s">
        <v>2567</v>
      </c>
      <c r="B12875" s="1" t="s">
        <v>2611</v>
      </c>
      <c r="C12875" s="1" t="str">
        <f>"66298897308846"</f>
        <v>66298897308846</v>
      </c>
      <c r="D12875" s="1" t="str">
        <f>"400739"</f>
        <v>400739</v>
      </c>
      <c r="E12875" s="1" t="s">
        <v>4579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</row>
    <row r="12876" spans="1:11" ht="30" x14ac:dyDescent="0.2">
      <c r="A12876" s="1" t="s">
        <v>2567</v>
      </c>
      <c r="B12876" s="1" t="s">
        <v>2612</v>
      </c>
      <c r="C12876" s="1" t="str">
        <f>"66298897356999"</f>
        <v>66298897356999</v>
      </c>
      <c r="D12876" s="1" t="str">
        <f>"DA010"</f>
        <v>DA010</v>
      </c>
      <c r="E12876" s="1" t="s">
        <v>4579</v>
      </c>
      <c r="F12876" s="1">
        <v>1</v>
      </c>
      <c r="G12876" s="1">
        <v>17055</v>
      </c>
      <c r="H12876" s="1">
        <v>17055</v>
      </c>
      <c r="I12876" s="1">
        <v>0</v>
      </c>
      <c r="J12876" s="1">
        <v>1</v>
      </c>
      <c r="K12876" s="1">
        <v>0</v>
      </c>
    </row>
    <row r="12877" spans="1:11" x14ac:dyDescent="0.2">
      <c r="A12877" s="1" t="s">
        <v>2567</v>
      </c>
      <c r="B12877" s="1" t="s">
        <v>2613</v>
      </c>
      <c r="C12877" s="1" t="str">
        <f>"DA031"</f>
        <v>DA031</v>
      </c>
      <c r="D12877" s="1" t="str">
        <f>"DA031"</f>
        <v>DA031</v>
      </c>
      <c r="E12877" s="1" t="s">
        <v>4579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</row>
    <row r="12878" spans="1:11" x14ac:dyDescent="0.2">
      <c r="A12878" s="1" t="s">
        <v>2567</v>
      </c>
      <c r="B12878" s="1" t="s">
        <v>2613</v>
      </c>
      <c r="C12878" s="1" t="str">
        <f>"12100-KGA-900-K"</f>
        <v>12100-KGA-900-K</v>
      </c>
      <c r="D12878" s="1" t="str">
        <f>"12100-KGA-900-K"</f>
        <v>12100-KGA-900-K</v>
      </c>
      <c r="E12878" s="1" t="s">
        <v>4579</v>
      </c>
      <c r="F12878" s="1">
        <v>1</v>
      </c>
      <c r="G12878" s="1">
        <v>32442</v>
      </c>
      <c r="H12878" s="1">
        <v>32442</v>
      </c>
      <c r="I12878" s="1">
        <v>0</v>
      </c>
      <c r="J12878" s="1">
        <v>1</v>
      </c>
      <c r="K12878" s="1">
        <v>0</v>
      </c>
    </row>
    <row r="12879" spans="1:11" ht="30" x14ac:dyDescent="0.2">
      <c r="A12879" s="1" t="s">
        <v>2567</v>
      </c>
      <c r="B12879" s="1" t="s">
        <v>2614</v>
      </c>
      <c r="C12879" s="1" t="str">
        <f>"66298897443745"</f>
        <v>66298897443745</v>
      </c>
      <c r="D12879" s="1" t="str">
        <f>"401085"</f>
        <v>401085</v>
      </c>
      <c r="E12879" s="1" t="s">
        <v>4579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</row>
    <row r="12880" spans="1:11" x14ac:dyDescent="0.2">
      <c r="A12880" s="1" t="s">
        <v>2567</v>
      </c>
      <c r="B12880" s="1" t="s">
        <v>2615</v>
      </c>
      <c r="C12880" s="1" t="str">
        <f>"66298897400617"</f>
        <v>66298897400617</v>
      </c>
      <c r="D12880" s="1" t="str">
        <f>"400048"</f>
        <v>400048</v>
      </c>
      <c r="E12880" s="1" t="s">
        <v>4579</v>
      </c>
      <c r="F12880" s="1">
        <v>1</v>
      </c>
      <c r="G12880" s="1">
        <v>13440</v>
      </c>
      <c r="H12880" s="1">
        <v>13440</v>
      </c>
      <c r="I12880" s="1">
        <v>0</v>
      </c>
      <c r="J12880" s="1">
        <v>1</v>
      </c>
      <c r="K12880" s="1">
        <v>0</v>
      </c>
    </row>
    <row r="12881" spans="1:11" ht="30" x14ac:dyDescent="0.2">
      <c r="A12881" s="1" t="s">
        <v>2567</v>
      </c>
      <c r="B12881" s="1" t="s">
        <v>2616</v>
      </c>
      <c r="C12881" s="1" t="str">
        <f>"66298897486145"</f>
        <v>66298897486145</v>
      </c>
      <c r="D12881" s="1" t="str">
        <f>"400745"</f>
        <v>400745</v>
      </c>
      <c r="E12881" s="1" t="s">
        <v>4579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</row>
    <row r="12882" spans="1:11" x14ac:dyDescent="0.2">
      <c r="A12882" s="1" t="s">
        <v>2567</v>
      </c>
      <c r="B12882" s="1" t="s">
        <v>2617</v>
      </c>
      <c r="C12882" s="1" t="str">
        <f>"66298897529876"</f>
        <v>66298897529876</v>
      </c>
      <c r="D12882" s="1" t="str">
        <f>"400747"</f>
        <v>400747</v>
      </c>
      <c r="E12882" s="1" t="s">
        <v>4579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</row>
    <row r="12883" spans="1:11" x14ac:dyDescent="0.2">
      <c r="A12883" s="1" t="s">
        <v>2567</v>
      </c>
      <c r="B12883" s="1" t="s">
        <v>2618</v>
      </c>
      <c r="C12883" s="1" t="str">
        <f>"66298897572360"</f>
        <v>66298897572360</v>
      </c>
      <c r="D12883" s="1" t="str">
        <f>"DA023"</f>
        <v>DA023</v>
      </c>
      <c r="E12883" s="1" t="s">
        <v>4579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</row>
    <row r="12884" spans="1:11" x14ac:dyDescent="0.2">
      <c r="A12884" s="1" t="s">
        <v>98</v>
      </c>
      <c r="B12884" s="1" t="s">
        <v>2619</v>
      </c>
      <c r="C12884" s="1" t="str">
        <f>"66298897616538"</f>
        <v>66298897616538</v>
      </c>
      <c r="D12884" s="1" t="str">
        <f>"H215"</f>
        <v>H215</v>
      </c>
      <c r="E12884" s="1" t="s">
        <v>4579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</row>
    <row r="12885" spans="1:11" x14ac:dyDescent="0.2">
      <c r="A12885" s="1" t="s">
        <v>2004</v>
      </c>
      <c r="B12885" s="1" t="s">
        <v>2620</v>
      </c>
      <c r="C12885" s="1" t="str">
        <f>"67950195435088"</f>
        <v>67950195435088</v>
      </c>
      <c r="D12885" s="1" t="str">
        <f>"DSK-3001"</f>
        <v>DSK-3001</v>
      </c>
      <c r="E12885" s="1" t="s">
        <v>4579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</row>
    <row r="12886" spans="1:11" x14ac:dyDescent="0.2">
      <c r="A12886" s="1" t="s">
        <v>2503</v>
      </c>
      <c r="B12886" s="1" t="s">
        <v>2621</v>
      </c>
      <c r="C12886" s="1" t="str">
        <f>"66298897703512"</f>
        <v>66298897703512</v>
      </c>
      <c r="D12886" s="1" t="str">
        <f>"400317"</f>
        <v>400317</v>
      </c>
      <c r="E12886" s="1" t="s">
        <v>4579</v>
      </c>
      <c r="F12886" s="1">
        <v>2</v>
      </c>
      <c r="G12886" s="1">
        <v>2309</v>
      </c>
      <c r="H12886" s="1">
        <v>4618</v>
      </c>
      <c r="I12886" s="1">
        <v>0</v>
      </c>
      <c r="J12886" s="1">
        <v>2</v>
      </c>
      <c r="K12886" s="1">
        <v>0</v>
      </c>
    </row>
    <row r="12887" spans="1:11" x14ac:dyDescent="0.2">
      <c r="A12887" s="1" t="s">
        <v>2503</v>
      </c>
      <c r="B12887" s="1" t="s">
        <v>2622</v>
      </c>
      <c r="C12887" s="1" t="str">
        <f>"66298897658287"</f>
        <v>66298897658287</v>
      </c>
      <c r="D12887" s="1" t="str">
        <f>"400325"</f>
        <v>400325</v>
      </c>
      <c r="E12887" s="1" t="s">
        <v>4579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</row>
    <row r="12888" spans="1:11" x14ac:dyDescent="0.2">
      <c r="A12888" s="1" t="s">
        <v>2503</v>
      </c>
      <c r="B12888" s="1" t="s">
        <v>2623</v>
      </c>
      <c r="C12888" s="1" t="str">
        <f>"7851"</f>
        <v>7851</v>
      </c>
      <c r="D12888" s="1" t="str">
        <f>"7851"</f>
        <v>7851</v>
      </c>
      <c r="E12888" s="1" t="s">
        <v>4579</v>
      </c>
      <c r="F12888" s="1">
        <v>1</v>
      </c>
      <c r="G12888" s="1">
        <v>4991.6000000000004</v>
      </c>
      <c r="H12888" s="1">
        <v>4992</v>
      </c>
      <c r="I12888" s="1">
        <v>0</v>
      </c>
      <c r="J12888" s="1">
        <v>1</v>
      </c>
      <c r="K12888" s="1">
        <v>0</v>
      </c>
    </row>
    <row r="12889" spans="1:11" x14ac:dyDescent="0.2">
      <c r="A12889" s="1" t="s">
        <v>2503</v>
      </c>
      <c r="B12889" s="1" t="s">
        <v>2624</v>
      </c>
      <c r="C12889" s="1" t="str">
        <f>"66298897749581"</f>
        <v>66298897749581</v>
      </c>
      <c r="D12889" s="1" t="str">
        <f>"400318"</f>
        <v>400318</v>
      </c>
      <c r="E12889" s="1" t="s">
        <v>4579</v>
      </c>
      <c r="F12889" s="1">
        <v>2</v>
      </c>
      <c r="G12889" s="1">
        <v>2377</v>
      </c>
      <c r="H12889" s="1">
        <v>4754</v>
      </c>
      <c r="I12889" s="1">
        <v>0</v>
      </c>
      <c r="J12889" s="1">
        <v>2</v>
      </c>
      <c r="K12889" s="1">
        <v>0</v>
      </c>
    </row>
    <row r="12890" spans="1:11" x14ac:dyDescent="0.2">
      <c r="A12890" s="1" t="s">
        <v>2503</v>
      </c>
      <c r="B12890" s="1" t="s">
        <v>2625</v>
      </c>
      <c r="C12890" s="1" t="str">
        <f>"66298897835329"</f>
        <v>66298897835329</v>
      </c>
      <c r="D12890" s="1" t="str">
        <f>"CH006"</f>
        <v>CH006</v>
      </c>
      <c r="E12890" s="1" t="s">
        <v>4579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</row>
    <row r="12891" spans="1:11" ht="30" x14ac:dyDescent="0.2">
      <c r="A12891" s="1" t="s">
        <v>2503</v>
      </c>
      <c r="B12891" s="1" t="s">
        <v>2626</v>
      </c>
      <c r="C12891" s="1" t="str">
        <f>"66298897792970"</f>
        <v>66298897792970</v>
      </c>
      <c r="D12891" s="1" t="str">
        <f>"400988"</f>
        <v>400988</v>
      </c>
      <c r="E12891" s="1" t="s">
        <v>4579</v>
      </c>
      <c r="F12891" s="1">
        <v>3</v>
      </c>
      <c r="G12891" s="1">
        <v>2262</v>
      </c>
      <c r="H12891" s="1">
        <v>6786</v>
      </c>
      <c r="I12891" s="1">
        <v>0</v>
      </c>
      <c r="J12891" s="1">
        <v>3</v>
      </c>
      <c r="K12891" s="1">
        <v>0</v>
      </c>
    </row>
    <row r="12892" spans="1:11" x14ac:dyDescent="0.2">
      <c r="A12892" s="1" t="s">
        <v>2503</v>
      </c>
      <c r="B12892" s="1" t="s">
        <v>2627</v>
      </c>
      <c r="C12892" s="1" t="str">
        <f>"66298897876070"</f>
        <v>66298897876070</v>
      </c>
      <c r="D12892" s="1" t="str">
        <f>"400987"</f>
        <v>400987</v>
      </c>
      <c r="E12892" s="1" t="s">
        <v>4579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</row>
    <row r="12893" spans="1:11" x14ac:dyDescent="0.2">
      <c r="A12893" s="1" t="s">
        <v>2503</v>
      </c>
      <c r="B12893" s="1" t="s">
        <v>2628</v>
      </c>
      <c r="C12893" s="1" t="str">
        <f>"66298897920200"</f>
        <v>66298897920200</v>
      </c>
      <c r="D12893" s="1" t="str">
        <f>"400320"</f>
        <v>400320</v>
      </c>
      <c r="E12893" s="1" t="s">
        <v>4579</v>
      </c>
      <c r="F12893" s="1">
        <v>2</v>
      </c>
      <c r="G12893" s="1">
        <v>2305</v>
      </c>
      <c r="H12893" s="1">
        <v>4610</v>
      </c>
      <c r="I12893" s="1">
        <v>0</v>
      </c>
      <c r="J12893" s="1">
        <v>2</v>
      </c>
      <c r="K12893" s="1">
        <v>0</v>
      </c>
    </row>
    <row r="12894" spans="1:11" x14ac:dyDescent="0.2">
      <c r="A12894" s="1" t="s">
        <v>2503</v>
      </c>
      <c r="B12894" s="1" t="s">
        <v>2629</v>
      </c>
      <c r="C12894" s="1" t="str">
        <f>"66298897962796"</f>
        <v>66298897962796</v>
      </c>
      <c r="D12894" s="1" t="str">
        <f>"400321"</f>
        <v>400321</v>
      </c>
      <c r="E12894" s="1" t="s">
        <v>4579</v>
      </c>
      <c r="F12894" s="1">
        <v>1</v>
      </c>
      <c r="G12894" s="1">
        <v>2270</v>
      </c>
      <c r="H12894" s="1">
        <v>2270</v>
      </c>
      <c r="I12894" s="1">
        <v>0</v>
      </c>
      <c r="J12894" s="1">
        <v>1</v>
      </c>
      <c r="K12894" s="1">
        <v>0</v>
      </c>
    </row>
    <row r="12895" spans="1:11" x14ac:dyDescent="0.2">
      <c r="A12895" s="1" t="s">
        <v>2503</v>
      </c>
      <c r="B12895" s="1" t="s">
        <v>2630</v>
      </c>
      <c r="C12895" s="1" t="str">
        <f>"66298898009744"</f>
        <v>66298898009744</v>
      </c>
      <c r="D12895" s="1" t="str">
        <f>"400322"</f>
        <v>400322</v>
      </c>
      <c r="E12895" s="1" t="s">
        <v>4579</v>
      </c>
      <c r="F12895" s="1">
        <v>2</v>
      </c>
      <c r="G12895" s="1">
        <v>1744</v>
      </c>
      <c r="H12895" s="1">
        <v>3488</v>
      </c>
      <c r="I12895" s="1">
        <v>0</v>
      </c>
      <c r="J12895" s="1">
        <v>2</v>
      </c>
      <c r="K12895" s="1">
        <v>0</v>
      </c>
    </row>
    <row r="12896" spans="1:11" x14ac:dyDescent="0.2">
      <c r="A12896" s="1" t="s">
        <v>2503</v>
      </c>
      <c r="B12896" s="1" t="s">
        <v>2631</v>
      </c>
      <c r="C12896" s="1" t="str">
        <f>"66298898058379"</f>
        <v>66298898058379</v>
      </c>
      <c r="D12896" s="1" t="str">
        <f>"400323"</f>
        <v>400323</v>
      </c>
      <c r="E12896" s="1" t="s">
        <v>4579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</row>
    <row r="12897" spans="1:11" x14ac:dyDescent="0.2">
      <c r="A12897" s="1" t="s">
        <v>2503</v>
      </c>
      <c r="B12897" s="1" t="s">
        <v>2632</v>
      </c>
      <c r="C12897" s="1" t="str">
        <f>"66298898100228"</f>
        <v>66298898100228</v>
      </c>
      <c r="D12897" s="1" t="str">
        <f>"400324"</f>
        <v>400324</v>
      </c>
      <c r="E12897" s="1" t="s">
        <v>4579</v>
      </c>
      <c r="F12897" s="1">
        <v>2</v>
      </c>
      <c r="G12897" s="1">
        <v>1720</v>
      </c>
      <c r="H12897" s="1">
        <v>3440</v>
      </c>
      <c r="I12897" s="1">
        <v>0</v>
      </c>
      <c r="J12897" s="1">
        <v>2</v>
      </c>
      <c r="K12897" s="1">
        <v>0</v>
      </c>
    </row>
    <row r="12898" spans="1:11" x14ac:dyDescent="0.2">
      <c r="A12898" s="1" t="s">
        <v>18</v>
      </c>
      <c r="B12898" s="1" t="s">
        <v>2633</v>
      </c>
      <c r="C12898" s="1" t="str">
        <f>"115477"</f>
        <v>115477</v>
      </c>
      <c r="D12898" s="1" t="str">
        <f>"115477"</f>
        <v>115477</v>
      </c>
      <c r="E12898" s="1" t="s">
        <v>4579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</row>
    <row r="12899" spans="1:11" x14ac:dyDescent="0.2">
      <c r="A12899" s="1" t="s">
        <v>98</v>
      </c>
      <c r="B12899" s="1" t="s">
        <v>2634</v>
      </c>
      <c r="C12899" s="1" t="str">
        <f>"66298898144135"</f>
        <v>66298898144135</v>
      </c>
      <c r="D12899" s="1" t="str">
        <f>"H127"</f>
        <v>H127</v>
      </c>
      <c r="E12899" s="1" t="s">
        <v>4579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</row>
    <row r="12900" spans="1:11" ht="30" x14ac:dyDescent="0.2">
      <c r="A12900" s="1" t="s">
        <v>2565</v>
      </c>
      <c r="B12900" s="1" t="s">
        <v>2635</v>
      </c>
      <c r="C12900" s="1" t="str">
        <f>"10000091383"</f>
        <v>10000091383</v>
      </c>
      <c r="D12900" s="1" t="str">
        <f>"10000091383"</f>
        <v>10000091383</v>
      </c>
      <c r="E12900" s="1" t="s">
        <v>4579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</row>
    <row r="12901" spans="1:11" ht="30" x14ac:dyDescent="0.2">
      <c r="A12901" s="1" t="s">
        <v>2565</v>
      </c>
      <c r="B12901" s="1" t="s">
        <v>2636</v>
      </c>
      <c r="C12901" s="1" t="str">
        <f>"36-JZ00-80-KITH"</f>
        <v>36-JZ00-80-KITH</v>
      </c>
      <c r="D12901" s="1" t="str">
        <f>"36-JZ00-80-KITH"</f>
        <v>36-JZ00-80-KITH</v>
      </c>
      <c r="E12901" s="1" t="s">
        <v>4579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</row>
    <row r="12902" spans="1:11" x14ac:dyDescent="0.2">
      <c r="A12902" s="1" t="s">
        <v>2565</v>
      </c>
      <c r="B12902" s="1" t="s">
        <v>2637</v>
      </c>
      <c r="C12902" s="1" t="str">
        <f>"10000091552"</f>
        <v>10000091552</v>
      </c>
      <c r="D12902" s="1" t="str">
        <f>"10000091552"</f>
        <v>10000091552</v>
      </c>
      <c r="E12902" s="1" t="s">
        <v>4579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</row>
    <row r="12903" spans="1:11" x14ac:dyDescent="0.2">
      <c r="A12903" s="1" t="s">
        <v>2565</v>
      </c>
      <c r="B12903" s="1" t="s">
        <v>2638</v>
      </c>
      <c r="C12903" s="1" t="str">
        <f>"10000091551"</f>
        <v>10000091551</v>
      </c>
      <c r="D12903" s="1" t="str">
        <f>"10000091551"</f>
        <v>10000091551</v>
      </c>
      <c r="E12903" s="1" t="s">
        <v>4579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</row>
    <row r="12904" spans="1:11" x14ac:dyDescent="0.2">
      <c r="A12904" s="1" t="s">
        <v>2565</v>
      </c>
      <c r="B12904" s="1" t="s">
        <v>2639</v>
      </c>
      <c r="C12904" s="1" t="str">
        <f>"66298898242506"</f>
        <v>66298898242506</v>
      </c>
      <c r="D12904" s="1" t="str">
        <f>"41200-K70-600KIT"</f>
        <v>41200-K70-600KIT</v>
      </c>
      <c r="E12904" s="1" t="s">
        <v>4579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</row>
    <row r="12905" spans="1:11" ht="30" x14ac:dyDescent="0.2">
      <c r="A12905" s="1" t="s">
        <v>2565</v>
      </c>
      <c r="B12905" s="1" t="s">
        <v>2640</v>
      </c>
      <c r="C12905" s="1" t="str">
        <f>"10000091459"</f>
        <v>10000091459</v>
      </c>
      <c r="D12905" s="1" t="str">
        <f>"10000091459"</f>
        <v>10000091459</v>
      </c>
      <c r="E12905" s="1" t="s">
        <v>4579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</row>
    <row r="12906" spans="1:11" ht="30" x14ac:dyDescent="0.2">
      <c r="A12906" s="1" t="s">
        <v>2565</v>
      </c>
      <c r="B12906" s="1" t="s">
        <v>2641</v>
      </c>
      <c r="C12906" s="1" t="str">
        <f>"10000091338"</f>
        <v>10000091338</v>
      </c>
      <c r="D12906" s="1" t="str">
        <f>"10000091338"</f>
        <v>10000091338</v>
      </c>
      <c r="E12906" s="1" t="s">
        <v>4579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</row>
    <row r="12907" spans="1:11" x14ac:dyDescent="0.2">
      <c r="A12907" s="1" t="s">
        <v>2565</v>
      </c>
      <c r="B12907" s="1" t="s">
        <v>2642</v>
      </c>
      <c r="C12907" s="1" t="str">
        <f>"12308"</f>
        <v>12308</v>
      </c>
      <c r="D12907" s="1" t="str">
        <f>"12308"</f>
        <v>12308</v>
      </c>
      <c r="E12907" s="1" t="s">
        <v>4579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</row>
    <row r="12908" spans="1:11" ht="30" x14ac:dyDescent="0.2">
      <c r="A12908" s="1" t="s">
        <v>2565</v>
      </c>
      <c r="B12908" s="1" t="s">
        <v>2643</v>
      </c>
      <c r="C12908" s="1" t="str">
        <f>"41200-KVX-900-KI"</f>
        <v>41200-KVX-900-KI</v>
      </c>
      <c r="D12908" s="1" t="str">
        <f>"41200-KVX-900-KI"</f>
        <v>41200-KVX-900-KI</v>
      </c>
      <c r="E12908" s="1" t="s">
        <v>4579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</row>
    <row r="12909" spans="1:11" ht="30" x14ac:dyDescent="0.2">
      <c r="A12909" s="1" t="s">
        <v>2565</v>
      </c>
      <c r="B12909" s="1" t="s">
        <v>2644</v>
      </c>
      <c r="C12909" s="1" t="str">
        <f>"66298898286614"</f>
        <v>66298898286614</v>
      </c>
      <c r="D12909" s="1" t="str">
        <f>"41200-KPN-A00KIT"</f>
        <v>41200-KPN-A00KIT</v>
      </c>
      <c r="E12909" s="1" t="s">
        <v>4579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</row>
    <row r="12910" spans="1:11" ht="30" x14ac:dyDescent="0.2">
      <c r="A12910" s="1" t="s">
        <v>2565</v>
      </c>
      <c r="B12910" s="1" t="s">
        <v>2645</v>
      </c>
      <c r="C12910" s="1" t="str">
        <f>"41200-KSP-B00-KITH"</f>
        <v>41200-KSP-B00-KITH</v>
      </c>
      <c r="D12910" s="1" t="str">
        <f>"41200-KSP-B00-KITH"</f>
        <v>41200-KSP-B00-KITH</v>
      </c>
      <c r="E12910" s="1" t="s">
        <v>4579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</row>
    <row r="12911" spans="1:11" ht="30" x14ac:dyDescent="0.2">
      <c r="A12911" s="1" t="s">
        <v>2565</v>
      </c>
      <c r="B12911" s="1" t="s">
        <v>2646</v>
      </c>
      <c r="C12911" s="1" t="str">
        <f>"41201-KVE-900KITH"</f>
        <v>41201-KVE-900KITH</v>
      </c>
      <c r="D12911" s="1" t="str">
        <f>"41201-KVE-900KITH"</f>
        <v>41201-KVE-900KITH</v>
      </c>
      <c r="E12911" s="1" t="s">
        <v>4579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</row>
    <row r="12912" spans="1:11" x14ac:dyDescent="0.2">
      <c r="A12912" s="1" t="s">
        <v>2565</v>
      </c>
      <c r="B12912" s="1" t="s">
        <v>2647</v>
      </c>
      <c r="C12912" s="1" t="str">
        <f>"41201-KYJ-900-KITH"</f>
        <v>41201-KYJ-900-KITH</v>
      </c>
      <c r="D12912" s="1" t="str">
        <f>"41201-KYJ-900-KITH"</f>
        <v>41201-KYJ-900-KITH</v>
      </c>
      <c r="E12912" s="1" t="s">
        <v>4579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</row>
    <row r="12913" spans="1:11" x14ac:dyDescent="0.2">
      <c r="A12913" s="1" t="s">
        <v>2565</v>
      </c>
      <c r="B12913" s="1" t="s">
        <v>2648</v>
      </c>
      <c r="C12913" s="1" t="str">
        <f>"10000091441"</f>
        <v>10000091441</v>
      </c>
      <c r="D12913" s="1" t="str">
        <f>"10000091441"</f>
        <v>10000091441</v>
      </c>
      <c r="E12913" s="1" t="s">
        <v>4579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</row>
    <row r="12914" spans="1:11" x14ac:dyDescent="0.2">
      <c r="A12914" s="1" t="s">
        <v>2565</v>
      </c>
      <c r="B12914" s="1" t="s">
        <v>2649</v>
      </c>
      <c r="C12914" s="1" t="str">
        <f>"10000091182"</f>
        <v>10000091182</v>
      </c>
      <c r="D12914" s="1" t="str">
        <f>"10000091182"</f>
        <v>10000091182</v>
      </c>
      <c r="E12914" s="1" t="s">
        <v>4579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</row>
    <row r="12915" spans="1:11" x14ac:dyDescent="0.2">
      <c r="A12915" s="1" t="s">
        <v>2565</v>
      </c>
      <c r="B12915" s="1" t="s">
        <v>2650</v>
      </c>
      <c r="C12915" s="1" t="str">
        <f>"66298898385566"</f>
        <v>66298898385566</v>
      </c>
      <c r="D12915" s="1" t="str">
        <f>"41201-383-0045-K"</f>
        <v>41201-383-0045-K</v>
      </c>
      <c r="E12915" s="1" t="s">
        <v>4579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</row>
    <row r="12916" spans="1:11" x14ac:dyDescent="0.2">
      <c r="A12916" s="1" t="s">
        <v>2565</v>
      </c>
      <c r="B12916" s="1" t="s">
        <v>2651</v>
      </c>
      <c r="C12916" s="1" t="str">
        <f>"66298898843468"</f>
        <v>66298898843468</v>
      </c>
      <c r="D12916" s="1" t="str">
        <f>"KIT-TRAS-14/38"</f>
        <v>KIT-TRAS-14/38</v>
      </c>
      <c r="E12916" s="1" t="s">
        <v>4579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</row>
    <row r="12917" spans="1:11" x14ac:dyDescent="0.2">
      <c r="A12917" s="1" t="s">
        <v>2565</v>
      </c>
      <c r="B12917" s="1" t="s">
        <v>2652</v>
      </c>
      <c r="C12917" s="1" t="str">
        <f>"66298898428323"</f>
        <v>66298898428323</v>
      </c>
      <c r="D12917" s="1" t="str">
        <f>"41201-383-3635-K"</f>
        <v>41201-383-3635-K</v>
      </c>
      <c r="E12917" s="1" t="s">
        <v>4579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</row>
    <row r="12918" spans="1:11" ht="30" x14ac:dyDescent="0.2">
      <c r="A12918" s="1" t="s">
        <v>2565</v>
      </c>
      <c r="B12918" s="1" t="s">
        <v>2653</v>
      </c>
      <c r="C12918" s="1" t="str">
        <f>"41201-383-0035-KITH"</f>
        <v>41201-383-0035-KITH</v>
      </c>
      <c r="D12918" s="1" t="str">
        <f>"41201-383-0035-KITH"</f>
        <v>41201-383-0035-KITH</v>
      </c>
      <c r="E12918" s="1" t="s">
        <v>4579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</row>
    <row r="12919" spans="1:11" x14ac:dyDescent="0.2">
      <c r="A12919" s="1" t="s">
        <v>2565</v>
      </c>
      <c r="B12919" s="1" t="s">
        <v>2654</v>
      </c>
      <c r="C12919" s="1" t="str">
        <f>"66298898518450"</f>
        <v>66298898518450</v>
      </c>
      <c r="D12919" s="1" t="str">
        <f>"41201-383-3637-K"</f>
        <v>41201-383-3637-K</v>
      </c>
      <c r="E12919" s="1" t="s">
        <v>4579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</row>
    <row r="12920" spans="1:11" x14ac:dyDescent="0.2">
      <c r="A12920" s="1" t="s">
        <v>2565</v>
      </c>
      <c r="B12920" s="1" t="s">
        <v>2655</v>
      </c>
      <c r="C12920" s="1" t="str">
        <f>"66298898471315"</f>
        <v>66298898471315</v>
      </c>
      <c r="D12920" s="1" t="str">
        <f>"41201-383-0037-K"</f>
        <v>41201-383-0037-K</v>
      </c>
      <c r="E12920" s="1" t="s">
        <v>4579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</row>
    <row r="12921" spans="1:11" x14ac:dyDescent="0.2">
      <c r="A12921" s="1" t="s">
        <v>2565</v>
      </c>
      <c r="B12921" s="1" t="s">
        <v>2656</v>
      </c>
      <c r="C12921" s="1" t="str">
        <f>"66298898560492"</f>
        <v>66298898560492</v>
      </c>
      <c r="D12921" s="1" t="str">
        <f>"41201-383-0038-K"</f>
        <v>41201-383-0038-K</v>
      </c>
      <c r="E12921" s="1" t="s">
        <v>4579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</row>
    <row r="12922" spans="1:11" x14ac:dyDescent="0.2">
      <c r="A12922" s="1" t="s">
        <v>2565</v>
      </c>
      <c r="B12922" s="1" t="s">
        <v>2657</v>
      </c>
      <c r="C12922" s="1" t="str">
        <f>"66298898605378"</f>
        <v>66298898605378</v>
      </c>
      <c r="D12922" s="1" t="str">
        <f>"41201-383-3643-K"</f>
        <v>41201-383-3643-K</v>
      </c>
      <c r="E12922" s="1" t="s">
        <v>4579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</row>
    <row r="12923" spans="1:11" x14ac:dyDescent="0.2">
      <c r="A12923" s="1" t="s">
        <v>2565</v>
      </c>
      <c r="B12923" s="1" t="s">
        <v>2658</v>
      </c>
      <c r="C12923" s="1" t="str">
        <f>"66298898654832"</f>
        <v>66298898654832</v>
      </c>
      <c r="D12923" s="1" t="str">
        <f>"41201-383-1638-K"</f>
        <v>41201-383-1638-K</v>
      </c>
      <c r="E12923" s="1" t="s">
        <v>4579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</row>
    <row r="12924" spans="1:11" x14ac:dyDescent="0.2">
      <c r="A12924" s="1" t="s">
        <v>2565</v>
      </c>
      <c r="B12924" s="1" t="s">
        <v>2659</v>
      </c>
      <c r="C12924" s="1" t="str">
        <f>"66298898699792"</f>
        <v>66298898699792</v>
      </c>
      <c r="D12924" s="1" t="str">
        <f>"41201-383-1639-K"</f>
        <v>41201-383-1639-K</v>
      </c>
      <c r="E12924" s="1" t="s">
        <v>4579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</row>
    <row r="12925" spans="1:11" x14ac:dyDescent="0.2">
      <c r="A12925" s="1" t="s">
        <v>2565</v>
      </c>
      <c r="B12925" s="1" t="s">
        <v>2660</v>
      </c>
      <c r="C12925" s="1" t="str">
        <f>"66298898744523"</f>
        <v>66298898744523</v>
      </c>
      <c r="D12925" s="1" t="str">
        <f>"41201-383-1739KI"</f>
        <v>41201-383-1739KI</v>
      </c>
      <c r="E12925" s="1" t="s">
        <v>4579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</row>
    <row r="12926" spans="1:11" x14ac:dyDescent="0.2">
      <c r="A12926" s="1" t="s">
        <v>2565</v>
      </c>
      <c r="B12926" s="1" t="s">
        <v>2661</v>
      </c>
      <c r="C12926" s="1" t="str">
        <f>"66298898786270"</f>
        <v>66298898786270</v>
      </c>
      <c r="D12926" s="1" t="str">
        <f>"PP-20400-000-KIT"</f>
        <v>PP-20400-000-KIT</v>
      </c>
      <c r="E12926" s="1" t="s">
        <v>4579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</row>
    <row r="12927" spans="1:11" ht="30" x14ac:dyDescent="0.2">
      <c r="A12927" s="1" t="s">
        <v>2565</v>
      </c>
      <c r="B12927" s="1" t="s">
        <v>2662</v>
      </c>
      <c r="C12927" s="1" t="str">
        <f>"41201-KGA-900-KI"</f>
        <v>41201-KGA-900-KI</v>
      </c>
      <c r="D12927" s="1" t="str">
        <f>"41201-KGA-900-KI"</f>
        <v>41201-KGA-900-KI</v>
      </c>
      <c r="E12927" s="1" t="s">
        <v>4579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</row>
    <row r="12928" spans="1:11" x14ac:dyDescent="0.2">
      <c r="A12928" s="1" t="s">
        <v>2565</v>
      </c>
      <c r="B12928" s="1" t="s">
        <v>2663</v>
      </c>
      <c r="C12928" s="1" t="str">
        <f>"41201-KRF-B40-KITH"</f>
        <v>41201-KRF-B40-KITH</v>
      </c>
      <c r="D12928" s="1" t="str">
        <f>"41201-KRF-B40-KITH"</f>
        <v>41201-KRF-B40-KITH</v>
      </c>
      <c r="E12928" s="1" t="s">
        <v>4579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</row>
    <row r="12929" spans="1:11" ht="30" x14ac:dyDescent="0.2">
      <c r="A12929" s="1" t="s">
        <v>2565</v>
      </c>
      <c r="B12929" s="1" t="s">
        <v>2664</v>
      </c>
      <c r="C12929" s="1" t="str">
        <f>"10000091476"</f>
        <v>10000091476</v>
      </c>
      <c r="D12929" s="1" t="str">
        <f>"10000091476"</f>
        <v>10000091476</v>
      </c>
      <c r="E12929" s="1" t="s">
        <v>4579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</row>
    <row r="12930" spans="1:11" ht="30" x14ac:dyDescent="0.2">
      <c r="A12930" s="1" t="s">
        <v>2565</v>
      </c>
      <c r="B12930" s="1" t="s">
        <v>2665</v>
      </c>
      <c r="C12930" s="1" t="str">
        <f>"64511-42A01-KITH-OR"</f>
        <v>64511-42A01-KITH-OR</v>
      </c>
      <c r="D12930" s="1" t="str">
        <f>"64511-42A01-KITH-OR"</f>
        <v>64511-42A01-KITH-OR</v>
      </c>
      <c r="E12930" s="1" t="s">
        <v>4579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</row>
    <row r="12931" spans="1:11" x14ac:dyDescent="0.2">
      <c r="A12931" s="1" t="s">
        <v>2565</v>
      </c>
      <c r="B12931" s="1" t="s">
        <v>2666</v>
      </c>
      <c r="C12931" s="1" t="str">
        <f>"64511-42A01-KITH"</f>
        <v>64511-42A01-KITH</v>
      </c>
      <c r="D12931" s="1" t="str">
        <f>"64511-42A01-KITH"</f>
        <v>64511-42A01-KITH</v>
      </c>
      <c r="E12931" s="1" t="s">
        <v>4579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</row>
    <row r="12932" spans="1:11" x14ac:dyDescent="0.2">
      <c r="A12932" s="1" t="s">
        <v>2565</v>
      </c>
      <c r="B12932" s="1" t="s">
        <v>2667</v>
      </c>
      <c r="C12932" s="1" t="str">
        <f>"10000091619"</f>
        <v>10000091619</v>
      </c>
      <c r="D12932" s="1" t="str">
        <f>"10000091619"</f>
        <v>10000091619</v>
      </c>
      <c r="E12932" s="1" t="s">
        <v>4579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</row>
    <row r="12933" spans="1:11" ht="30" x14ac:dyDescent="0.2">
      <c r="A12933" s="1" t="s">
        <v>2565</v>
      </c>
      <c r="B12933" s="1" t="s">
        <v>2668</v>
      </c>
      <c r="C12933" s="1" t="str">
        <f>"64511-45F00-KIT"</f>
        <v>64511-45F00-KIT</v>
      </c>
      <c r="D12933" s="1" t="str">
        <f>"64511-45F00-KIT"</f>
        <v>64511-45F00-KIT</v>
      </c>
      <c r="E12933" s="1" t="s">
        <v>4579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</row>
    <row r="12934" spans="1:11" ht="30" x14ac:dyDescent="0.2">
      <c r="A12934" s="1" t="s">
        <v>2565</v>
      </c>
      <c r="B12934" s="1" t="s">
        <v>2669</v>
      </c>
      <c r="C12934" s="1" t="str">
        <f>"10000091465"</f>
        <v>10000091465</v>
      </c>
      <c r="D12934" s="1" t="str">
        <f>"10000091465"</f>
        <v>10000091465</v>
      </c>
      <c r="E12934" s="1" t="s">
        <v>4579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</row>
    <row r="12935" spans="1:11" ht="30" x14ac:dyDescent="0.2">
      <c r="A12935" s="1" t="s">
        <v>2565</v>
      </c>
      <c r="B12935" s="1" t="s">
        <v>2670</v>
      </c>
      <c r="C12935" s="1" t="str">
        <f>"10000091196"</f>
        <v>10000091196</v>
      </c>
      <c r="D12935" s="1" t="str">
        <f>"10000091196"</f>
        <v>10000091196</v>
      </c>
      <c r="E12935" s="1" t="s">
        <v>4579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</row>
    <row r="12936" spans="1:11" x14ac:dyDescent="0.2">
      <c r="A12936" s="1" t="s">
        <v>2565</v>
      </c>
      <c r="B12936" s="1" t="s">
        <v>2671</v>
      </c>
      <c r="C12936" s="1" t="str">
        <f>"66298899038620"</f>
        <v>66298899038620</v>
      </c>
      <c r="D12936" s="1" t="str">
        <f>"45D-F5440-00-KIT"</f>
        <v>45D-F5440-00-KIT</v>
      </c>
      <c r="E12936" s="1" t="s">
        <v>4579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</row>
    <row r="12937" spans="1:11" x14ac:dyDescent="0.2">
      <c r="A12937" s="1" t="s">
        <v>2565</v>
      </c>
      <c r="B12937" s="1" t="s">
        <v>2672</v>
      </c>
      <c r="C12937" s="1" t="str">
        <f>"10000071909"</f>
        <v>10000071909</v>
      </c>
      <c r="D12937" s="1" t="str">
        <f>"10000071909"</f>
        <v>10000071909</v>
      </c>
      <c r="E12937" s="1" t="s">
        <v>4579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</row>
    <row r="12938" spans="1:11" ht="30" x14ac:dyDescent="0.2">
      <c r="A12938" s="1" t="s">
        <v>2565</v>
      </c>
      <c r="B12938" s="1" t="s">
        <v>2673</v>
      </c>
      <c r="C12938" s="1" t="str">
        <f>"64511-34J10-KITH"</f>
        <v>64511-34J10-KITH</v>
      </c>
      <c r="D12938" s="1" t="str">
        <f>"64511-34J10-KITH"</f>
        <v>64511-34J10-KITH</v>
      </c>
      <c r="E12938" s="1" t="s">
        <v>4579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</row>
    <row r="12939" spans="1:11" ht="30" x14ac:dyDescent="0.2">
      <c r="A12939" s="1" t="s">
        <v>2565</v>
      </c>
      <c r="B12939" s="1" t="s">
        <v>2673</v>
      </c>
      <c r="C12939" s="1" t="str">
        <f>"10000091387"</f>
        <v>10000091387</v>
      </c>
      <c r="D12939" s="1" t="str">
        <f>"10000091387"</f>
        <v>10000091387</v>
      </c>
      <c r="E12939" s="1" t="s">
        <v>4579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</row>
    <row r="12940" spans="1:11" x14ac:dyDescent="0.2">
      <c r="A12940" s="1" t="s">
        <v>2565</v>
      </c>
      <c r="B12940" s="1" t="s">
        <v>2674</v>
      </c>
      <c r="C12940" s="1" t="str">
        <f>"64511-0534-115-KITH"</f>
        <v>64511-0534-115-KITH</v>
      </c>
      <c r="D12940" s="1" t="str">
        <f>"64511-0534-115-KITH"</f>
        <v>64511-0534-115-KITH</v>
      </c>
      <c r="E12940" s="1" t="s">
        <v>4579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</row>
    <row r="12941" spans="1:11" ht="30" x14ac:dyDescent="0.2">
      <c r="A12941" s="1" t="s">
        <v>2565</v>
      </c>
      <c r="B12941" s="1" t="s">
        <v>2675</v>
      </c>
      <c r="C12941" s="1" t="str">
        <f>"64511-05338-KITH"</f>
        <v>64511-05338-KITH</v>
      </c>
      <c r="D12941" s="1" t="str">
        <f>"64511-05338-KITH"</f>
        <v>64511-05338-KITH</v>
      </c>
      <c r="E12941" s="1" t="s">
        <v>4579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</row>
    <row r="12942" spans="1:11" x14ac:dyDescent="0.2">
      <c r="A12942" s="1" t="s">
        <v>2565</v>
      </c>
      <c r="B12942" s="1" t="s">
        <v>2676</v>
      </c>
      <c r="C12942" s="1" t="str">
        <f>"64511-05310-15-K"</f>
        <v>64511-05310-15-K</v>
      </c>
      <c r="D12942" s="1" t="str">
        <f>"64511-05310-15-K"</f>
        <v>64511-05310-15-K</v>
      </c>
      <c r="E12942" s="1" t="s">
        <v>4579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</row>
    <row r="12943" spans="1:11" x14ac:dyDescent="0.2">
      <c r="A12943" s="1" t="s">
        <v>2565</v>
      </c>
      <c r="B12943" s="1" t="s">
        <v>2677</v>
      </c>
      <c r="C12943" s="1" t="str">
        <f>"64511-0533-815-KITH"</f>
        <v>64511-0533-815-KITH</v>
      </c>
      <c r="D12943" s="1" t="str">
        <f>"64511-0533-815-KITH"</f>
        <v>64511-0533-815-KITH</v>
      </c>
      <c r="E12943" s="1" t="s">
        <v>4579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</row>
    <row r="12944" spans="1:11" x14ac:dyDescent="0.2">
      <c r="A12944" s="1" t="s">
        <v>2565</v>
      </c>
      <c r="B12944" s="1" t="s">
        <v>2678</v>
      </c>
      <c r="C12944" s="1" t="str">
        <f>"64511-05341-KITH"</f>
        <v>64511-05341-KITH</v>
      </c>
      <c r="D12944" s="1" t="str">
        <f>"64511-05341-KITH"</f>
        <v>64511-05341-KITH</v>
      </c>
      <c r="E12944" s="1" t="s">
        <v>4579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</row>
    <row r="12945" spans="1:11" x14ac:dyDescent="0.2">
      <c r="A12945" s="1" t="s">
        <v>2565</v>
      </c>
      <c r="B12945" s="1" t="s">
        <v>2679</v>
      </c>
      <c r="C12945" s="1" t="str">
        <f>"66298899168962"</f>
        <v>66298899168962</v>
      </c>
      <c r="D12945" s="1" t="str">
        <f>"64511-05310-KIT"</f>
        <v>64511-05310-KIT</v>
      </c>
      <c r="E12945" s="1" t="s">
        <v>4579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</row>
    <row r="12946" spans="1:11" x14ac:dyDescent="0.2">
      <c r="A12946" s="1" t="s">
        <v>2565</v>
      </c>
      <c r="B12946" s="1" t="s">
        <v>2680</v>
      </c>
      <c r="C12946" s="1" t="str">
        <f>"64511-30H00-KITH"</f>
        <v>64511-30H00-KITH</v>
      </c>
      <c r="D12946" s="1" t="str">
        <f>"64511-30H00-KITH"</f>
        <v>64511-30H00-KITH</v>
      </c>
      <c r="E12946" s="1" t="s">
        <v>4579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</row>
    <row r="12947" spans="1:11" ht="30" x14ac:dyDescent="0.2">
      <c r="A12947" s="1" t="s">
        <v>2565</v>
      </c>
      <c r="B12947" s="1" t="s">
        <v>2681</v>
      </c>
      <c r="C12947" s="1" t="str">
        <f>"64511-01D04-KITH"</f>
        <v>64511-01D04-KITH</v>
      </c>
      <c r="D12947" s="1" t="str">
        <f>"64511-01D04-KITH"</f>
        <v>64511-01D04-KITH</v>
      </c>
      <c r="E12947" s="1" t="s">
        <v>4579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</row>
    <row r="12948" spans="1:11" ht="30" x14ac:dyDescent="0.2">
      <c r="A12948" s="1" t="s">
        <v>2565</v>
      </c>
      <c r="B12948" s="1" t="s">
        <v>2682</v>
      </c>
      <c r="C12948" s="1" t="str">
        <f>"64511-48H10-K/OR"</f>
        <v>64511-48H10-K/OR</v>
      </c>
      <c r="D12948" s="1" t="str">
        <f>"64511-48H10-K/OR"</f>
        <v>64511-48H10-K/OR</v>
      </c>
      <c r="E12948" s="1" t="s">
        <v>4579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</row>
    <row r="12949" spans="1:11" x14ac:dyDescent="0.2">
      <c r="A12949" s="1" t="s">
        <v>2565</v>
      </c>
      <c r="B12949" s="1" t="s">
        <v>2683</v>
      </c>
      <c r="C12949" s="1" t="str">
        <f>"64511-48040-KITJ"</f>
        <v>64511-48040-KITJ</v>
      </c>
      <c r="D12949" s="1" t="str">
        <f>"64511-48040-KITJ"</f>
        <v>64511-48040-KITJ</v>
      </c>
      <c r="E12949" s="1" t="s">
        <v>4579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</row>
    <row r="12950" spans="1:11" x14ac:dyDescent="0.2">
      <c r="A12950" s="1" t="s">
        <v>2565</v>
      </c>
      <c r="B12950" s="1" t="s">
        <v>2684</v>
      </c>
      <c r="C12950" s="1" t="str">
        <f>"64511-48048-KITH"</f>
        <v>64511-48048-KITH</v>
      </c>
      <c r="D12950" s="1" t="str">
        <f>"64511-48048-KITH"</f>
        <v>64511-48048-KITH</v>
      </c>
      <c r="E12950" s="1" t="s">
        <v>4579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</row>
    <row r="12951" spans="1:11" x14ac:dyDescent="0.2">
      <c r="A12951" s="1" t="s">
        <v>2565</v>
      </c>
      <c r="B12951" s="1" t="s">
        <v>2685</v>
      </c>
      <c r="C12951" s="1" t="str">
        <f>"10000091505"</f>
        <v>10000091505</v>
      </c>
      <c r="D12951" s="1" t="str">
        <f>"10000091505"</f>
        <v>10000091505</v>
      </c>
      <c r="E12951" s="1" t="s">
        <v>4579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</row>
    <row r="12952" spans="1:11" ht="30" x14ac:dyDescent="0.2">
      <c r="A12952" s="1" t="s">
        <v>2565</v>
      </c>
      <c r="B12952" s="1" t="s">
        <v>2686</v>
      </c>
      <c r="C12952" s="1" t="str">
        <f>"66298899471489"</f>
        <v>66298899471489</v>
      </c>
      <c r="D12952" s="1" t="str">
        <f>"EVO-20400-000KH"</f>
        <v>EVO-20400-000KH</v>
      </c>
      <c r="E12952" s="1" t="s">
        <v>4579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</row>
    <row r="12953" spans="1:11" x14ac:dyDescent="0.2">
      <c r="A12953" s="1" t="s">
        <v>2565</v>
      </c>
      <c r="B12953" s="1" t="s">
        <v>2687</v>
      </c>
      <c r="C12953" s="1" t="str">
        <f>"66298899512622"</f>
        <v>66298899512622</v>
      </c>
      <c r="D12953" s="1" t="str">
        <f>"SL-20400-000-KIT"</f>
        <v>SL-20400-000-KIT</v>
      </c>
      <c r="E12953" s="1" t="s">
        <v>4579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</row>
    <row r="12954" spans="1:11" x14ac:dyDescent="0.2">
      <c r="A12954" s="1" t="s">
        <v>2565</v>
      </c>
      <c r="B12954" s="1" t="s">
        <v>2688</v>
      </c>
      <c r="C12954" s="1" t="str">
        <f>"66298899559232"</f>
        <v>66298899559232</v>
      </c>
      <c r="D12954" s="1" t="str">
        <f>"41201-383-1543KI"</f>
        <v>41201-383-1543KI</v>
      </c>
      <c r="E12954" s="1" t="s">
        <v>4579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</row>
    <row r="12955" spans="1:11" x14ac:dyDescent="0.2">
      <c r="A12955" s="1" t="s">
        <v>2565</v>
      </c>
      <c r="B12955" s="1" t="s">
        <v>2689</v>
      </c>
      <c r="C12955" s="1" t="str">
        <f>"27600H3EY20H000"</f>
        <v>27600H3EY20H000</v>
      </c>
      <c r="D12955" s="1" t="str">
        <f>"27600H3EY20H000"</f>
        <v>27600H3EY20H000</v>
      </c>
      <c r="E12955" s="1" t="s">
        <v>4579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</row>
    <row r="12956" spans="1:11" x14ac:dyDescent="0.2">
      <c r="A12956" s="1" t="s">
        <v>2565</v>
      </c>
      <c r="B12956" s="1" t="s">
        <v>2690</v>
      </c>
      <c r="C12956" s="1" t="str">
        <f>"64511-05310-15-KITH"</f>
        <v>64511-05310-15-KITH</v>
      </c>
      <c r="D12956" s="1" t="str">
        <f>"64511-05310-15-KITH"</f>
        <v>64511-05310-15-KITH</v>
      </c>
      <c r="E12956" s="1" t="s">
        <v>4579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</row>
    <row r="12957" spans="1:11" ht="30" x14ac:dyDescent="0.2">
      <c r="A12957" s="1" t="s">
        <v>2565</v>
      </c>
      <c r="B12957" s="1" t="s">
        <v>2691</v>
      </c>
      <c r="C12957" s="1" t="str">
        <f>"SM-20400-000-KIT"</f>
        <v>SM-20400-000-KIT</v>
      </c>
      <c r="D12957" s="1" t="str">
        <f>"SM-20400-000-KIT"</f>
        <v>SM-20400-000-KIT</v>
      </c>
      <c r="E12957" s="1" t="s">
        <v>4579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</row>
    <row r="12958" spans="1:11" ht="30" x14ac:dyDescent="0.2">
      <c r="A12958" s="1" t="s">
        <v>2565</v>
      </c>
      <c r="B12958" s="1" t="s">
        <v>2692</v>
      </c>
      <c r="C12958" s="1" t="str">
        <f>"66298899602557"</f>
        <v>66298899602557</v>
      </c>
      <c r="D12958" s="1" t="str">
        <f>"XN-20400-999-KIT"</f>
        <v>XN-20400-999-KIT</v>
      </c>
      <c r="E12958" s="1" t="s">
        <v>4579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</row>
    <row r="12959" spans="1:11" x14ac:dyDescent="0.2">
      <c r="A12959" s="1" t="s">
        <v>2565</v>
      </c>
      <c r="B12959" s="1" t="s">
        <v>2693</v>
      </c>
      <c r="C12959" s="1" t="str">
        <f>"XN-20400-0015-KITH"</f>
        <v>XN-20400-0015-KITH</v>
      </c>
      <c r="D12959" s="1" t="str">
        <f>"XN-20400-0015-KITH"</f>
        <v>XN-20400-0015-KITH</v>
      </c>
      <c r="E12959" s="1" t="s">
        <v>4579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</row>
    <row r="12960" spans="1:11" ht="30" x14ac:dyDescent="0.2">
      <c r="A12960" s="1" t="s">
        <v>2565</v>
      </c>
      <c r="B12960" s="1" t="s">
        <v>2694</v>
      </c>
      <c r="C12960" s="1" t="str">
        <f>"12295"</f>
        <v>12295</v>
      </c>
      <c r="D12960" s="1" t="str">
        <f>"12295"</f>
        <v>12295</v>
      </c>
      <c r="E12960" s="1" t="s">
        <v>4579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</row>
    <row r="12961" spans="1:11" x14ac:dyDescent="0.2">
      <c r="A12961" s="1" t="s">
        <v>2565</v>
      </c>
      <c r="B12961" s="1" t="s">
        <v>2695</v>
      </c>
      <c r="C12961" s="1" t="str">
        <f>"66298899684026"</f>
        <v>66298899684026</v>
      </c>
      <c r="D12961" s="1" t="str">
        <f>"50002058-KITH"</f>
        <v>50002058-KITH</v>
      </c>
      <c r="E12961" s="1" t="s">
        <v>4579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</row>
    <row r="12962" spans="1:11" x14ac:dyDescent="0.2">
      <c r="A12962" s="1" t="s">
        <v>2565</v>
      </c>
      <c r="B12962" s="1" t="s">
        <v>2695</v>
      </c>
      <c r="C12962" s="1" t="str">
        <f>"10000091471"</f>
        <v>10000091471</v>
      </c>
      <c r="D12962" s="1" t="str">
        <f>"10000091471"</f>
        <v>10000091471</v>
      </c>
      <c r="E12962" s="1" t="s">
        <v>4579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</row>
    <row r="12963" spans="1:11" x14ac:dyDescent="0.2">
      <c r="A12963" s="1" t="s">
        <v>2565</v>
      </c>
      <c r="B12963" s="1" t="s">
        <v>2696</v>
      </c>
      <c r="C12963" s="1" t="str">
        <f>"41201-383-0040-K"</f>
        <v>41201-383-0040-K</v>
      </c>
      <c r="D12963" s="1" t="str">
        <f>"41201-383-0040-K"</f>
        <v>41201-383-0040-K</v>
      </c>
      <c r="E12963" s="1" t="s">
        <v>4579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</row>
    <row r="12964" spans="1:11" ht="30" x14ac:dyDescent="0.2">
      <c r="A12964" s="1" t="s">
        <v>2565</v>
      </c>
      <c r="B12964" s="1" t="s">
        <v>2697</v>
      </c>
      <c r="C12964" s="1" t="str">
        <f>"41201-KVE-915KIT"</f>
        <v>41201-KVE-915KIT</v>
      </c>
      <c r="D12964" s="1" t="str">
        <f>"41201-KVE-915KIT"</f>
        <v>41201-KVE-915KIT</v>
      </c>
      <c r="E12964" s="1" t="s">
        <v>4579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</row>
    <row r="12965" spans="1:11" x14ac:dyDescent="0.2">
      <c r="A12965" s="1" t="s">
        <v>2565</v>
      </c>
      <c r="B12965" s="1" t="s">
        <v>2698</v>
      </c>
      <c r="C12965" s="1" t="str">
        <f>"27600H40Y00H000"</f>
        <v>27600H40Y00H000</v>
      </c>
      <c r="D12965" s="1" t="str">
        <f>"27600H40Y00H000"</f>
        <v>27600H40Y00H000</v>
      </c>
      <c r="E12965" s="1" t="s">
        <v>4579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</row>
    <row r="12966" spans="1:11" ht="30" x14ac:dyDescent="0.2">
      <c r="A12966" s="1" t="s">
        <v>2565</v>
      </c>
      <c r="B12966" s="1" t="s">
        <v>2699</v>
      </c>
      <c r="C12966" s="1" t="str">
        <f>"10000071848"</f>
        <v>10000071848</v>
      </c>
      <c r="D12966" s="1" t="str">
        <f>"10000071848"</f>
        <v>10000071848</v>
      </c>
      <c r="E12966" s="1" t="s">
        <v>4579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</row>
    <row r="12967" spans="1:11" ht="30" x14ac:dyDescent="0.2">
      <c r="A12967" s="1" t="s">
        <v>2565</v>
      </c>
      <c r="B12967" s="1" t="s">
        <v>2700</v>
      </c>
      <c r="C12967" s="1" t="str">
        <f>"41201-KSM-900-KITH"</f>
        <v>41201-KSM-900-KITH</v>
      </c>
      <c r="D12967" s="1" t="str">
        <f>"41201-KSM-900-KITH"</f>
        <v>41201-KSM-900-KITH</v>
      </c>
      <c r="E12967" s="1" t="s">
        <v>4579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</row>
    <row r="12968" spans="1:11" ht="30" x14ac:dyDescent="0.2">
      <c r="A12968" s="1" t="s">
        <v>2565</v>
      </c>
      <c r="B12968" s="1" t="s">
        <v>2701</v>
      </c>
      <c r="C12968" s="1" t="str">
        <f>"64511-05310-16-KITH"</f>
        <v>64511-05310-16-KITH</v>
      </c>
      <c r="D12968" s="1" t="str">
        <f>"64511-05310-16-KITH"</f>
        <v>64511-05310-16-KITH</v>
      </c>
      <c r="E12968" s="1" t="s">
        <v>4579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</row>
    <row r="12969" spans="1:11" ht="30" x14ac:dyDescent="0.2">
      <c r="A12969" s="1" t="s">
        <v>2565</v>
      </c>
      <c r="B12969" s="1" t="s">
        <v>2702</v>
      </c>
      <c r="C12969" s="1" t="str">
        <f>"66298899806225"</f>
        <v>66298899806225</v>
      </c>
      <c r="D12969" s="1" t="str">
        <f>"36-JE00-07-KITH"</f>
        <v>36-JE00-07-KITH</v>
      </c>
      <c r="E12969" s="1" t="s">
        <v>4579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</row>
    <row r="12970" spans="1:11" x14ac:dyDescent="0.2">
      <c r="A12970" s="1" t="s">
        <v>2565</v>
      </c>
      <c r="B12970" s="1" t="s">
        <v>2703</v>
      </c>
      <c r="C12970" s="1" t="str">
        <f>"10000091501"</f>
        <v>10000091501</v>
      </c>
      <c r="D12970" s="1" t="str">
        <f>"10000091501"</f>
        <v>10000091501</v>
      </c>
      <c r="E12970" s="1" t="s">
        <v>4579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</row>
    <row r="12971" spans="1:11" x14ac:dyDescent="0.2">
      <c r="A12971" s="1" t="s">
        <v>2565</v>
      </c>
      <c r="B12971" s="1" t="s">
        <v>2704</v>
      </c>
      <c r="C12971" s="1" t="str">
        <f>"10000091396"</f>
        <v>10000091396</v>
      </c>
      <c r="D12971" s="1" t="str">
        <f>"10000091396"</f>
        <v>10000091396</v>
      </c>
      <c r="E12971" s="1" t="s">
        <v>4579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</row>
    <row r="12972" spans="1:11" ht="30" x14ac:dyDescent="0.2">
      <c r="A12972" s="1" t="s">
        <v>2565</v>
      </c>
      <c r="B12972" s="1" t="s">
        <v>2705</v>
      </c>
      <c r="C12972" s="1" t="str">
        <f>"36-JF00-06-KITH"</f>
        <v>36-JF00-06-KITH</v>
      </c>
      <c r="D12972" s="1" t="str">
        <f>"36-JF00-06-KITH"</f>
        <v>36-JF00-06-KITH</v>
      </c>
      <c r="E12972" s="1" t="s">
        <v>4579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</row>
    <row r="12973" spans="1:11" x14ac:dyDescent="0.2">
      <c r="A12973" s="1" t="s">
        <v>2565</v>
      </c>
      <c r="B12973" s="1" t="s">
        <v>2706</v>
      </c>
      <c r="C12973" s="1" t="str">
        <f>"66298899849666"</f>
        <v>66298899849666</v>
      </c>
      <c r="D12973" s="1" t="str">
        <f>"36-DK00-36-KITH"</f>
        <v>36-DK00-36-KITH</v>
      </c>
      <c r="E12973" s="1" t="s">
        <v>4579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</row>
    <row r="12974" spans="1:11" x14ac:dyDescent="0.2">
      <c r="A12974" s="1" t="s">
        <v>2565</v>
      </c>
      <c r="B12974" s="1" t="s">
        <v>2706</v>
      </c>
      <c r="C12974" s="1" t="str">
        <f>"66298899855346"</f>
        <v>66298899855346</v>
      </c>
      <c r="D12974" s="1" t="str">
        <f>"DX-1510-23-KITH"</f>
        <v>DX-1510-23-KITH</v>
      </c>
      <c r="E12974" s="1" t="s">
        <v>4579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</row>
    <row r="12975" spans="1:11" ht="30" x14ac:dyDescent="0.2">
      <c r="A12975" s="1" t="s">
        <v>2565</v>
      </c>
      <c r="B12975" s="1" t="s">
        <v>2707</v>
      </c>
      <c r="C12975" s="1" t="str">
        <f>"66298899909046"</f>
        <v>66298899909046</v>
      </c>
      <c r="D12975" s="1" t="str">
        <f>"DJ-1510-18-KITH"</f>
        <v>DJ-1510-18-KITH</v>
      </c>
      <c r="E12975" s="1" t="s">
        <v>4579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</row>
    <row r="12976" spans="1:11" x14ac:dyDescent="0.2">
      <c r="A12976" s="1" t="s">
        <v>2565</v>
      </c>
      <c r="B12976" s="1" t="s">
        <v>2708</v>
      </c>
      <c r="C12976" s="1" t="str">
        <f>"10000091391"</f>
        <v>10000091391</v>
      </c>
      <c r="D12976" s="1" t="str">
        <f>"10000091391"</f>
        <v>10000091391</v>
      </c>
      <c r="E12976" s="1" t="s">
        <v>4579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</row>
    <row r="12977" spans="1:11" x14ac:dyDescent="0.2">
      <c r="A12977" s="1" t="s">
        <v>2565</v>
      </c>
      <c r="B12977" s="1" t="s">
        <v>2709</v>
      </c>
      <c r="C12977" s="1" t="str">
        <f>"66298899948017"</f>
        <v>66298899948017</v>
      </c>
      <c r="D12977" s="1" t="str">
        <f>"36-DK00-40-KITH"</f>
        <v>36-DK00-40-KITH</v>
      </c>
      <c r="E12977" s="1" t="s">
        <v>4579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</row>
    <row r="12978" spans="1:11" x14ac:dyDescent="0.2">
      <c r="A12978" s="1" t="s">
        <v>2565</v>
      </c>
      <c r="B12978" s="1" t="s">
        <v>2710</v>
      </c>
      <c r="C12978" s="1" t="str">
        <f>"10000091381"</f>
        <v>10000091381</v>
      </c>
      <c r="D12978" s="1" t="str">
        <f>"10000091381"</f>
        <v>10000091381</v>
      </c>
      <c r="E12978" s="1" t="s">
        <v>4579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</row>
    <row r="12979" spans="1:11" ht="30" x14ac:dyDescent="0.2">
      <c r="A12979" s="1" t="s">
        <v>2565</v>
      </c>
      <c r="B12979" s="1" t="s">
        <v>2711</v>
      </c>
      <c r="C12979" s="1" t="str">
        <f>"64511-05310-0016-KITH"</f>
        <v>64511-05310-0016-KITH</v>
      </c>
      <c r="D12979" s="1" t="str">
        <f>"64511-05310-0016-KITH"</f>
        <v>64511-05310-0016-KITH</v>
      </c>
      <c r="E12979" s="1" t="s">
        <v>4579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</row>
    <row r="12980" spans="1:11" x14ac:dyDescent="0.2">
      <c r="A12980" s="1" t="s">
        <v>2565</v>
      </c>
      <c r="B12980" s="1" t="s">
        <v>2712</v>
      </c>
      <c r="C12980" s="1" t="str">
        <f>"66298899990620"</f>
        <v>66298899990620</v>
      </c>
      <c r="D12980" s="1" t="str">
        <f>"41201-KVC-915KIT"</f>
        <v>41201-KVC-915KIT</v>
      </c>
      <c r="E12980" s="1" t="s">
        <v>4579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</row>
    <row r="12981" spans="1:11" x14ac:dyDescent="0.2">
      <c r="A12981" s="1" t="s">
        <v>2565</v>
      </c>
      <c r="B12981" s="1" t="s">
        <v>2712</v>
      </c>
      <c r="C12981" s="1" t="str">
        <f>"66298899996424"</f>
        <v>66298899996424</v>
      </c>
      <c r="D12981" s="1" t="str">
        <f>"41201-KVC-900KIT"</f>
        <v>41201-KVC-900KIT</v>
      </c>
      <c r="E12981" s="1" t="s">
        <v>4579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</row>
    <row r="12982" spans="1:11" x14ac:dyDescent="0.2">
      <c r="A12982" s="1" t="s">
        <v>2565</v>
      </c>
      <c r="B12982" s="1" t="s">
        <v>2713</v>
      </c>
      <c r="C12982" s="1" t="str">
        <f>"66298900050635"</f>
        <v>66298900050635</v>
      </c>
      <c r="D12982" s="1" t="str">
        <f>"5GE-F5437-00-KIT"</f>
        <v>5GE-F5437-00-KIT</v>
      </c>
      <c r="E12982" s="1" t="s">
        <v>4579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</row>
    <row r="12983" spans="1:11" ht="30" x14ac:dyDescent="0.2">
      <c r="A12983" s="1" t="s">
        <v>2565</v>
      </c>
      <c r="B12983" s="1" t="s">
        <v>2714</v>
      </c>
      <c r="C12983" s="1" t="str">
        <f>"N9111560-KITH"</f>
        <v>N9111560-KITH</v>
      </c>
      <c r="D12983" s="1" t="str">
        <f>"N9111560-KITH"</f>
        <v>N9111560-KITH</v>
      </c>
      <c r="E12983" s="1" t="s">
        <v>4579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</row>
    <row r="12984" spans="1:11" ht="30" x14ac:dyDescent="0.2">
      <c r="A12984" s="1" t="s">
        <v>2565</v>
      </c>
      <c r="B12984" s="1" t="s">
        <v>2715</v>
      </c>
      <c r="C12984" s="1" t="str">
        <f>"N8323690-KIT"</f>
        <v>N8323690-KIT</v>
      </c>
      <c r="D12984" s="1" t="str">
        <f>"N8323690-KIT"</f>
        <v>N8323690-KIT</v>
      </c>
      <c r="E12984" s="1" t="s">
        <v>4579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</row>
    <row r="12985" spans="1:11" x14ac:dyDescent="0.2">
      <c r="A12985" s="1" t="s">
        <v>2565</v>
      </c>
      <c r="B12985" s="1" t="s">
        <v>2716</v>
      </c>
      <c r="C12985" s="1" t="str">
        <f>"66298900091241"</f>
        <v>66298900091241</v>
      </c>
      <c r="D12985" s="1" t="str">
        <f>"TX-20400-000-KIT"</f>
        <v>TX-20400-000-KIT</v>
      </c>
      <c r="E12985" s="1" t="s">
        <v>4579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</row>
    <row r="12986" spans="1:11" x14ac:dyDescent="0.2">
      <c r="A12986" s="1" t="s">
        <v>2565</v>
      </c>
      <c r="B12986" s="1" t="s">
        <v>2717</v>
      </c>
      <c r="C12986" s="1" t="str">
        <f>"66298900132692"</f>
        <v>66298900132692</v>
      </c>
      <c r="D12986" s="1" t="str">
        <f>"TX-20400-017-KIT"</f>
        <v>TX-20400-017-KIT</v>
      </c>
      <c r="E12986" s="1" t="s">
        <v>4579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</row>
    <row r="12987" spans="1:11" ht="30" x14ac:dyDescent="0.2">
      <c r="A12987" s="1" t="s">
        <v>2565</v>
      </c>
      <c r="B12987" s="1" t="s">
        <v>2718</v>
      </c>
      <c r="C12987" s="1" t="str">
        <f>"41200-K43-900-KITH"</f>
        <v>41200-K43-900-KITH</v>
      </c>
      <c r="D12987" s="1" t="str">
        <f>"41200-K43-900-KITH"</f>
        <v>41200-K43-900-KITH</v>
      </c>
      <c r="E12987" s="1" t="s">
        <v>4579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</row>
    <row r="12988" spans="1:11" x14ac:dyDescent="0.2">
      <c r="A12988" s="1" t="s">
        <v>2565</v>
      </c>
      <c r="B12988" s="1" t="s">
        <v>2719</v>
      </c>
      <c r="C12988" s="1" t="str">
        <f>"66298900176462"</f>
        <v>66298900176462</v>
      </c>
      <c r="D12988" s="1" t="str">
        <f>"41200-437-670KIT"</f>
        <v>41200-437-670KIT</v>
      </c>
      <c r="E12988" s="1" t="s">
        <v>4579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</row>
    <row r="12989" spans="1:11" x14ac:dyDescent="0.2">
      <c r="A12989" s="1" t="s">
        <v>2565</v>
      </c>
      <c r="B12989" s="1" t="s">
        <v>2720</v>
      </c>
      <c r="C12989" s="1" t="str">
        <f>"66298900221936"</f>
        <v>66298900221936</v>
      </c>
      <c r="D12989" s="1" t="str">
        <f>"41200-427-670-KI"</f>
        <v>41200-427-670-KI</v>
      </c>
      <c r="E12989" s="1" t="s">
        <v>4579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</row>
    <row r="12990" spans="1:11" x14ac:dyDescent="0.2">
      <c r="A12990" s="1" t="s">
        <v>2565</v>
      </c>
      <c r="B12990" s="1" t="s">
        <v>2721</v>
      </c>
      <c r="C12990" s="1" t="str">
        <f>"66298900261145"</f>
        <v>66298900261145</v>
      </c>
      <c r="D12990" s="1" t="str">
        <f>"41200-KFC-900KIT"</f>
        <v>41200-KFC-900KIT</v>
      </c>
      <c r="E12990" s="1" t="s">
        <v>4579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</row>
    <row r="12991" spans="1:11" x14ac:dyDescent="0.2">
      <c r="A12991" s="1" t="s">
        <v>2565</v>
      </c>
      <c r="B12991" s="1" t="s">
        <v>2722</v>
      </c>
      <c r="C12991" s="1" t="str">
        <f>"10000091175"</f>
        <v>10000091175</v>
      </c>
      <c r="D12991" s="1" t="str">
        <f>"10000091175"</f>
        <v>10000091175</v>
      </c>
      <c r="E12991" s="1" t="s">
        <v>4579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</row>
    <row r="12992" spans="1:11" x14ac:dyDescent="0.2">
      <c r="A12992" s="1" t="s">
        <v>2565</v>
      </c>
      <c r="B12992" s="1" t="s">
        <v>2723</v>
      </c>
      <c r="C12992" s="1" t="str">
        <f>"66298900307202"</f>
        <v>66298900307202</v>
      </c>
      <c r="D12992" s="1" t="str">
        <f>"41200-KBB-900KIT"</f>
        <v>41200-KBB-900KIT</v>
      </c>
      <c r="E12992" s="1" t="s">
        <v>4579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</row>
    <row r="12993" spans="1:11" x14ac:dyDescent="0.2">
      <c r="A12993" s="1" t="s">
        <v>2565</v>
      </c>
      <c r="B12993" s="1" t="s">
        <v>2724</v>
      </c>
      <c r="C12993" s="1" t="str">
        <f>"66298900691637"</f>
        <v>66298900691637</v>
      </c>
      <c r="D12993" s="1" t="str">
        <f>"41201-KPE-900KIT"</f>
        <v>41201-KPE-900KIT</v>
      </c>
      <c r="E12993" s="1" t="s">
        <v>4579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</row>
    <row r="12994" spans="1:11" x14ac:dyDescent="0.2">
      <c r="A12994" s="1" t="s">
        <v>2565</v>
      </c>
      <c r="B12994" s="1" t="s">
        <v>2725</v>
      </c>
      <c r="C12994" s="1" t="str">
        <f>"10000091051"</f>
        <v>10000091051</v>
      </c>
      <c r="D12994" s="1" t="str">
        <f>"10000091051"</f>
        <v>10000091051</v>
      </c>
      <c r="E12994" s="1" t="s">
        <v>4579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</row>
    <row r="12995" spans="1:11" x14ac:dyDescent="0.2">
      <c r="A12995" s="1" t="s">
        <v>2565</v>
      </c>
      <c r="B12995" s="1" t="s">
        <v>2726</v>
      </c>
      <c r="C12995" s="1" t="str">
        <f>"66298900729332"</f>
        <v>66298900729332</v>
      </c>
      <c r="D12995" s="1" t="str">
        <f>"4VW-F5445-11-KIT"</f>
        <v>4VW-F5445-11-KIT</v>
      </c>
      <c r="E12995" s="1" t="s">
        <v>4579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</row>
    <row r="12996" spans="1:11" x14ac:dyDescent="0.2">
      <c r="A12996" s="1" t="s">
        <v>2565</v>
      </c>
      <c r="B12996" s="1" t="s">
        <v>2727</v>
      </c>
      <c r="C12996" s="1" t="str">
        <f>"3B2-F5450-20-KITH"</f>
        <v>3B2-F5450-20-KITH</v>
      </c>
      <c r="D12996" s="1" t="str">
        <f>"3B2-F5450-20-KITH"</f>
        <v>3B2-F5450-20-KITH</v>
      </c>
      <c r="E12996" s="1" t="s">
        <v>4579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</row>
    <row r="12997" spans="1:11" x14ac:dyDescent="0.2">
      <c r="A12997" s="1" t="s">
        <v>2565</v>
      </c>
      <c r="B12997" s="1" t="s">
        <v>2727</v>
      </c>
      <c r="C12997" s="1" t="str">
        <f>"12307"</f>
        <v>12307</v>
      </c>
      <c r="D12997" s="1" t="str">
        <f>"12307"</f>
        <v>12307</v>
      </c>
      <c r="E12997" s="1" t="s">
        <v>4579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</row>
    <row r="12998" spans="1:11" x14ac:dyDescent="0.2">
      <c r="A12998" s="1" t="s">
        <v>2565</v>
      </c>
      <c r="B12998" s="1" t="s">
        <v>2728</v>
      </c>
      <c r="C12998" s="1" t="str">
        <f>"12297"</f>
        <v>12297</v>
      </c>
      <c r="D12998" s="1" t="str">
        <f>"12297"</f>
        <v>12297</v>
      </c>
      <c r="E12998" s="1" t="s">
        <v>4579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</row>
    <row r="12999" spans="1:11" x14ac:dyDescent="0.2">
      <c r="A12999" s="1" t="s">
        <v>2565</v>
      </c>
      <c r="B12999" s="1" t="s">
        <v>2729</v>
      </c>
      <c r="C12999" s="1" t="str">
        <f>"10000091161"</f>
        <v>10000091161</v>
      </c>
      <c r="D12999" s="1" t="str">
        <f>"10000091161"</f>
        <v>10000091161</v>
      </c>
      <c r="E12999" s="1" t="s">
        <v>4579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</row>
    <row r="13000" spans="1:11" x14ac:dyDescent="0.2">
      <c r="A13000" s="1" t="s">
        <v>2565</v>
      </c>
      <c r="B13000" s="1" t="s">
        <v>2730</v>
      </c>
      <c r="C13000" s="1" t="str">
        <f>"66298900774980"</f>
        <v>66298900774980</v>
      </c>
      <c r="D13000" s="1" t="str">
        <f>"1ED-F5440-00-KIT"</f>
        <v>1ED-F5440-00-KIT</v>
      </c>
      <c r="E13000" s="1" t="s">
        <v>4579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</row>
    <row r="13001" spans="1:11" x14ac:dyDescent="0.2">
      <c r="A13001" s="1" t="s">
        <v>2565</v>
      </c>
      <c r="B13001" s="1" t="s">
        <v>2730</v>
      </c>
      <c r="C13001" s="1" t="str">
        <f>"66298900781872"</f>
        <v>66298900781872</v>
      </c>
      <c r="D13001" s="1" t="str">
        <f>"4B4-F5446-20-KIT"</f>
        <v>4B4-F5446-20-KIT</v>
      </c>
      <c r="E13001" s="1" t="s">
        <v>4579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</row>
    <row r="13002" spans="1:11" x14ac:dyDescent="0.2">
      <c r="A13002" s="1" t="s">
        <v>2565</v>
      </c>
      <c r="B13002" s="1" t="s">
        <v>2731</v>
      </c>
      <c r="C13002" s="1" t="str">
        <f>"66298900877522"</f>
        <v>66298900877522</v>
      </c>
      <c r="D13002" s="1" t="str">
        <f>"22P-F5445-00-KIT"</f>
        <v>22P-F5445-00-KIT</v>
      </c>
      <c r="E13002" s="1" t="s">
        <v>4579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</row>
    <row r="13003" spans="1:11" x14ac:dyDescent="0.2">
      <c r="A13003" s="1" t="s">
        <v>2565</v>
      </c>
      <c r="B13003" s="1" t="s">
        <v>2732</v>
      </c>
      <c r="C13003" s="1" t="str">
        <f>"66298900834470"</f>
        <v>66298900834470</v>
      </c>
      <c r="D13003" s="1" t="str">
        <f>"5VL-F5445-00KIT"</f>
        <v>5VL-F5445-00KIT</v>
      </c>
      <c r="E13003" s="1" t="s">
        <v>4579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</row>
    <row r="13004" spans="1:11" x14ac:dyDescent="0.2">
      <c r="A13004" s="1" t="s">
        <v>2565</v>
      </c>
      <c r="B13004" s="1" t="s">
        <v>2733</v>
      </c>
      <c r="C13004" s="1" t="str">
        <f>"10000071907"</f>
        <v>10000071907</v>
      </c>
      <c r="D13004" s="1" t="str">
        <f>"10000071907"</f>
        <v>10000071907</v>
      </c>
      <c r="E13004" s="1" t="s">
        <v>4579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</row>
    <row r="13005" spans="1:11" x14ac:dyDescent="0.2">
      <c r="A13005" s="1" t="s">
        <v>2565</v>
      </c>
      <c r="B13005" s="1" t="s">
        <v>2734</v>
      </c>
      <c r="C13005" s="1" t="str">
        <f>"5PC-F5443-00-KITH"</f>
        <v>5PC-F5443-00-KITH</v>
      </c>
      <c r="D13005" s="1" t="str">
        <f>"5PC-F5443-00-KITH"</f>
        <v>5PC-F5443-00-KITH</v>
      </c>
      <c r="E13005" s="1" t="s">
        <v>4579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</row>
    <row r="13006" spans="1:11" ht="30" x14ac:dyDescent="0.2">
      <c r="A13006" s="1" t="s">
        <v>2565</v>
      </c>
      <c r="B13006" s="1" t="s">
        <v>2735</v>
      </c>
      <c r="C13006" s="1" t="str">
        <f>"5C9-F5444-00-KITH"</f>
        <v>5C9-F5444-00-KITH</v>
      </c>
      <c r="D13006" s="1" t="str">
        <f>"5C9-F5444-00-KITH"</f>
        <v>5C9-F5444-00-KITH</v>
      </c>
      <c r="E13006" s="1" t="s">
        <v>4579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</row>
    <row r="13007" spans="1:11" ht="30" x14ac:dyDescent="0.2">
      <c r="A13007" s="1" t="s">
        <v>2565</v>
      </c>
      <c r="B13007" s="1" t="s">
        <v>2736</v>
      </c>
      <c r="C13007" s="1" t="str">
        <f>"66298900922408"</f>
        <v>66298900922408</v>
      </c>
      <c r="D13007" s="1" t="str">
        <f>"12B-F5445-20KITH"</f>
        <v>12B-F5445-20KITH</v>
      </c>
      <c r="E13007" s="1" t="s">
        <v>4579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</row>
    <row r="13008" spans="1:11" x14ac:dyDescent="0.2">
      <c r="A13008" s="1" t="s">
        <v>2565</v>
      </c>
      <c r="B13008" s="1" t="s">
        <v>2737</v>
      </c>
      <c r="C13008" s="1" t="str">
        <f>"10000091310"</f>
        <v>10000091310</v>
      </c>
      <c r="D13008" s="1" t="str">
        <f>"10000091310"</f>
        <v>10000091310</v>
      </c>
      <c r="E13008" s="1" t="s">
        <v>4579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</row>
    <row r="13009" spans="1:11" x14ac:dyDescent="0.2">
      <c r="A13009" s="1" t="s">
        <v>2565</v>
      </c>
      <c r="B13009" s="1" t="s">
        <v>2738</v>
      </c>
      <c r="C13009" s="1" t="str">
        <f>"10000091188"</f>
        <v>10000091188</v>
      </c>
      <c r="D13009" s="1" t="str">
        <f>"10000091188"</f>
        <v>10000091188</v>
      </c>
      <c r="E13009" s="1" t="s">
        <v>4579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</row>
    <row r="13010" spans="1:11" x14ac:dyDescent="0.2">
      <c r="A13010" s="1" t="s">
        <v>2565</v>
      </c>
      <c r="B13010" s="1" t="s">
        <v>2739</v>
      </c>
      <c r="C13010" s="1" t="str">
        <f>"66298900963743"</f>
        <v>66298900963743</v>
      </c>
      <c r="D13010" s="1" t="str">
        <f>"1WD-F5443-00KITH"</f>
        <v>1WD-F5443-00KITH</v>
      </c>
      <c r="E13010" s="1" t="s">
        <v>4579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</row>
    <row r="13011" spans="1:11" x14ac:dyDescent="0.2">
      <c r="A13011" s="1" t="s">
        <v>18</v>
      </c>
      <c r="B13011" s="1" t="s">
        <v>2740</v>
      </c>
      <c r="C13011" s="1" t="str">
        <f>"100814"</f>
        <v>100814</v>
      </c>
      <c r="D13011" s="1" t="str">
        <f>"100814"</f>
        <v>100814</v>
      </c>
      <c r="E13011" s="1" t="s">
        <v>4579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</row>
    <row r="13012" spans="1:11" x14ac:dyDescent="0.2">
      <c r="A13012" s="1" t="s">
        <v>98</v>
      </c>
      <c r="B13012" s="1" t="s">
        <v>2741</v>
      </c>
      <c r="C13012" s="1" t="str">
        <f>"66298901004784"</f>
        <v>66298901004784</v>
      </c>
      <c r="D13012" s="1" t="str">
        <f>"83726"</f>
        <v>83726</v>
      </c>
      <c r="E13012" s="1" t="s">
        <v>4579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</row>
    <row r="13013" spans="1:11" x14ac:dyDescent="0.2">
      <c r="A13013" s="1" t="s">
        <v>98</v>
      </c>
      <c r="B13013" s="1" t="s">
        <v>2742</v>
      </c>
      <c r="C13013" s="1" t="str">
        <f>"66298901043372"</f>
        <v>66298901043372</v>
      </c>
      <c r="D13013" s="1" t="str">
        <f>"84894"</f>
        <v>84894</v>
      </c>
      <c r="E13013" s="1" t="s">
        <v>4579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</row>
    <row r="13014" spans="1:11" x14ac:dyDescent="0.2">
      <c r="A13014" s="1" t="s">
        <v>15</v>
      </c>
      <c r="B13014" s="1" t="s">
        <v>2743</v>
      </c>
      <c r="C13014" s="1" t="str">
        <f>"99670"</f>
        <v>99670</v>
      </c>
      <c r="D13014" s="1" t="str">
        <f>"99670"</f>
        <v>99670</v>
      </c>
      <c r="E13014" s="1" t="s">
        <v>4579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</row>
    <row r="13015" spans="1:11" x14ac:dyDescent="0.2">
      <c r="A13015" s="1" t="s">
        <v>15</v>
      </c>
      <c r="B13015" s="1" t="s">
        <v>2744</v>
      </c>
      <c r="C13015" s="1" t="str">
        <f>"66298901086136"</f>
        <v>66298901086136</v>
      </c>
      <c r="D13015" s="1" t="str">
        <f>"702001"</f>
        <v>702001</v>
      </c>
      <c r="E13015" s="1" t="s">
        <v>4579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</row>
    <row r="13016" spans="1:11" x14ac:dyDescent="0.2">
      <c r="A13016" s="1" t="s">
        <v>15</v>
      </c>
      <c r="B13016" s="1" t="s">
        <v>2745</v>
      </c>
      <c r="C13016" s="1" t="str">
        <f>"LIMP-MEGA"</f>
        <v>LIMP-MEGA</v>
      </c>
      <c r="D13016" s="1" t="str">
        <f>"LIMP-MEGA"</f>
        <v>LIMP-MEGA</v>
      </c>
      <c r="E13016" s="1" t="s">
        <v>4579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</row>
    <row r="13017" spans="1:11" x14ac:dyDescent="0.2">
      <c r="A13017" s="1" t="s">
        <v>15</v>
      </c>
      <c r="B13017" s="1" t="s">
        <v>2746</v>
      </c>
      <c r="C13017" s="1" t="str">
        <f>"11601"</f>
        <v>11601</v>
      </c>
      <c r="D13017" s="1" t="str">
        <f>"11601"</f>
        <v>11601</v>
      </c>
      <c r="E13017" s="1" t="s">
        <v>4579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</row>
    <row r="13018" spans="1:11" x14ac:dyDescent="0.2">
      <c r="A13018" s="1" t="s">
        <v>15</v>
      </c>
      <c r="B13018" s="1" t="s">
        <v>2747</v>
      </c>
      <c r="C13018" s="1" t="str">
        <f>"CONT-MEGA"</f>
        <v>CONT-MEGA</v>
      </c>
      <c r="D13018" s="1" t="str">
        <f>"CONT-MEGA"</f>
        <v>CONT-MEGA</v>
      </c>
      <c r="E13018" s="1" t="s">
        <v>4579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</row>
    <row r="13019" spans="1:11" x14ac:dyDescent="0.2">
      <c r="A13019" s="1" t="s">
        <v>15</v>
      </c>
      <c r="B13019" s="1" t="s">
        <v>2748</v>
      </c>
      <c r="C13019" s="1" t="str">
        <f>"REX-3906"</f>
        <v>REX-3906</v>
      </c>
      <c r="D13019" s="1" t="str">
        <f>"REX-3906"</f>
        <v>REX-3906</v>
      </c>
      <c r="E13019" s="1" t="s">
        <v>4579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</row>
    <row r="13020" spans="1:11" x14ac:dyDescent="0.2">
      <c r="A13020" s="1" t="s">
        <v>15</v>
      </c>
      <c r="B13020" s="1" t="s">
        <v>2749</v>
      </c>
      <c r="C13020" s="1" t="str">
        <f>"11602"</f>
        <v>11602</v>
      </c>
      <c r="D13020" s="1" t="str">
        <f>"11602"</f>
        <v>11602</v>
      </c>
      <c r="E13020" s="1" t="s">
        <v>4579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</row>
    <row r="13021" spans="1:11" x14ac:dyDescent="0.2">
      <c r="A13021" s="1" t="s">
        <v>15</v>
      </c>
      <c r="B13021" s="1" t="s">
        <v>2750</v>
      </c>
      <c r="C13021" s="1" t="str">
        <f>"66298901124242"</f>
        <v>66298901124242</v>
      </c>
      <c r="D13021" s="1" t="str">
        <f>"800658"</f>
        <v>800658</v>
      </c>
      <c r="E13021" s="1" t="s">
        <v>4579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</row>
    <row r="13022" spans="1:11" x14ac:dyDescent="0.2">
      <c r="A13022" s="1" t="s">
        <v>15</v>
      </c>
      <c r="B13022" s="1" t="s">
        <v>2751</v>
      </c>
      <c r="C13022" s="1" t="str">
        <f>"66298901169434"</f>
        <v>66298901169434</v>
      </c>
      <c r="D13022" s="1" t="str">
        <f>"702046"</f>
        <v>702046</v>
      </c>
      <c r="E13022" s="1" t="s">
        <v>4579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</row>
    <row r="13023" spans="1:11" x14ac:dyDescent="0.2">
      <c r="A13023" s="1" t="s">
        <v>15</v>
      </c>
      <c r="B13023" s="1" t="s">
        <v>2752</v>
      </c>
      <c r="C13023" s="1" t="str">
        <f>"11604"</f>
        <v>11604</v>
      </c>
      <c r="D13023" s="1" t="str">
        <f>"11604"</f>
        <v>11604</v>
      </c>
      <c r="E13023" s="1" t="s">
        <v>4579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</row>
    <row r="13024" spans="1:11" x14ac:dyDescent="0.2">
      <c r="A13024" s="1" t="s">
        <v>15</v>
      </c>
      <c r="B13024" s="1" t="s">
        <v>2753</v>
      </c>
      <c r="C13024" s="1" t="str">
        <f>"66298901211340"</f>
        <v>66298901211340</v>
      </c>
      <c r="D13024" s="1" t="str">
        <f>"99683"</f>
        <v>99683</v>
      </c>
      <c r="E13024" s="1" t="s">
        <v>4579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</row>
    <row r="13025" spans="1:11" x14ac:dyDescent="0.2">
      <c r="A13025" s="1" t="s">
        <v>15</v>
      </c>
      <c r="B13025" s="1" t="s">
        <v>2754</v>
      </c>
      <c r="C13025" s="1" t="str">
        <f>"11632"</f>
        <v>11632</v>
      </c>
      <c r="D13025" s="1" t="str">
        <f>"11632"</f>
        <v>11632</v>
      </c>
      <c r="E13025" s="1" t="s">
        <v>4579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</row>
    <row r="13026" spans="1:11" x14ac:dyDescent="0.2">
      <c r="A13026" s="1" t="s">
        <v>15</v>
      </c>
      <c r="B13026" s="1" t="s">
        <v>2755</v>
      </c>
      <c r="C13026" s="1" t="str">
        <f>"11964"</f>
        <v>11964</v>
      </c>
      <c r="D13026" s="1" t="str">
        <f>"11964"</f>
        <v>11964</v>
      </c>
      <c r="E13026" s="1" t="s">
        <v>4579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</row>
    <row r="13027" spans="1:11" ht="30" x14ac:dyDescent="0.2">
      <c r="A13027" s="1" t="s">
        <v>15</v>
      </c>
      <c r="B13027" s="1" t="s">
        <v>2756</v>
      </c>
      <c r="C13027" s="1" t="str">
        <f>"11963"</f>
        <v>11963</v>
      </c>
      <c r="D13027" s="1" t="str">
        <f>"11963"</f>
        <v>11963</v>
      </c>
      <c r="E13027" s="1" t="s">
        <v>4579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</row>
    <row r="13028" spans="1:11" ht="30" x14ac:dyDescent="0.2">
      <c r="A13028" s="1" t="s">
        <v>15</v>
      </c>
      <c r="B13028" s="1" t="s">
        <v>2757</v>
      </c>
      <c r="C13028" s="1" t="str">
        <f>"66298901251588"</f>
        <v>66298901251588</v>
      </c>
      <c r="D13028" s="1" t="str">
        <f>"1571"</f>
        <v>1571</v>
      </c>
      <c r="E13028" s="1" t="s">
        <v>4579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</row>
    <row r="13029" spans="1:11" x14ac:dyDescent="0.2">
      <c r="A13029" s="1" t="s">
        <v>15</v>
      </c>
      <c r="B13029" s="1" t="s">
        <v>2758</v>
      </c>
      <c r="C13029" s="1" t="str">
        <f>"66298901288717"</f>
        <v>66298901288717</v>
      </c>
      <c r="D13029" s="1" t="str">
        <f>"6010162"</f>
        <v>6010162</v>
      </c>
      <c r="E13029" s="1" t="s">
        <v>4579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</row>
    <row r="13030" spans="1:11" ht="30" x14ac:dyDescent="0.2">
      <c r="A13030" s="1" t="s">
        <v>15</v>
      </c>
      <c r="B13030" s="1" t="s">
        <v>2759</v>
      </c>
      <c r="C13030" s="1" t="str">
        <f>"66298901330636"</f>
        <v>66298901330636</v>
      </c>
      <c r="D13030" s="1" t="str">
        <f>"6010163"</f>
        <v>6010163</v>
      </c>
      <c r="E13030" s="1" t="s">
        <v>4579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</row>
    <row r="13031" spans="1:11" x14ac:dyDescent="0.2">
      <c r="A13031" s="1" t="s">
        <v>15</v>
      </c>
      <c r="B13031" s="1" t="s">
        <v>2760</v>
      </c>
      <c r="C13031" s="1" t="str">
        <f>"3093"</f>
        <v>3093</v>
      </c>
      <c r="D13031" s="1" t="str">
        <f>"3093"</f>
        <v>3093</v>
      </c>
      <c r="E13031" s="1" t="s">
        <v>4579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</row>
    <row r="13032" spans="1:11" x14ac:dyDescent="0.2">
      <c r="A13032" s="1" t="s">
        <v>15</v>
      </c>
      <c r="B13032" s="1" t="s">
        <v>2761</v>
      </c>
      <c r="C13032" s="1" t="str">
        <f>"3092"</f>
        <v>3092</v>
      </c>
      <c r="D13032" s="1" t="str">
        <f>"3092"</f>
        <v>3092</v>
      </c>
      <c r="E13032" s="1" t="s">
        <v>4579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</row>
    <row r="13033" spans="1:11" x14ac:dyDescent="0.2">
      <c r="A13033" s="1" t="s">
        <v>15</v>
      </c>
      <c r="B13033" s="1" t="s">
        <v>2762</v>
      </c>
      <c r="C13033" s="1" t="str">
        <f>"66298901369193"</f>
        <v>66298901369193</v>
      </c>
      <c r="D13033" s="1" t="str">
        <f>"6010119"</f>
        <v>6010119</v>
      </c>
      <c r="E13033" s="1" t="s">
        <v>4579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</row>
    <row r="13034" spans="1:11" x14ac:dyDescent="0.2">
      <c r="A13034" s="1" t="s">
        <v>15</v>
      </c>
      <c r="B13034" s="1" t="s">
        <v>2763</v>
      </c>
      <c r="C13034" s="1" t="str">
        <f>"6010120"</f>
        <v>6010120</v>
      </c>
      <c r="D13034" s="1" t="str">
        <f>"6010120"</f>
        <v>6010120</v>
      </c>
      <c r="E13034" s="1" t="s">
        <v>4579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</row>
    <row r="13035" spans="1:11" x14ac:dyDescent="0.2">
      <c r="A13035" s="1" t="s">
        <v>15</v>
      </c>
      <c r="B13035" s="1" t="s">
        <v>2764</v>
      </c>
      <c r="C13035" s="1" t="str">
        <f>"66298901454643"</f>
        <v>66298901454643</v>
      </c>
      <c r="D13035" s="1" t="str">
        <f>"701A96"</f>
        <v>701A96</v>
      </c>
      <c r="E13035" s="1" t="s">
        <v>4579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</row>
    <row r="13036" spans="1:11" x14ac:dyDescent="0.2">
      <c r="A13036" s="1" t="s">
        <v>15</v>
      </c>
      <c r="B13036" s="1" t="s">
        <v>2765</v>
      </c>
      <c r="C13036" s="1" t="str">
        <f>"11683"</f>
        <v>11683</v>
      </c>
      <c r="D13036" s="1" t="str">
        <f>"11683"</f>
        <v>11683</v>
      </c>
      <c r="E13036" s="1" t="s">
        <v>4579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</row>
    <row r="13037" spans="1:11" x14ac:dyDescent="0.2">
      <c r="A13037" s="1" t="s">
        <v>15</v>
      </c>
      <c r="B13037" s="1" t="s">
        <v>2766</v>
      </c>
      <c r="C13037" s="1" t="str">
        <f>"11685"</f>
        <v>11685</v>
      </c>
      <c r="D13037" s="1" t="str">
        <f>"11685"</f>
        <v>11685</v>
      </c>
      <c r="E13037" s="1" t="s">
        <v>4579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</row>
    <row r="13038" spans="1:11" x14ac:dyDescent="0.2">
      <c r="A13038" s="1" t="s">
        <v>15</v>
      </c>
      <c r="B13038" s="1" t="s">
        <v>2767</v>
      </c>
      <c r="C13038" s="1" t="str">
        <f>"66298901497357"</f>
        <v>66298901497357</v>
      </c>
      <c r="D13038" s="1" t="str">
        <f>"800312"</f>
        <v>800312</v>
      </c>
      <c r="E13038" s="1" t="s">
        <v>4579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</row>
    <row r="13039" spans="1:11" x14ac:dyDescent="0.2">
      <c r="A13039" s="1" t="s">
        <v>15</v>
      </c>
      <c r="B13039" s="1" t="s">
        <v>2768</v>
      </c>
      <c r="C13039" s="1" t="str">
        <f>"66298901543799"</f>
        <v>66298901543799</v>
      </c>
      <c r="D13039" s="1" t="str">
        <f>"3091"</f>
        <v>3091</v>
      </c>
      <c r="E13039" s="1" t="s">
        <v>4579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</row>
    <row r="13040" spans="1:11" x14ac:dyDescent="0.2">
      <c r="A13040" s="1" t="s">
        <v>2769</v>
      </c>
      <c r="B13040" s="1" t="s">
        <v>2770</v>
      </c>
      <c r="C13040" s="1" t="str">
        <f>"66298901585441"</f>
        <v>66298901585441</v>
      </c>
      <c r="D13040" s="1" t="str">
        <f>"82125"</f>
        <v>82125</v>
      </c>
      <c r="E13040" s="1" t="s">
        <v>4579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</row>
    <row r="13041" spans="1:11" x14ac:dyDescent="0.2">
      <c r="A13041" s="1" t="s">
        <v>2769</v>
      </c>
      <c r="B13041" s="1" t="s">
        <v>2771</v>
      </c>
      <c r="C13041" s="1" t="str">
        <f>"66298901627128"</f>
        <v>66298901627128</v>
      </c>
      <c r="D13041" s="1" t="str">
        <f>"54111H2C001HA99"</f>
        <v>54111H2C001HA99</v>
      </c>
      <c r="E13041" s="1" t="s">
        <v>4579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</row>
    <row r="13042" spans="1:11" x14ac:dyDescent="0.2">
      <c r="A13042" s="1" t="s">
        <v>2769</v>
      </c>
      <c r="B13042" s="1" t="s">
        <v>2772</v>
      </c>
      <c r="C13042" s="1" t="str">
        <f>"66298901665785"</f>
        <v>66298901665785</v>
      </c>
      <c r="D13042" s="1" t="str">
        <f>"82126"</f>
        <v>82126</v>
      </c>
      <c r="E13042" s="1" t="s">
        <v>4579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</row>
    <row r="13043" spans="1:11" x14ac:dyDescent="0.2">
      <c r="A13043" s="1" t="s">
        <v>2769</v>
      </c>
      <c r="B13043" s="1" t="s">
        <v>2773</v>
      </c>
      <c r="C13043" s="1" t="str">
        <f>"66298901713336"</f>
        <v>66298901713336</v>
      </c>
      <c r="D13043" s="1" t="str">
        <f>"B15030148"</f>
        <v>B15030148</v>
      </c>
      <c r="E13043" s="1" t="s">
        <v>4579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</row>
    <row r="13044" spans="1:11" x14ac:dyDescent="0.2">
      <c r="A13044" s="1" t="s">
        <v>2774</v>
      </c>
      <c r="B13044" s="1" t="s">
        <v>2775</v>
      </c>
      <c r="C13044" s="1" t="str">
        <f>"66298901760541"</f>
        <v>66298901760541</v>
      </c>
      <c r="D13044" s="1" t="str">
        <f>"H188"</f>
        <v>H188</v>
      </c>
      <c r="E13044" s="1" t="s">
        <v>4579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</row>
    <row r="13045" spans="1:11" x14ac:dyDescent="0.2">
      <c r="A13045" s="1" t="s">
        <v>2774</v>
      </c>
      <c r="B13045" s="1" t="s">
        <v>2776</v>
      </c>
      <c r="C13045" s="1" t="str">
        <f>"49CC28"</f>
        <v>49CC28</v>
      </c>
      <c r="D13045" s="1" t="str">
        <f>"49CC28"</f>
        <v>49CC28</v>
      </c>
      <c r="E13045" s="1" t="s">
        <v>4579</v>
      </c>
      <c r="F13045" s="1">
        <v>2</v>
      </c>
      <c r="G13045" s="1">
        <v>1890</v>
      </c>
      <c r="H13045" s="1">
        <v>3780</v>
      </c>
      <c r="I13045" s="1">
        <v>0</v>
      </c>
      <c r="J13045" s="1">
        <v>2</v>
      </c>
      <c r="K13045" s="1">
        <v>0</v>
      </c>
    </row>
    <row r="13046" spans="1:11" x14ac:dyDescent="0.2">
      <c r="A13046" s="1" t="s">
        <v>2774</v>
      </c>
      <c r="B13046" s="1" t="s">
        <v>2777</v>
      </c>
      <c r="C13046" s="1" t="str">
        <f>"66298901805081"</f>
        <v>66298901805081</v>
      </c>
      <c r="D13046" s="1" t="str">
        <f>"B091"</f>
        <v>B091</v>
      </c>
      <c r="E13046" s="1" t="s">
        <v>4579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</row>
    <row r="13047" spans="1:11" x14ac:dyDescent="0.2">
      <c r="A13047" s="1" t="s">
        <v>2774</v>
      </c>
      <c r="B13047" s="1" t="s">
        <v>2778</v>
      </c>
      <c r="C13047" s="1" t="str">
        <f>"66298901845498"</f>
        <v>66298901845498</v>
      </c>
      <c r="D13047" s="1" t="str">
        <f>"XB006"</f>
        <v>XB006</v>
      </c>
      <c r="E13047" s="1" t="s">
        <v>4579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</row>
    <row r="13048" spans="1:11" x14ac:dyDescent="0.2">
      <c r="A13048" s="1" t="s">
        <v>2774</v>
      </c>
      <c r="B13048" s="1" t="s">
        <v>2779</v>
      </c>
      <c r="C13048" s="1" t="str">
        <f>"66298901930718"</f>
        <v>66298901930718</v>
      </c>
      <c r="D13048" s="1" t="str">
        <f>"400546"</f>
        <v>400546</v>
      </c>
      <c r="E13048" s="1" t="s">
        <v>4579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</row>
    <row r="13049" spans="1:11" x14ac:dyDescent="0.2">
      <c r="A13049" s="1" t="s">
        <v>2774</v>
      </c>
      <c r="B13049" s="1" t="s">
        <v>2780</v>
      </c>
      <c r="C13049" s="1" t="str">
        <f>"66298901888788"</f>
        <v>66298901888788</v>
      </c>
      <c r="D13049" s="1" t="str">
        <f>"XB005"</f>
        <v>XB005</v>
      </c>
      <c r="E13049" s="1" t="s">
        <v>4579</v>
      </c>
      <c r="F13049" s="1">
        <v>1</v>
      </c>
      <c r="G13049" s="1">
        <v>1760</v>
      </c>
      <c r="H13049" s="1">
        <v>1760</v>
      </c>
      <c r="I13049" s="1">
        <v>0</v>
      </c>
      <c r="J13049" s="1">
        <v>1</v>
      </c>
      <c r="K13049" s="1">
        <v>0</v>
      </c>
    </row>
    <row r="13050" spans="1:11" x14ac:dyDescent="0.2">
      <c r="A13050" s="1" t="s">
        <v>2774</v>
      </c>
      <c r="B13050" s="1" t="s">
        <v>2781</v>
      </c>
      <c r="C13050" s="1" t="str">
        <f>"XB001"</f>
        <v>XB001</v>
      </c>
      <c r="D13050" s="1" t="str">
        <f>"XB001"</f>
        <v>XB001</v>
      </c>
      <c r="E13050" s="1" t="s">
        <v>4579</v>
      </c>
      <c r="F13050" s="1">
        <v>2</v>
      </c>
      <c r="G13050" s="1">
        <v>1660</v>
      </c>
      <c r="H13050" s="1">
        <v>3320</v>
      </c>
      <c r="I13050" s="1">
        <v>0</v>
      </c>
      <c r="J13050" s="1">
        <v>2</v>
      </c>
      <c r="K13050" s="1">
        <v>0</v>
      </c>
    </row>
    <row r="13051" spans="1:11" x14ac:dyDescent="0.2">
      <c r="A13051" s="1" t="s">
        <v>2774</v>
      </c>
      <c r="B13051" s="1" t="s">
        <v>2782</v>
      </c>
      <c r="C13051" s="1" t="str">
        <f>"XB009"</f>
        <v>XB009</v>
      </c>
      <c r="D13051" s="1" t="str">
        <f>"XB009"</f>
        <v>XB009</v>
      </c>
      <c r="E13051" s="1" t="s">
        <v>4579</v>
      </c>
      <c r="F13051" s="1">
        <v>2</v>
      </c>
      <c r="G13051" s="1">
        <v>1530</v>
      </c>
      <c r="H13051" s="1">
        <v>3060</v>
      </c>
      <c r="I13051" s="1">
        <v>0</v>
      </c>
      <c r="J13051" s="1">
        <v>2</v>
      </c>
      <c r="K13051" s="1">
        <v>0</v>
      </c>
    </row>
    <row r="13052" spans="1:11" x14ac:dyDescent="0.2">
      <c r="A13052" s="1" t="s">
        <v>2774</v>
      </c>
      <c r="B13052" s="1" t="s">
        <v>2783</v>
      </c>
      <c r="C13052" s="1" t="str">
        <f>"66298901969173"</f>
        <v>66298901969173</v>
      </c>
      <c r="D13052" s="1" t="str">
        <f>"XB003"</f>
        <v>XB003</v>
      </c>
      <c r="E13052" s="1" t="s">
        <v>4579</v>
      </c>
      <c r="F13052" s="1">
        <v>2</v>
      </c>
      <c r="G13052" s="1">
        <v>1470</v>
      </c>
      <c r="H13052" s="1">
        <v>2940</v>
      </c>
      <c r="I13052" s="1">
        <v>0</v>
      </c>
      <c r="J13052" s="1">
        <v>2</v>
      </c>
      <c r="K13052" s="1">
        <v>0</v>
      </c>
    </row>
    <row r="13053" spans="1:11" x14ac:dyDescent="0.2">
      <c r="A13053" s="1" t="s">
        <v>2774</v>
      </c>
      <c r="B13053" s="1" t="s">
        <v>2784</v>
      </c>
      <c r="C13053" s="1" t="str">
        <f>"66298902011913"</f>
        <v>66298902011913</v>
      </c>
      <c r="D13053" s="1" t="str">
        <f>"XB011"</f>
        <v>XB011</v>
      </c>
      <c r="E13053" s="1" t="s">
        <v>4579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</row>
    <row r="13054" spans="1:11" x14ac:dyDescent="0.2">
      <c r="A13054" s="1" t="s">
        <v>2774</v>
      </c>
      <c r="B13054" s="1" t="s">
        <v>2784</v>
      </c>
      <c r="C13054" s="1" t="str">
        <f>"66298902019288"</f>
        <v>66298902019288</v>
      </c>
      <c r="D13054" s="1" t="str">
        <f>"XB010"</f>
        <v>XB010</v>
      </c>
      <c r="E13054" s="1" t="s">
        <v>4579</v>
      </c>
      <c r="F13054" s="1">
        <v>2</v>
      </c>
      <c r="G13054" s="1">
        <v>1570</v>
      </c>
      <c r="H13054" s="1">
        <v>3140</v>
      </c>
      <c r="I13054" s="1">
        <v>0</v>
      </c>
      <c r="J13054" s="1">
        <v>2</v>
      </c>
      <c r="K13054" s="1">
        <v>0</v>
      </c>
    </row>
    <row r="13055" spans="1:11" x14ac:dyDescent="0.2">
      <c r="A13055" s="1" t="s">
        <v>2774</v>
      </c>
      <c r="B13055" s="1" t="s">
        <v>2784</v>
      </c>
      <c r="C13055" s="1" t="str">
        <f>"XB007"</f>
        <v>XB007</v>
      </c>
      <c r="D13055" s="1" t="str">
        <f>"XB007"</f>
        <v>XB007</v>
      </c>
      <c r="E13055" s="1" t="s">
        <v>4579</v>
      </c>
      <c r="F13055" s="1">
        <v>2</v>
      </c>
      <c r="G13055" s="1">
        <v>1570</v>
      </c>
      <c r="H13055" s="1">
        <v>3140</v>
      </c>
      <c r="I13055" s="1">
        <v>0</v>
      </c>
      <c r="J13055" s="1">
        <v>2</v>
      </c>
      <c r="K13055" s="1">
        <v>0</v>
      </c>
    </row>
    <row r="13056" spans="1:11" x14ac:dyDescent="0.2">
      <c r="A13056" s="1" t="s">
        <v>2774</v>
      </c>
      <c r="B13056" s="1" t="s">
        <v>2785</v>
      </c>
      <c r="C13056" s="1" t="str">
        <f>"66298902074401"</f>
        <v>66298902074401</v>
      </c>
      <c r="D13056" s="1" t="str">
        <f>"B091A"</f>
        <v>B091A</v>
      </c>
      <c r="E13056" s="1" t="s">
        <v>4579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</row>
    <row r="13057" spans="1:11" x14ac:dyDescent="0.2">
      <c r="A13057" s="1" t="s">
        <v>2774</v>
      </c>
      <c r="B13057" s="1" t="s">
        <v>2786</v>
      </c>
      <c r="C13057" s="1" t="str">
        <f>"66298902111577"</f>
        <v>66298902111577</v>
      </c>
      <c r="D13057" s="1" t="str">
        <f>"H021"</f>
        <v>H021</v>
      </c>
      <c r="E13057" s="1" t="s">
        <v>4579</v>
      </c>
      <c r="F13057" s="1">
        <v>1</v>
      </c>
      <c r="G13057" s="1">
        <v>1356</v>
      </c>
      <c r="H13057" s="1">
        <v>1356</v>
      </c>
      <c r="I13057" s="1">
        <v>0</v>
      </c>
      <c r="J13057" s="1">
        <v>1</v>
      </c>
      <c r="K13057" s="1">
        <v>0</v>
      </c>
    </row>
    <row r="13058" spans="1:11" x14ac:dyDescent="0.2">
      <c r="A13058" s="1" t="s">
        <v>2774</v>
      </c>
      <c r="B13058" s="1" t="s">
        <v>2787</v>
      </c>
      <c r="C13058" s="1" t="str">
        <f>"66298902173789"</f>
        <v>66298902173789</v>
      </c>
      <c r="D13058" s="1" t="str">
        <f>"H029"</f>
        <v>H029</v>
      </c>
      <c r="E13058" s="1" t="s">
        <v>4579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</row>
    <row r="13059" spans="1:11" x14ac:dyDescent="0.2">
      <c r="A13059" s="1" t="s">
        <v>2774</v>
      </c>
      <c r="B13059" s="1" t="s">
        <v>2787</v>
      </c>
      <c r="C13059" s="1" t="str">
        <f>"66298902182002"</f>
        <v>66298902182002</v>
      </c>
      <c r="D13059" s="1" t="str">
        <f>"H027"</f>
        <v>H027</v>
      </c>
      <c r="E13059" s="1" t="s">
        <v>4579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</row>
    <row r="13060" spans="1:11" x14ac:dyDescent="0.2">
      <c r="A13060" s="1" t="s">
        <v>2774</v>
      </c>
      <c r="B13060" s="1" t="s">
        <v>2788</v>
      </c>
      <c r="C13060" s="1" t="str">
        <f>"66298902240011"</f>
        <v>66298902240011</v>
      </c>
      <c r="D13060" s="1" t="str">
        <f>"H100"</f>
        <v>H100</v>
      </c>
      <c r="E13060" s="1" t="s">
        <v>4579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</row>
    <row r="13061" spans="1:11" x14ac:dyDescent="0.2">
      <c r="A13061" s="1" t="s">
        <v>2774</v>
      </c>
      <c r="B13061" s="1" t="s">
        <v>2788</v>
      </c>
      <c r="C13061" s="1" t="str">
        <f>"66298902247503"</f>
        <v>66298902247503</v>
      </c>
      <c r="D13061" s="1" t="str">
        <f>"H099"</f>
        <v>H099</v>
      </c>
      <c r="E13061" s="1" t="s">
        <v>4579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</row>
    <row r="13062" spans="1:11" x14ac:dyDescent="0.2">
      <c r="A13062" s="1" t="s">
        <v>2774</v>
      </c>
      <c r="B13062" s="1" t="s">
        <v>2789</v>
      </c>
      <c r="C13062" s="1" t="str">
        <f>"66298902307888"</f>
        <v>66298902307888</v>
      </c>
      <c r="D13062" s="1" t="str">
        <f>"H056"</f>
        <v>H056</v>
      </c>
      <c r="E13062" s="1" t="s">
        <v>4579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</row>
    <row r="13063" spans="1:11" x14ac:dyDescent="0.2">
      <c r="A13063" s="1" t="s">
        <v>2774</v>
      </c>
      <c r="B13063" s="1" t="s">
        <v>2790</v>
      </c>
      <c r="C13063" s="1" t="str">
        <f>"66298902353997"</f>
        <v>66298902353997</v>
      </c>
      <c r="D13063" s="1" t="str">
        <f>"H161"</f>
        <v>H161</v>
      </c>
      <c r="E13063" s="1" t="s">
        <v>4579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</row>
    <row r="13064" spans="1:11" x14ac:dyDescent="0.2">
      <c r="A13064" s="1" t="s">
        <v>2774</v>
      </c>
      <c r="B13064" s="1" t="s">
        <v>2791</v>
      </c>
      <c r="C13064" s="1" t="str">
        <f>"66298902394138"</f>
        <v>66298902394138</v>
      </c>
      <c r="D13064" s="1" t="str">
        <f>"H083"</f>
        <v>H083</v>
      </c>
      <c r="E13064" s="1" t="s">
        <v>4579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</row>
    <row r="13065" spans="1:11" x14ac:dyDescent="0.2">
      <c r="A13065" s="1" t="s">
        <v>2774</v>
      </c>
      <c r="B13065" s="1" t="s">
        <v>2792</v>
      </c>
      <c r="C13065" s="1" t="str">
        <f>"66298902431574"</f>
        <v>66298902431574</v>
      </c>
      <c r="D13065" s="1" t="str">
        <f>"H084"</f>
        <v>H084</v>
      </c>
      <c r="E13065" s="1" t="s">
        <v>4579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</row>
    <row r="13066" spans="1:11" x14ac:dyDescent="0.2">
      <c r="A13066" s="1" t="s">
        <v>2774</v>
      </c>
      <c r="B13066" s="1" t="s">
        <v>2793</v>
      </c>
      <c r="C13066" s="1" t="str">
        <f>"66298902473846"</f>
        <v>66298902473846</v>
      </c>
      <c r="D13066" s="1" t="str">
        <f>"H086"</f>
        <v>H086</v>
      </c>
      <c r="E13066" s="1" t="s">
        <v>4579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</row>
    <row r="13067" spans="1:11" x14ac:dyDescent="0.2">
      <c r="A13067" s="1" t="s">
        <v>2774</v>
      </c>
      <c r="B13067" s="1" t="s">
        <v>2794</v>
      </c>
      <c r="C13067" s="1" t="str">
        <f>"66298902515957"</f>
        <v>66298902515957</v>
      </c>
      <c r="D13067" s="1" t="str">
        <f>"H087"</f>
        <v>H087</v>
      </c>
      <c r="E13067" s="1" t="s">
        <v>4579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</row>
    <row r="13068" spans="1:11" x14ac:dyDescent="0.2">
      <c r="A13068" s="1" t="s">
        <v>2774</v>
      </c>
      <c r="B13068" s="1" t="s">
        <v>2795</v>
      </c>
      <c r="C13068" s="1" t="str">
        <f>"66298902555881"</f>
        <v>66298902555881</v>
      </c>
      <c r="D13068" s="1" t="str">
        <f>"H082"</f>
        <v>H082</v>
      </c>
      <c r="E13068" s="1" t="s">
        <v>4579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</row>
    <row r="13069" spans="1:11" x14ac:dyDescent="0.2">
      <c r="A13069" s="1" t="s">
        <v>2774</v>
      </c>
      <c r="B13069" s="1" t="s">
        <v>2796</v>
      </c>
      <c r="C13069" s="1" t="str">
        <f>"66298902599911"</f>
        <v>66298902599911</v>
      </c>
      <c r="D13069" s="1" t="str">
        <f>"H076"</f>
        <v>H076</v>
      </c>
      <c r="E13069" s="1" t="s">
        <v>4579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</row>
    <row r="13070" spans="1:11" x14ac:dyDescent="0.2">
      <c r="A13070" s="1" t="s">
        <v>18</v>
      </c>
      <c r="B13070" s="1" t="s">
        <v>2797</v>
      </c>
      <c r="C13070" s="1" t="str">
        <f>"66298902647192"</f>
        <v>66298902647192</v>
      </c>
      <c r="D13070" s="1" t="str">
        <f>"R058"</f>
        <v>R058</v>
      </c>
      <c r="E13070" s="1" t="s">
        <v>4579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</row>
    <row r="13071" spans="1:11" x14ac:dyDescent="0.2">
      <c r="A13071" s="1" t="s">
        <v>15</v>
      </c>
      <c r="B13071" s="1" t="s">
        <v>2798</v>
      </c>
      <c r="C13071" s="1" t="str">
        <f>"15AFE5"</f>
        <v>15AFE5</v>
      </c>
      <c r="D13071" s="1" t="str">
        <f>"15AFE5"</f>
        <v>15AFE5</v>
      </c>
      <c r="E13071" s="1" t="s">
        <v>4579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</row>
    <row r="13072" spans="1:11" x14ac:dyDescent="0.2">
      <c r="A13072" s="1" t="s">
        <v>15</v>
      </c>
      <c r="B13072" s="1" t="s">
        <v>2799</v>
      </c>
      <c r="C13072" s="1" t="str">
        <f>"800644"</f>
        <v>800644</v>
      </c>
      <c r="D13072" s="1" t="str">
        <f>"800644"</f>
        <v>800644</v>
      </c>
      <c r="E13072" s="1" t="s">
        <v>4579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</row>
    <row r="13073" spans="1:11" x14ac:dyDescent="0.2">
      <c r="A13073" s="1" t="s">
        <v>15</v>
      </c>
      <c r="B13073" s="1" t="s">
        <v>2800</v>
      </c>
      <c r="C13073" s="1" t="str">
        <f>"800645"</f>
        <v>800645</v>
      </c>
      <c r="D13073" s="1" t="str">
        <f>"800645"</f>
        <v>800645</v>
      </c>
      <c r="E13073" s="1" t="s">
        <v>4579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</row>
    <row r="13074" spans="1:11" x14ac:dyDescent="0.2">
      <c r="A13074" s="1" t="s">
        <v>15</v>
      </c>
      <c r="B13074" s="1" t="s">
        <v>2801</v>
      </c>
      <c r="C13074" s="1" t="str">
        <f>"800643"</f>
        <v>800643</v>
      </c>
      <c r="D13074" s="1" t="str">
        <f>"800643"</f>
        <v>800643</v>
      </c>
      <c r="E13074" s="1" t="s">
        <v>4579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</row>
    <row r="13075" spans="1:11" x14ac:dyDescent="0.2">
      <c r="A13075" s="1" t="s">
        <v>15</v>
      </c>
      <c r="B13075" s="1" t="s">
        <v>2802</v>
      </c>
      <c r="C13075" s="1" t="str">
        <f>"66298902734887"</f>
        <v>66298902734887</v>
      </c>
      <c r="D13075" s="1" t="str">
        <f>"1591"</f>
        <v>1591</v>
      </c>
      <c r="E13075" s="1" t="s">
        <v>4579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</row>
    <row r="13076" spans="1:11" x14ac:dyDescent="0.2">
      <c r="A13076" s="1" t="s">
        <v>15</v>
      </c>
      <c r="B13076" s="1" t="s">
        <v>2803</v>
      </c>
      <c r="C13076" s="1" t="str">
        <f>"66298902771948"</f>
        <v>66298902771948</v>
      </c>
      <c r="D13076" s="1" t="str">
        <f>"1592"</f>
        <v>1592</v>
      </c>
      <c r="E13076" s="1" t="s">
        <v>4579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</row>
    <row r="13077" spans="1:11" x14ac:dyDescent="0.2">
      <c r="A13077" s="1" t="s">
        <v>15</v>
      </c>
      <c r="B13077" s="1" t="s">
        <v>2804</v>
      </c>
      <c r="C13077" s="1" t="str">
        <f>"RPP9004BPB"</f>
        <v>RPP9004BPB</v>
      </c>
      <c r="D13077" s="1" t="str">
        <f>"RPP9004BPB"</f>
        <v>RPP9004BPB</v>
      </c>
      <c r="E13077" s="1" t="s">
        <v>4579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</row>
    <row r="13078" spans="1:11" x14ac:dyDescent="0.2">
      <c r="A13078" s="1" t="s">
        <v>15</v>
      </c>
      <c r="B13078" s="1" t="s">
        <v>2805</v>
      </c>
      <c r="C13078" s="1" t="str">
        <f>"66298902852569"</f>
        <v>66298902852569</v>
      </c>
      <c r="D13078" s="1" t="str">
        <f>"715W98"</f>
        <v>715W98</v>
      </c>
      <c r="E13078" s="1" t="s">
        <v>4579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</row>
    <row r="13079" spans="1:11" x14ac:dyDescent="0.2">
      <c r="A13079" s="1" t="s">
        <v>15</v>
      </c>
      <c r="B13079" s="1" t="s">
        <v>2806</v>
      </c>
      <c r="C13079" s="1" t="str">
        <f>"10949"</f>
        <v>10949</v>
      </c>
      <c r="D13079" s="1" t="str">
        <f>"10949"</f>
        <v>10949</v>
      </c>
      <c r="E13079" s="1" t="s">
        <v>4579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</row>
    <row r="13080" spans="1:11" x14ac:dyDescent="0.2">
      <c r="A13080" s="1" t="s">
        <v>15</v>
      </c>
      <c r="B13080" s="1" t="s">
        <v>2807</v>
      </c>
      <c r="C13080" s="1" t="str">
        <f>"12139"</f>
        <v>12139</v>
      </c>
      <c r="D13080" s="1" t="str">
        <f>"12139"</f>
        <v>12139</v>
      </c>
      <c r="E13080" s="1" t="s">
        <v>4579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0</v>
      </c>
    </row>
    <row r="13081" spans="1:11" x14ac:dyDescent="0.2">
      <c r="A13081" s="1" t="s">
        <v>15</v>
      </c>
      <c r="B13081" s="1" t="s">
        <v>2808</v>
      </c>
      <c r="C13081" s="1" t="str">
        <f>"11631"</f>
        <v>11631</v>
      </c>
      <c r="D13081" s="1" t="str">
        <f>"11631"</f>
        <v>11631</v>
      </c>
      <c r="E13081" s="1" t="s">
        <v>4579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</row>
    <row r="13082" spans="1:11" ht="30" x14ac:dyDescent="0.2">
      <c r="A13082" s="1" t="s">
        <v>15</v>
      </c>
      <c r="B13082" s="1" t="s">
        <v>2809</v>
      </c>
      <c r="C13082" s="1" t="str">
        <f>"6010229"</f>
        <v>6010229</v>
      </c>
      <c r="D13082" s="1" t="str">
        <f>"6010229"</f>
        <v>6010229</v>
      </c>
      <c r="E13082" s="1" t="s">
        <v>4579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</row>
    <row r="13083" spans="1:11" x14ac:dyDescent="0.2">
      <c r="A13083" s="1" t="s">
        <v>15</v>
      </c>
      <c r="B13083" s="1" t="s">
        <v>2810</v>
      </c>
      <c r="C13083" s="1" t="str">
        <f>"66298902946003"</f>
        <v>66298902946003</v>
      </c>
      <c r="D13083" s="1" t="str">
        <f>"102982"</f>
        <v>102982</v>
      </c>
      <c r="E13083" s="1" t="s">
        <v>4579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</row>
    <row r="13084" spans="1:11" x14ac:dyDescent="0.2">
      <c r="A13084" s="1" t="s">
        <v>15</v>
      </c>
      <c r="B13084" s="1" t="s">
        <v>2810</v>
      </c>
      <c r="C13084" s="1" t="str">
        <f>"66298902963002"</f>
        <v>66298902963002</v>
      </c>
      <c r="D13084" s="1" t="str">
        <f>"6010148"</f>
        <v>6010148</v>
      </c>
      <c r="E13084" s="1" t="s">
        <v>4579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</row>
    <row r="13085" spans="1:11" ht="30" x14ac:dyDescent="0.2">
      <c r="A13085" s="1" t="s">
        <v>15</v>
      </c>
      <c r="B13085" s="1" t="s">
        <v>2811</v>
      </c>
      <c r="C13085" s="1" t="str">
        <f>"6010149"</f>
        <v>6010149</v>
      </c>
      <c r="D13085" s="1" t="str">
        <f>"6010149"</f>
        <v>6010149</v>
      </c>
      <c r="E13085" s="1" t="s">
        <v>4579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</row>
    <row r="13086" spans="1:11" x14ac:dyDescent="0.2">
      <c r="A13086" s="1" t="s">
        <v>98</v>
      </c>
      <c r="B13086" s="1" t="s">
        <v>2812</v>
      </c>
      <c r="C13086" s="1" t="str">
        <f>"123617"</f>
        <v>123617</v>
      </c>
      <c r="D13086" s="1" t="str">
        <f>"123617"</f>
        <v>123617</v>
      </c>
      <c r="E13086" s="1" t="s">
        <v>4579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</row>
    <row r="13087" spans="1:11" x14ac:dyDescent="0.2">
      <c r="A13087" s="1" t="s">
        <v>1567</v>
      </c>
      <c r="B13087" s="1" t="s">
        <v>2813</v>
      </c>
      <c r="C13087" s="1" t="str">
        <f>"IM-352981"</f>
        <v>IM-352981</v>
      </c>
      <c r="D13087" s="1" t="str">
        <f>"IM-352981"</f>
        <v>IM-352981</v>
      </c>
      <c r="E13087" s="1" t="s">
        <v>4579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</row>
    <row r="13088" spans="1:11" x14ac:dyDescent="0.2">
      <c r="B13088" s="1" t="s">
        <v>2814</v>
      </c>
    </row>
    <row r="13089" spans="1:11" x14ac:dyDescent="0.2">
      <c r="B13089" s="1" t="s">
        <v>2815</v>
      </c>
    </row>
    <row r="13090" spans="1:11" x14ac:dyDescent="0.2">
      <c r="B13090" s="1" t="s">
        <v>1571</v>
      </c>
    </row>
    <row r="13091" spans="1:11" x14ac:dyDescent="0.2">
      <c r="B13091" s="1" t="s">
        <v>2816</v>
      </c>
    </row>
    <row r="13092" spans="1:11" x14ac:dyDescent="0.2">
      <c r="B13092" s="1" t="s">
        <v>2817</v>
      </c>
    </row>
    <row r="13093" spans="1:11" x14ac:dyDescent="0.2">
      <c r="B13093" s="1" t="s">
        <v>1574</v>
      </c>
    </row>
    <row r="13094" spans="1:11" x14ac:dyDescent="0.2">
      <c r="B13094" s="1" t="s">
        <v>1575</v>
      </c>
    </row>
    <row r="13095" spans="1:11" x14ac:dyDescent="0.2">
      <c r="B13095" s="1" t="s">
        <v>2818</v>
      </c>
    </row>
    <row r="13096" spans="1:11" x14ac:dyDescent="0.2">
      <c r="B13096" s="1" t="s">
        <v>2819</v>
      </c>
    </row>
    <row r="13097" spans="1:11" x14ac:dyDescent="0.2">
      <c r="A13097" s="1" t="s">
        <v>18</v>
      </c>
      <c r="B13097" s="1" t="s">
        <v>2820</v>
      </c>
      <c r="C13097" s="1" t="str">
        <f>"66298903060104"</f>
        <v>66298903060104</v>
      </c>
      <c r="D13097" s="1" t="str">
        <f>"Y298"</f>
        <v>Y298</v>
      </c>
      <c r="E13097" s="1" t="s">
        <v>4579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</row>
    <row r="13098" spans="1:11" x14ac:dyDescent="0.2">
      <c r="A13098" s="1" t="s">
        <v>18</v>
      </c>
      <c r="B13098" s="1" t="s">
        <v>2821</v>
      </c>
      <c r="C13098" s="1" t="str">
        <f>"MALE-UNIV"</f>
        <v>MALE-UNIV</v>
      </c>
      <c r="D13098" s="1" t="str">
        <f>"MALE-UNIV"</f>
        <v>MALE-UNIV</v>
      </c>
      <c r="E13098" s="1" t="s">
        <v>4579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</row>
    <row r="13099" spans="1:11" x14ac:dyDescent="0.2">
      <c r="A13099" s="1" t="s">
        <v>18</v>
      </c>
      <c r="B13099" s="1" t="s">
        <v>2822</v>
      </c>
      <c r="C13099" s="1" t="str">
        <f>"66298903101694"</f>
        <v>66298903101694</v>
      </c>
      <c r="D13099" s="1" t="str">
        <f>"1351XL"</f>
        <v>1351XL</v>
      </c>
      <c r="E13099" s="1" t="s">
        <v>4579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</row>
    <row r="13100" spans="1:11" x14ac:dyDescent="0.2">
      <c r="A13100" s="1" t="s">
        <v>18</v>
      </c>
      <c r="B13100" s="1" t="s">
        <v>2822</v>
      </c>
      <c r="C13100" s="1" t="str">
        <f>"66298903109622"</f>
        <v>66298903109622</v>
      </c>
      <c r="D13100" s="1" t="str">
        <f>"75XL"</f>
        <v>75XL</v>
      </c>
      <c r="E13100" s="1" t="s">
        <v>4579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</row>
    <row r="13101" spans="1:11" x14ac:dyDescent="0.2">
      <c r="A13101" s="1" t="s">
        <v>18</v>
      </c>
      <c r="B13101" s="1" t="s">
        <v>2822</v>
      </c>
      <c r="C13101" s="1" t="str">
        <f>"0184"</f>
        <v>0184</v>
      </c>
      <c r="D13101" s="1" t="str">
        <f>"0184"</f>
        <v>0184</v>
      </c>
      <c r="E13101" s="1" t="s">
        <v>4579</v>
      </c>
      <c r="F13101" s="1">
        <v>1</v>
      </c>
      <c r="G13101" s="1">
        <v>2008.32</v>
      </c>
      <c r="H13101" s="1">
        <v>2008</v>
      </c>
      <c r="I13101" s="1">
        <v>0</v>
      </c>
      <c r="J13101" s="1">
        <v>1</v>
      </c>
      <c r="K13101" s="1">
        <v>0</v>
      </c>
    </row>
    <row r="13102" spans="1:11" x14ac:dyDescent="0.2">
      <c r="A13102" s="1" t="s">
        <v>18</v>
      </c>
      <c r="B13102" s="1" t="s">
        <v>2823</v>
      </c>
      <c r="C13102" s="1" t="str">
        <f>"66298903162996"</f>
        <v>66298903162996</v>
      </c>
      <c r="D13102" s="1" t="str">
        <f>"1351-2XL"</f>
        <v>1351-2XL</v>
      </c>
      <c r="E13102" s="1" t="s">
        <v>4579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</row>
    <row r="13103" spans="1:11" x14ac:dyDescent="0.2">
      <c r="A13103" s="1" t="s">
        <v>2824</v>
      </c>
      <c r="B13103" s="1" t="s">
        <v>2825</v>
      </c>
      <c r="C13103" s="1" t="str">
        <f>"MG-5.0-SL"</f>
        <v>MG-5.0-SL</v>
      </c>
      <c r="D13103" s="1" t="str">
        <f>"MG-5.0-SL"</f>
        <v>MG-5.0-SL</v>
      </c>
      <c r="E13103" s="1" t="s">
        <v>4579</v>
      </c>
      <c r="F13103" s="1">
        <v>35</v>
      </c>
      <c r="G13103" s="1">
        <v>628</v>
      </c>
      <c r="H13103" s="1">
        <v>21980</v>
      </c>
      <c r="I13103" s="1">
        <v>0</v>
      </c>
      <c r="J13103" s="1">
        <v>35</v>
      </c>
      <c r="K13103" s="1">
        <v>0</v>
      </c>
    </row>
    <row r="13104" spans="1:11" x14ac:dyDescent="0.2">
      <c r="A13104" s="1" t="s">
        <v>2824</v>
      </c>
      <c r="B13104" s="1" t="s">
        <v>2825</v>
      </c>
      <c r="C13104" s="1" t="str">
        <f>"BF005-1M"</f>
        <v>BF005-1M</v>
      </c>
      <c r="D13104" s="1" t="str">
        <f>"BF005-1M"</f>
        <v>BF005-1M</v>
      </c>
      <c r="E13104" s="1" t="s">
        <v>4579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</row>
    <row r="13105" spans="1:11" x14ac:dyDescent="0.2">
      <c r="A13105" s="1" t="s">
        <v>2826</v>
      </c>
      <c r="B13105" s="1" t="s">
        <v>2827</v>
      </c>
      <c r="C13105" s="1" t="str">
        <f>"BF005"</f>
        <v>BF005</v>
      </c>
      <c r="D13105" s="1" t="str">
        <f>"BF005"</f>
        <v>BF005</v>
      </c>
      <c r="E13105" s="1" t="s">
        <v>4579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</row>
    <row r="13106" spans="1:11" x14ac:dyDescent="0.2">
      <c r="A13106" s="1" t="s">
        <v>2824</v>
      </c>
      <c r="B13106" s="1" t="s">
        <v>2828</v>
      </c>
      <c r="C13106" s="1" t="str">
        <f>"BF005-50CM"</f>
        <v>BF005-50CM</v>
      </c>
      <c r="D13106" s="1" t="str">
        <f>"BF005-50CM"</f>
        <v>BF005-50CM</v>
      </c>
      <c r="E13106" s="1" t="s">
        <v>4579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</row>
    <row r="13107" spans="1:11" x14ac:dyDescent="0.2">
      <c r="A13107" s="1" t="s">
        <v>98</v>
      </c>
      <c r="B13107" s="1" t="s">
        <v>2829</v>
      </c>
      <c r="C13107" s="1" t="str">
        <f>"66298903207899"</f>
        <v>66298903207899</v>
      </c>
      <c r="D13107" s="1" t="str">
        <f>"83956"</f>
        <v>83956</v>
      </c>
      <c r="E13107" s="1" t="s">
        <v>4579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</row>
    <row r="13108" spans="1:11" x14ac:dyDescent="0.2">
      <c r="A13108" s="1" t="s">
        <v>98</v>
      </c>
      <c r="B13108" s="1" t="s">
        <v>2830</v>
      </c>
      <c r="C13108" s="1" t="str">
        <f>"66298903256130"</f>
        <v>66298903256130</v>
      </c>
      <c r="D13108" s="1" t="str">
        <f>"83824"</f>
        <v>83824</v>
      </c>
      <c r="E13108" s="1" t="s">
        <v>4579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</row>
    <row r="13109" spans="1:11" x14ac:dyDescent="0.2">
      <c r="A13109" s="1" t="s">
        <v>2831</v>
      </c>
      <c r="B13109" s="1" t="s">
        <v>2832</v>
      </c>
      <c r="C13109" s="1" t="str">
        <f>"66298903301687"</f>
        <v>66298903301687</v>
      </c>
      <c r="D13109" s="1" t="str">
        <f>"401033"</f>
        <v>401033</v>
      </c>
      <c r="E13109" s="1" t="s">
        <v>4579</v>
      </c>
      <c r="F13109" s="1">
        <v>6</v>
      </c>
      <c r="G13109" s="1">
        <v>573</v>
      </c>
      <c r="H13109" s="1">
        <v>3438</v>
      </c>
      <c r="I13109" s="1">
        <v>0</v>
      </c>
      <c r="J13109" s="1">
        <v>6</v>
      </c>
      <c r="K13109" s="1">
        <v>0</v>
      </c>
    </row>
    <row r="13110" spans="1:11" x14ac:dyDescent="0.2">
      <c r="A13110" s="1" t="s">
        <v>2831</v>
      </c>
      <c r="B13110" s="1" t="s">
        <v>2833</v>
      </c>
      <c r="C13110" s="1" t="str">
        <f>"66298903343009"</f>
        <v>66298903343009</v>
      </c>
      <c r="D13110" s="1" t="str">
        <f>"QC025"</f>
        <v>QC025</v>
      </c>
      <c r="E13110" s="1" t="s">
        <v>4579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</row>
    <row r="13111" spans="1:11" x14ac:dyDescent="0.2">
      <c r="A13111" s="1" t="s">
        <v>2831</v>
      </c>
      <c r="B13111" s="1" t="s">
        <v>2834</v>
      </c>
      <c r="C13111" s="1" t="str">
        <f>"QC041"</f>
        <v>QC041</v>
      </c>
      <c r="D13111" s="1" t="str">
        <f>"QC041"</f>
        <v>QC041</v>
      </c>
      <c r="E13111" s="1" t="s">
        <v>4579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</row>
    <row r="13112" spans="1:11" ht="30" x14ac:dyDescent="0.2">
      <c r="A13112" s="1" t="s">
        <v>2831</v>
      </c>
      <c r="B13112" s="1" t="s">
        <v>2835</v>
      </c>
      <c r="C13112" s="1" t="str">
        <f>"66298903394200"</f>
        <v>66298903394200</v>
      </c>
      <c r="D13112" s="1" t="str">
        <f>"708-EMB-DOMINAR"</f>
        <v>708-EMB-DOMINAR</v>
      </c>
      <c r="E13112" s="1" t="s">
        <v>4579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</row>
    <row r="13113" spans="1:11" x14ac:dyDescent="0.2">
      <c r="A13113" s="1" t="s">
        <v>2831</v>
      </c>
      <c r="B13113" s="1" t="s">
        <v>2836</v>
      </c>
      <c r="C13113" s="1" t="str">
        <f>"66298903438511"</f>
        <v>66298903438511</v>
      </c>
      <c r="D13113" s="1" t="str">
        <f>"LCS120SILVE"</f>
        <v>LCS120SILVE</v>
      </c>
      <c r="E13113" s="1" t="s">
        <v>4579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</row>
    <row r="13114" spans="1:11" ht="30" x14ac:dyDescent="0.2">
      <c r="A13114" s="1" t="s">
        <v>2831</v>
      </c>
      <c r="B13114" s="1" t="s">
        <v>2837</v>
      </c>
      <c r="C13114" s="1" t="str">
        <f>"66298903483697"</f>
        <v>66298903483697</v>
      </c>
      <c r="D13114" s="1" t="str">
        <f>"400458"</f>
        <v>400458</v>
      </c>
      <c r="E13114" s="1" t="s">
        <v>4579</v>
      </c>
      <c r="F13114" s="1">
        <v>9</v>
      </c>
      <c r="G13114" s="1">
        <v>525</v>
      </c>
      <c r="H13114" s="1">
        <v>4725</v>
      </c>
      <c r="I13114" s="1">
        <v>0</v>
      </c>
      <c r="J13114" s="1">
        <v>9</v>
      </c>
      <c r="K13114" s="1">
        <v>0</v>
      </c>
    </row>
    <row r="13115" spans="1:11" x14ac:dyDescent="0.2">
      <c r="A13115" s="1" t="s">
        <v>2831</v>
      </c>
      <c r="B13115" s="1" t="s">
        <v>2838</v>
      </c>
      <c r="C13115" s="1" t="str">
        <f>"12344-EMBRAGUE"</f>
        <v>12344-EMBRAGUE</v>
      </c>
      <c r="D13115" s="1" t="str">
        <f>"12344-EMBRAGUE"</f>
        <v>12344-EMBRAGUE</v>
      </c>
      <c r="E13115" s="1" t="s">
        <v>4579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</row>
    <row r="13116" spans="1:11" x14ac:dyDescent="0.2">
      <c r="A13116" s="1" t="s">
        <v>2831</v>
      </c>
      <c r="B13116" s="1" t="s">
        <v>2839</v>
      </c>
      <c r="C13116" s="1" t="str">
        <f>"66298903525941"</f>
        <v>66298903525941</v>
      </c>
      <c r="D13116" s="1" t="str">
        <f>"3HE839120000T"</f>
        <v>3HE839120000T</v>
      </c>
      <c r="E13116" s="1" t="s">
        <v>4579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</row>
    <row r="13117" spans="1:11" x14ac:dyDescent="0.2">
      <c r="A13117" s="1" t="s">
        <v>2831</v>
      </c>
      <c r="B13117" s="1" t="s">
        <v>2840</v>
      </c>
      <c r="C13117" s="1" t="str">
        <f>"QC047"</f>
        <v>QC047</v>
      </c>
      <c r="D13117" s="1" t="str">
        <f>"QC047"</f>
        <v>QC047</v>
      </c>
      <c r="E13117" s="1" t="s">
        <v>4579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</row>
    <row r="13118" spans="1:11" x14ac:dyDescent="0.2">
      <c r="A13118" s="1" t="s">
        <v>2831</v>
      </c>
      <c r="B13118" s="1" t="s">
        <v>2841</v>
      </c>
      <c r="C13118" s="1" t="str">
        <f>"66298903569126"</f>
        <v>66298903569126</v>
      </c>
      <c r="D13118" s="1" t="str">
        <f>"400459"</f>
        <v>400459</v>
      </c>
      <c r="E13118" s="1" t="s">
        <v>4579</v>
      </c>
      <c r="F13118" s="1">
        <v>6</v>
      </c>
      <c r="G13118" s="1">
        <v>444</v>
      </c>
      <c r="H13118" s="1">
        <v>2664</v>
      </c>
      <c r="I13118" s="1">
        <v>0</v>
      </c>
      <c r="J13118" s="1">
        <v>6</v>
      </c>
      <c r="K13118" s="1">
        <v>0</v>
      </c>
    </row>
    <row r="13119" spans="1:11" x14ac:dyDescent="0.2">
      <c r="A13119" s="1" t="s">
        <v>2831</v>
      </c>
      <c r="B13119" s="1" t="s">
        <v>2842</v>
      </c>
      <c r="C13119" s="1" t="str">
        <f>"66298903606889"</f>
        <v>66298903606889</v>
      </c>
      <c r="D13119" s="1" t="str">
        <f>"LCK007BLK"</f>
        <v>LCK007BLK</v>
      </c>
      <c r="E13119" s="1" t="s">
        <v>4579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</row>
    <row r="13120" spans="1:11" x14ac:dyDescent="0.2">
      <c r="A13120" s="1" t="s">
        <v>2831</v>
      </c>
      <c r="B13120" s="1" t="s">
        <v>2843</v>
      </c>
      <c r="C13120" s="1" t="str">
        <f>"66298903644718"</f>
        <v>66298903644718</v>
      </c>
      <c r="D13120" s="1" t="str">
        <f>"LCS011BLK"</f>
        <v>LCS011BLK</v>
      </c>
      <c r="E13120" s="1" t="s">
        <v>4579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</row>
    <row r="13121" spans="1:11" x14ac:dyDescent="0.2">
      <c r="A13121" s="1" t="s">
        <v>2831</v>
      </c>
      <c r="B13121" s="1" t="s">
        <v>2844</v>
      </c>
      <c r="C13121" s="1" t="str">
        <f>"66298903685437"</f>
        <v>66298903685437</v>
      </c>
      <c r="D13121" s="1" t="str">
        <f>"LCS043SILVE"</f>
        <v>LCS043SILVE</v>
      </c>
      <c r="E13121" s="1" t="s">
        <v>4579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</row>
    <row r="13122" spans="1:11" x14ac:dyDescent="0.2">
      <c r="A13122" s="1" t="s">
        <v>2831</v>
      </c>
      <c r="B13122" s="1" t="s">
        <v>2845</v>
      </c>
      <c r="C13122" s="1" t="str">
        <f>"57621H2A200H000"</f>
        <v>57621H2A200H000</v>
      </c>
      <c r="D13122" s="1" t="str">
        <f>"57621H2A200H000"</f>
        <v>57621H2A200H000</v>
      </c>
      <c r="E13122" s="1" t="s">
        <v>4579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</row>
    <row r="13123" spans="1:11" x14ac:dyDescent="0.2">
      <c r="A13123" s="1" t="s">
        <v>2831</v>
      </c>
      <c r="B13123" s="1" t="s">
        <v>2846</v>
      </c>
      <c r="C13123" s="1" t="str">
        <f>"66298903725700"</f>
        <v>66298903725700</v>
      </c>
      <c r="D13123" s="1" t="str">
        <f>"46092-0007"</f>
        <v>46092-0007</v>
      </c>
      <c r="E13123" s="1" t="s">
        <v>4579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</row>
    <row r="13124" spans="1:11" x14ac:dyDescent="0.2">
      <c r="A13124" s="1" t="s">
        <v>2831</v>
      </c>
      <c r="B13124" s="1" t="s">
        <v>2847</v>
      </c>
      <c r="C13124" s="1" t="str">
        <f>"57621H2J000H000"</f>
        <v>57621H2J000H000</v>
      </c>
      <c r="D13124" s="1" t="str">
        <f>"57621H2J000H000"</f>
        <v>57621H2J000H000</v>
      </c>
      <c r="E13124" s="1" t="s">
        <v>4579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</row>
    <row r="13125" spans="1:11" x14ac:dyDescent="0.2">
      <c r="A13125" s="1" t="s">
        <v>2831</v>
      </c>
      <c r="B13125" s="1" t="s">
        <v>2848</v>
      </c>
      <c r="C13125" s="1" t="str">
        <f>"DJ191083"</f>
        <v>DJ191083</v>
      </c>
      <c r="D13125" s="1" t="str">
        <f>"DJ191083"</f>
        <v>DJ191083</v>
      </c>
      <c r="E13125" s="1" t="s">
        <v>4579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</row>
    <row r="13126" spans="1:11" x14ac:dyDescent="0.2">
      <c r="A13126" s="1" t="s">
        <v>2831</v>
      </c>
      <c r="B13126" s="1" t="s">
        <v>2849</v>
      </c>
      <c r="C13126" s="1" t="str">
        <f>"66298903764968"</f>
        <v>66298903764968</v>
      </c>
      <c r="D13126" s="1" t="str">
        <f>"82612"</f>
        <v>82612</v>
      </c>
      <c r="E13126" s="1" t="s">
        <v>4579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</row>
    <row r="13127" spans="1:11" x14ac:dyDescent="0.2">
      <c r="A13127" s="1" t="s">
        <v>2831</v>
      </c>
      <c r="B13127" s="1" t="s">
        <v>2850</v>
      </c>
      <c r="C13127" s="1" t="str">
        <f>"66298903806013"</f>
        <v>66298903806013</v>
      </c>
      <c r="D13127" s="1" t="str">
        <f>"214-83912-00"</f>
        <v>214-83912-00</v>
      </c>
      <c r="E13127" s="1" t="s">
        <v>4579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</row>
    <row r="13128" spans="1:11" x14ac:dyDescent="0.2">
      <c r="A13128" s="1" t="s">
        <v>2831</v>
      </c>
      <c r="B13128" s="1" t="s">
        <v>2851</v>
      </c>
      <c r="C13128" s="1" t="str">
        <f>"66298903851359"</f>
        <v>66298903851359</v>
      </c>
      <c r="D13128" s="1" t="str">
        <f>"400460"</f>
        <v>400460</v>
      </c>
      <c r="E13128" s="1" t="s">
        <v>4579</v>
      </c>
      <c r="F13128" s="1">
        <v>6</v>
      </c>
      <c r="G13128" s="1">
        <v>565</v>
      </c>
      <c r="H13128" s="1">
        <v>3390</v>
      </c>
      <c r="I13128" s="1">
        <v>0</v>
      </c>
      <c r="J13128" s="1">
        <v>6</v>
      </c>
      <c r="K13128" s="1">
        <v>0</v>
      </c>
    </row>
    <row r="13129" spans="1:11" x14ac:dyDescent="0.2">
      <c r="A13129" s="1" t="s">
        <v>2831</v>
      </c>
      <c r="B13129" s="1" t="s">
        <v>2852</v>
      </c>
      <c r="C13129" s="1" t="str">
        <f>"66298903891696"</f>
        <v>66298903891696</v>
      </c>
      <c r="D13129" s="1" t="str">
        <f>"LCH040BLK"</f>
        <v>LCH040BLK</v>
      </c>
      <c r="E13129" s="1" t="s">
        <v>4579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</row>
    <row r="13130" spans="1:11" x14ac:dyDescent="0.2">
      <c r="A13130" s="1" t="s">
        <v>2831</v>
      </c>
      <c r="B13130" s="1" t="s">
        <v>2853</v>
      </c>
      <c r="C13130" s="1" t="str">
        <f>"66298903932040"</f>
        <v>66298903932040</v>
      </c>
      <c r="D13130" s="1" t="str">
        <f>"53178-KE8-006"</f>
        <v>53178-KE8-006</v>
      </c>
      <c r="E13130" s="1" t="s">
        <v>4579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</row>
    <row r="13131" spans="1:11" x14ac:dyDescent="0.2">
      <c r="A13131" s="1" t="s">
        <v>2831</v>
      </c>
      <c r="B13131" s="1" t="s">
        <v>2854</v>
      </c>
      <c r="C13131" s="1" t="str">
        <f>"66298903968112"</f>
        <v>66298903968112</v>
      </c>
      <c r="D13131" s="1" t="str">
        <f>"5TJ-83912-80"</f>
        <v>5TJ-83912-80</v>
      </c>
      <c r="E13131" s="1" t="s">
        <v>4579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</row>
    <row r="13132" spans="1:11" x14ac:dyDescent="0.2">
      <c r="A13132" s="1" t="s">
        <v>2831</v>
      </c>
      <c r="B13132" s="1" t="s">
        <v>2855</v>
      </c>
      <c r="C13132" s="1" t="str">
        <f>"66298904014132"</f>
        <v>66298904014132</v>
      </c>
      <c r="D13132" s="1" t="str">
        <f>"53178-KBR-000"</f>
        <v>53178-KBR-000</v>
      </c>
      <c r="E13132" s="1" t="s">
        <v>4579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</row>
    <row r="13133" spans="1:11" x14ac:dyDescent="0.2">
      <c r="A13133" s="1" t="s">
        <v>2831</v>
      </c>
      <c r="B13133" s="1" t="s">
        <v>2856</v>
      </c>
      <c r="C13133" s="1" t="str">
        <f>"66298904057732"</f>
        <v>66298904057732</v>
      </c>
      <c r="D13133" s="1" t="str">
        <f>"QC011"</f>
        <v>QC011</v>
      </c>
      <c r="E13133" s="1" t="s">
        <v>4579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</row>
    <row r="13134" spans="1:11" x14ac:dyDescent="0.2">
      <c r="A13134" s="1" t="s">
        <v>2831</v>
      </c>
      <c r="B13134" s="1" t="s">
        <v>2857</v>
      </c>
      <c r="C13134" s="1" t="str">
        <f>"BR3083"</f>
        <v>BR3083</v>
      </c>
      <c r="D13134" s="1" t="str">
        <f>"BR3083"</f>
        <v>BR3083</v>
      </c>
      <c r="E13134" s="1" t="s">
        <v>4579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</row>
    <row r="13135" spans="1:11" x14ac:dyDescent="0.2">
      <c r="A13135" s="1" t="s">
        <v>2831</v>
      </c>
      <c r="B13135" s="1" t="s">
        <v>2858</v>
      </c>
      <c r="C13135" s="1" t="str">
        <f>"66298904154567"</f>
        <v>66298904154567</v>
      </c>
      <c r="D13135" s="1" t="str">
        <f>"LCH117SILVE"</f>
        <v>LCH117SILVE</v>
      </c>
      <c r="E13135" s="1" t="s">
        <v>4579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</row>
    <row r="13136" spans="1:11" x14ac:dyDescent="0.2">
      <c r="A13136" s="1" t="s">
        <v>2831</v>
      </c>
      <c r="B13136" s="1" t="s">
        <v>2859</v>
      </c>
      <c r="C13136" s="1" t="str">
        <f>"66298904222832"</f>
        <v>66298904222832</v>
      </c>
      <c r="D13136" s="1" t="str">
        <f>"400462"</f>
        <v>400462</v>
      </c>
      <c r="E13136" s="1" t="s">
        <v>4579</v>
      </c>
      <c r="F13136" s="1">
        <v>6</v>
      </c>
      <c r="G13136" s="1">
        <v>570</v>
      </c>
      <c r="H13136" s="1">
        <v>3420</v>
      </c>
      <c r="I13136" s="1">
        <v>0</v>
      </c>
      <c r="J13136" s="1">
        <v>6</v>
      </c>
      <c r="K13136" s="1">
        <v>0</v>
      </c>
    </row>
    <row r="13137" spans="1:11" x14ac:dyDescent="0.2">
      <c r="A13137" s="1" t="s">
        <v>2831</v>
      </c>
      <c r="B13137" s="1" t="s">
        <v>2860</v>
      </c>
      <c r="C13137" s="1" t="str">
        <f>"66298904102005"</f>
        <v>66298904102005</v>
      </c>
      <c r="D13137" s="1" t="str">
        <f>"400461"</f>
        <v>400461</v>
      </c>
      <c r="E13137" s="1" t="s">
        <v>4579</v>
      </c>
      <c r="F13137" s="1">
        <v>6</v>
      </c>
      <c r="G13137" s="1">
        <v>565</v>
      </c>
      <c r="H13137" s="1">
        <v>3390</v>
      </c>
      <c r="I13137" s="1">
        <v>0</v>
      </c>
      <c r="J13137" s="1">
        <v>6</v>
      </c>
      <c r="K13137" s="1">
        <v>0</v>
      </c>
    </row>
    <row r="13138" spans="1:11" x14ac:dyDescent="0.2">
      <c r="A13138" s="1" t="s">
        <v>2831</v>
      </c>
      <c r="B13138" s="1" t="s">
        <v>2861</v>
      </c>
      <c r="C13138" s="1" t="str">
        <f>"66298904263137"</f>
        <v>66298904263137</v>
      </c>
      <c r="D13138" s="1" t="str">
        <f>"LCY136SILVE"</f>
        <v>LCY136SILVE</v>
      </c>
      <c r="E13138" s="1" t="s">
        <v>4579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</row>
    <row r="13139" spans="1:11" x14ac:dyDescent="0.2">
      <c r="A13139" s="1" t="s">
        <v>2831</v>
      </c>
      <c r="B13139" s="1" t="s">
        <v>2862</v>
      </c>
      <c r="C13139" s="1" t="str">
        <f>"49CC15"</f>
        <v>49CC15</v>
      </c>
      <c r="D13139" s="1" t="str">
        <f>"49CC15"</f>
        <v>49CC15</v>
      </c>
      <c r="E13139" s="1" t="s">
        <v>4579</v>
      </c>
      <c r="F13139" s="1">
        <v>2</v>
      </c>
      <c r="G13139" s="1">
        <v>990</v>
      </c>
      <c r="H13139" s="1">
        <v>1980</v>
      </c>
      <c r="I13139" s="1">
        <v>0</v>
      </c>
      <c r="J13139" s="1">
        <v>2</v>
      </c>
      <c r="K13139" s="1">
        <v>0</v>
      </c>
    </row>
    <row r="13140" spans="1:11" ht="30" x14ac:dyDescent="0.2">
      <c r="A13140" s="1" t="s">
        <v>2831</v>
      </c>
      <c r="B13140" s="1" t="s">
        <v>2863</v>
      </c>
      <c r="C13140" s="1" t="str">
        <f>"QC042"</f>
        <v>QC042</v>
      </c>
      <c r="D13140" s="1" t="str">
        <f>"QC042"</f>
        <v>QC042</v>
      </c>
      <c r="E13140" s="1" t="s">
        <v>4579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</row>
    <row r="13141" spans="1:11" x14ac:dyDescent="0.2">
      <c r="A13141" s="1" t="s">
        <v>2831</v>
      </c>
      <c r="B13141" s="1" t="s">
        <v>2864</v>
      </c>
      <c r="C13141" s="1" t="str">
        <f>"66298904304453"</f>
        <v>66298904304453</v>
      </c>
      <c r="D13141" s="1" t="str">
        <f>"53175-198-900GH"</f>
        <v>53175-198-900GH</v>
      </c>
      <c r="E13141" s="1" t="s">
        <v>4579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</row>
    <row r="13142" spans="1:11" x14ac:dyDescent="0.2">
      <c r="A13142" s="1" t="s">
        <v>2831</v>
      </c>
      <c r="B13142" s="1" t="s">
        <v>2865</v>
      </c>
      <c r="C13142" s="1" t="str">
        <f>"66298904351574"</f>
        <v>66298904351574</v>
      </c>
      <c r="D13142" s="1" t="str">
        <f>"0553"</f>
        <v>0553</v>
      </c>
      <c r="E13142" s="1" t="s">
        <v>4579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</row>
    <row r="13143" spans="1:11" x14ac:dyDescent="0.2">
      <c r="A13143" s="1" t="s">
        <v>2831</v>
      </c>
      <c r="B13143" s="1" t="s">
        <v>2866</v>
      </c>
      <c r="C13143" s="1" t="str">
        <f>"66298904393088"</f>
        <v>66298904393088</v>
      </c>
      <c r="D13143" s="1" t="str">
        <f>"53175-ML3-790"</f>
        <v>53175-ML3-790</v>
      </c>
      <c r="E13143" s="1" t="s">
        <v>4579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</row>
    <row r="13144" spans="1:11" x14ac:dyDescent="0.2">
      <c r="A13144" s="1" t="s">
        <v>2831</v>
      </c>
      <c r="B13144" s="1" t="s">
        <v>2867</v>
      </c>
      <c r="C13144" s="1" t="str">
        <f>"66298904434248"</f>
        <v>66298904434248</v>
      </c>
      <c r="D13144" s="1" t="str">
        <f>"LBH102SILVE"</f>
        <v>LBH102SILVE</v>
      </c>
      <c r="E13144" s="1" t="s">
        <v>4579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</row>
    <row r="13145" spans="1:11" x14ac:dyDescent="0.2">
      <c r="A13145" s="1" t="s">
        <v>2831</v>
      </c>
      <c r="B13145" s="1" t="s">
        <v>2868</v>
      </c>
      <c r="C13145" s="1" t="str">
        <f>"66298904474239"</f>
        <v>66298904474239</v>
      </c>
      <c r="D13145" s="1" t="str">
        <f>"LBH117SILVE"</f>
        <v>LBH117SILVE</v>
      </c>
      <c r="E13145" s="1" t="s">
        <v>4579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</row>
    <row r="13146" spans="1:11" x14ac:dyDescent="0.2">
      <c r="A13146" s="1" t="s">
        <v>2831</v>
      </c>
      <c r="B13146" s="1" t="s">
        <v>2869</v>
      </c>
      <c r="C13146" s="1" t="str">
        <f>"66298904514027"</f>
        <v>66298904514027</v>
      </c>
      <c r="D13146" s="1" t="str">
        <f>"MAN-ATV-DEL"</f>
        <v>MAN-ATV-DEL</v>
      </c>
      <c r="E13146" s="1" t="s">
        <v>4579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</row>
    <row r="13147" spans="1:11" x14ac:dyDescent="0.2">
      <c r="A13147" s="1" t="s">
        <v>2831</v>
      </c>
      <c r="B13147" s="1" t="s">
        <v>2870</v>
      </c>
      <c r="C13147" s="1" t="str">
        <f>"66298904553788"</f>
        <v>66298904553788</v>
      </c>
      <c r="D13147" s="1" t="str">
        <f>"57421-29C00-000"</f>
        <v>57421-29C00-000</v>
      </c>
      <c r="E13147" s="1" t="s">
        <v>4579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</row>
    <row r="13148" spans="1:11" x14ac:dyDescent="0.2">
      <c r="A13148" s="1" t="s">
        <v>2831</v>
      </c>
      <c r="B13148" s="1" t="s">
        <v>2871</v>
      </c>
      <c r="C13148" s="1" t="str">
        <f>"66298904596279"</f>
        <v>66298904596279</v>
      </c>
      <c r="D13148" s="1" t="str">
        <f>"708"</f>
        <v>708</v>
      </c>
      <c r="E13148" s="1" t="s">
        <v>4579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</row>
    <row r="13149" spans="1:11" x14ac:dyDescent="0.2">
      <c r="A13149" s="1" t="s">
        <v>2831</v>
      </c>
      <c r="B13149" s="1" t="s">
        <v>2872</v>
      </c>
      <c r="C13149" s="1" t="str">
        <f>"66298904635853"</f>
        <v>66298904635853</v>
      </c>
      <c r="D13149" s="1" t="str">
        <f>"400475"</f>
        <v>400475</v>
      </c>
      <c r="E13149" s="1" t="s">
        <v>4579</v>
      </c>
      <c r="F13149" s="1">
        <v>9</v>
      </c>
      <c r="G13149" s="1">
        <v>546</v>
      </c>
      <c r="H13149" s="1">
        <v>4914</v>
      </c>
      <c r="I13149" s="1">
        <v>0</v>
      </c>
      <c r="J13149" s="1">
        <v>9</v>
      </c>
      <c r="K13149" s="1">
        <v>0</v>
      </c>
    </row>
    <row r="13150" spans="1:11" x14ac:dyDescent="0.2">
      <c r="A13150" s="1" t="s">
        <v>2831</v>
      </c>
      <c r="B13150" s="1" t="s">
        <v>2873</v>
      </c>
      <c r="C13150" s="1" t="str">
        <f>"12344-FRENO"</f>
        <v>12344-FRENO</v>
      </c>
      <c r="D13150" s="1" t="str">
        <f>"12344-FRENO"</f>
        <v>12344-FRENO</v>
      </c>
      <c r="E13150" s="1" t="s">
        <v>4579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</row>
    <row r="13151" spans="1:11" x14ac:dyDescent="0.2">
      <c r="A13151" s="1" t="s">
        <v>2831</v>
      </c>
      <c r="B13151" s="1" t="s">
        <v>2874</v>
      </c>
      <c r="C13151" s="1" t="str">
        <f>"66298904673979"</f>
        <v>66298904673979</v>
      </c>
      <c r="D13151" s="1" t="str">
        <f>"LBY020BLK"</f>
        <v>LBY020BLK</v>
      </c>
      <c r="E13151" s="1" t="s">
        <v>4579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</row>
    <row r="13152" spans="1:11" ht="30" x14ac:dyDescent="0.2">
      <c r="A13152" s="1" t="s">
        <v>2831</v>
      </c>
      <c r="B13152" s="1" t="s">
        <v>2875</v>
      </c>
      <c r="C13152" s="1" t="str">
        <f>"66298904717004"</f>
        <v>66298904717004</v>
      </c>
      <c r="D13152" s="1" t="str">
        <f>"400476"</f>
        <v>400476</v>
      </c>
      <c r="E13152" s="1" t="s">
        <v>4579</v>
      </c>
      <c r="F13152" s="1">
        <v>2</v>
      </c>
      <c r="G13152" s="1">
        <v>574</v>
      </c>
      <c r="H13152" s="1">
        <v>1148</v>
      </c>
      <c r="I13152" s="1">
        <v>0</v>
      </c>
      <c r="J13152" s="1">
        <v>2</v>
      </c>
      <c r="K13152" s="1">
        <v>0</v>
      </c>
    </row>
    <row r="13153" spans="1:11" x14ac:dyDescent="0.2">
      <c r="A13153" s="1" t="s">
        <v>2831</v>
      </c>
      <c r="B13153" s="1" t="s">
        <v>2876</v>
      </c>
      <c r="C13153" s="1" t="str">
        <f>"66298904756600"</f>
        <v>66298904756600</v>
      </c>
      <c r="D13153" s="1" t="str">
        <f>"400014"</f>
        <v>400014</v>
      </c>
      <c r="E13153" s="1" t="s">
        <v>4579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</row>
    <row r="13154" spans="1:11" x14ac:dyDescent="0.2">
      <c r="A13154" s="1" t="s">
        <v>2831</v>
      </c>
      <c r="B13154" s="1" t="s">
        <v>2877</v>
      </c>
      <c r="C13154" s="1" t="str">
        <f>"66298904794243"</f>
        <v>66298904794243</v>
      </c>
      <c r="D13154" s="1" t="str">
        <f>"LBS008BLK"</f>
        <v>LBS008BLK</v>
      </c>
      <c r="E13154" s="1" t="s">
        <v>4579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</row>
    <row r="13155" spans="1:11" x14ac:dyDescent="0.2">
      <c r="A13155" s="1" t="s">
        <v>2831</v>
      </c>
      <c r="B13155" s="1" t="s">
        <v>2878</v>
      </c>
      <c r="C13155" s="1" t="str">
        <f>"57621-42G11-000"</f>
        <v>57621-42G11-000</v>
      </c>
      <c r="D13155" s="1" t="str">
        <f>"57621-42G11-000"</f>
        <v>57621-42G11-000</v>
      </c>
      <c r="E13155" s="1" t="s">
        <v>4579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</row>
    <row r="13156" spans="1:11" x14ac:dyDescent="0.2">
      <c r="A13156" s="1" t="s">
        <v>2831</v>
      </c>
      <c r="B13156" s="1" t="s">
        <v>2879</v>
      </c>
      <c r="C13156" s="1" t="str">
        <f>"57421H45F10H000"</f>
        <v>57421H45F10H000</v>
      </c>
      <c r="D13156" s="1" t="str">
        <f>"57421H45F10H000"</f>
        <v>57421H45F10H000</v>
      </c>
      <c r="E13156" s="1" t="s">
        <v>4579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</row>
    <row r="13157" spans="1:11" x14ac:dyDescent="0.2">
      <c r="A13157" s="1" t="s">
        <v>2831</v>
      </c>
      <c r="B13157" s="1" t="s">
        <v>2880</v>
      </c>
      <c r="C13157" s="1" t="str">
        <f>"EMJM20275"</f>
        <v>EMJM20275</v>
      </c>
      <c r="D13157" s="1" t="str">
        <f>"EMJM20275"</f>
        <v>EMJM20275</v>
      </c>
      <c r="E13157" s="1" t="s">
        <v>4579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</row>
    <row r="13158" spans="1:11" x14ac:dyDescent="0.2">
      <c r="A13158" s="1" t="s">
        <v>2831</v>
      </c>
      <c r="B13158" s="1" t="s">
        <v>2881</v>
      </c>
      <c r="C13158" s="1" t="str">
        <f>"66298904837925"</f>
        <v>66298904837925</v>
      </c>
      <c r="D13158" s="1" t="str">
        <f>"46092-1155"</f>
        <v>46092-1155</v>
      </c>
      <c r="E13158" s="1" t="s">
        <v>4579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</row>
    <row r="13159" spans="1:11" x14ac:dyDescent="0.2">
      <c r="A13159" s="1" t="s">
        <v>2831</v>
      </c>
      <c r="B13159" s="1" t="s">
        <v>2882</v>
      </c>
      <c r="C13159" s="1" t="str">
        <f>"66298904874799"</f>
        <v>66298904874799</v>
      </c>
      <c r="D13159" s="1" t="str">
        <f>"LBK006BLK"</f>
        <v>LBK006BLK</v>
      </c>
      <c r="E13159" s="1" t="s">
        <v>4579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</row>
    <row r="13160" spans="1:11" x14ac:dyDescent="0.2">
      <c r="A13160" s="1" t="s">
        <v>2831</v>
      </c>
      <c r="B13160" s="1" t="s">
        <v>2883</v>
      </c>
      <c r="C13160" s="1" t="str">
        <f>"66298904916008"</f>
        <v>66298904916008</v>
      </c>
      <c r="D13160" s="1" t="str">
        <f>"LCE088SILVE"</f>
        <v>LCE088SILVE</v>
      </c>
      <c r="E13160" s="1" t="s">
        <v>4579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</row>
    <row r="13161" spans="1:11" x14ac:dyDescent="0.2">
      <c r="A13161" s="1" t="s">
        <v>2831</v>
      </c>
      <c r="B13161" s="1" t="s">
        <v>2884</v>
      </c>
      <c r="C13161" s="1" t="str">
        <f>"66298904954877"</f>
        <v>66298904954877</v>
      </c>
      <c r="D13161" s="1" t="str">
        <f>"SHORTLBK054SILV"</f>
        <v>SHORTLBK054SILV</v>
      </c>
      <c r="E13161" s="1" t="s">
        <v>4579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</row>
    <row r="13162" spans="1:11" x14ac:dyDescent="0.2">
      <c r="A13162" s="1" t="s">
        <v>2831</v>
      </c>
      <c r="B13162" s="1" t="s">
        <v>2885</v>
      </c>
      <c r="C13162" s="1" t="str">
        <f>"57421H40100H000"</f>
        <v>57421H40100H000</v>
      </c>
      <c r="D13162" s="1" t="str">
        <f>"57421H40100H000"</f>
        <v>57421H40100H000</v>
      </c>
      <c r="E13162" s="1" t="s">
        <v>4579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</row>
    <row r="13163" spans="1:11" ht="30" x14ac:dyDescent="0.2">
      <c r="A13163" s="1" t="s">
        <v>2831</v>
      </c>
      <c r="B13163" s="1" t="s">
        <v>2886</v>
      </c>
      <c r="C13163" s="1" t="str">
        <f>"66298904998757"</f>
        <v>66298904998757</v>
      </c>
      <c r="D13163" s="1" t="str">
        <f>"83173"</f>
        <v>83173</v>
      </c>
      <c r="E13163" s="1" t="s">
        <v>4579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</row>
    <row r="13164" spans="1:11" x14ac:dyDescent="0.2">
      <c r="A13164" s="1" t="s">
        <v>2831</v>
      </c>
      <c r="B13164" s="1" t="s">
        <v>2887</v>
      </c>
      <c r="C13164" s="1" t="str">
        <f>"EMKD00225"</f>
        <v>EMKD00225</v>
      </c>
      <c r="D13164" s="1" t="str">
        <f>"EMKD00225"</f>
        <v>EMKD00225</v>
      </c>
      <c r="E13164" s="1" t="s">
        <v>4579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</row>
    <row r="13165" spans="1:11" x14ac:dyDescent="0.2">
      <c r="A13165" s="1" t="s">
        <v>2831</v>
      </c>
      <c r="B13165" s="1" t="s">
        <v>2888</v>
      </c>
      <c r="C13165" s="1" t="str">
        <f>"57310-37F00"</f>
        <v>57310-37F00</v>
      </c>
      <c r="D13165" s="1" t="str">
        <f>"57310-37F00"</f>
        <v>57310-37F00</v>
      </c>
      <c r="E13165" s="1" t="s">
        <v>4579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</row>
    <row r="13166" spans="1:11" x14ac:dyDescent="0.2">
      <c r="A13166" s="1" t="s">
        <v>2831</v>
      </c>
      <c r="B13166" s="1" t="s">
        <v>2889</v>
      </c>
      <c r="C13166" s="1" t="str">
        <f>"66298905035685"</f>
        <v>66298905035685</v>
      </c>
      <c r="D13166" s="1" t="str">
        <f>"80972"</f>
        <v>80972</v>
      </c>
      <c r="E13166" s="1" t="s">
        <v>4579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</row>
    <row r="13167" spans="1:11" x14ac:dyDescent="0.2">
      <c r="A13167" s="1" t="s">
        <v>2831</v>
      </c>
      <c r="B13167" s="1" t="s">
        <v>2890</v>
      </c>
      <c r="C13167" s="1" t="str">
        <f>"66298905077240"</f>
        <v>66298905077240</v>
      </c>
      <c r="D13167" s="1" t="str">
        <f>"QC005"</f>
        <v>QC005</v>
      </c>
      <c r="E13167" s="1" t="s">
        <v>4579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</row>
    <row r="13168" spans="1:11" x14ac:dyDescent="0.2">
      <c r="A13168" s="1" t="s">
        <v>2831</v>
      </c>
      <c r="B13168" s="1" t="s">
        <v>2891</v>
      </c>
      <c r="C13168" s="1" t="str">
        <f>"66298905119733"</f>
        <v>66298905119733</v>
      </c>
      <c r="D13168" s="1" t="str">
        <f>"MAN-ATV-TRA"</f>
        <v>MAN-ATV-TRA</v>
      </c>
      <c r="E13168" s="1" t="s">
        <v>4579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</row>
    <row r="13169" spans="1:11" x14ac:dyDescent="0.2">
      <c r="A13169" s="1" t="s">
        <v>2831</v>
      </c>
      <c r="B13169" s="1" t="s">
        <v>2892</v>
      </c>
      <c r="C13169" s="1" t="str">
        <f>"66298905162711"</f>
        <v>66298905162711</v>
      </c>
      <c r="D13169" s="1" t="str">
        <f>"MAN-CG-TRA"</f>
        <v>MAN-CG-TRA</v>
      </c>
      <c r="E13169" s="1" t="s">
        <v>4579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</row>
    <row r="13170" spans="1:11" x14ac:dyDescent="0.2">
      <c r="A13170" s="1" t="s">
        <v>2831</v>
      </c>
      <c r="B13170" s="1" t="s">
        <v>2893</v>
      </c>
      <c r="C13170" s="1" t="str">
        <f>"66298905200482"</f>
        <v>66298905200482</v>
      </c>
      <c r="D13170" s="1" t="str">
        <f>"53175-KB7-000"</f>
        <v>53175-KB7-000</v>
      </c>
      <c r="E13170" s="1" t="s">
        <v>4579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</row>
    <row r="13171" spans="1:11" x14ac:dyDescent="0.2">
      <c r="A13171" s="1" t="s">
        <v>2831</v>
      </c>
      <c r="B13171" s="1" t="s">
        <v>2894</v>
      </c>
      <c r="C13171" s="1" t="str">
        <f>"66298905243160"</f>
        <v>66298905243160</v>
      </c>
      <c r="D13171" s="1" t="str">
        <f>"LBH029BLK"</f>
        <v>LBH029BLK</v>
      </c>
      <c r="E13171" s="1" t="s">
        <v>4579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</row>
    <row r="13172" spans="1:11" x14ac:dyDescent="0.2">
      <c r="A13172" s="1" t="s">
        <v>2831</v>
      </c>
      <c r="B13172" s="1" t="s">
        <v>2895</v>
      </c>
      <c r="C13172" s="1" t="str">
        <f>"53175-KJ1-730"</f>
        <v>53175-KJ1-730</v>
      </c>
      <c r="D13172" s="1" t="str">
        <f>"53175-KJ1-730"</f>
        <v>53175-KJ1-730</v>
      </c>
      <c r="E13172" s="1" t="s">
        <v>4579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</row>
    <row r="13173" spans="1:11" x14ac:dyDescent="0.2">
      <c r="A13173" s="1" t="s">
        <v>2831</v>
      </c>
      <c r="B13173" s="1" t="s">
        <v>2896</v>
      </c>
      <c r="C13173" s="1" t="str">
        <f>"66298905325258"</f>
        <v>66298905325258</v>
      </c>
      <c r="D13173" s="1" t="str">
        <f>"401035"</f>
        <v>401035</v>
      </c>
      <c r="E13173" s="1" t="s">
        <v>4579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</row>
    <row r="13174" spans="1:11" x14ac:dyDescent="0.2">
      <c r="A13174" s="1" t="s">
        <v>2831</v>
      </c>
      <c r="B13174" s="1" t="s">
        <v>2897</v>
      </c>
      <c r="C13174" s="1" t="str">
        <f>"66298905286991"</f>
        <v>66298905286991</v>
      </c>
      <c r="D13174" s="1" t="str">
        <f>"400477"</f>
        <v>400477</v>
      </c>
      <c r="E13174" s="1" t="s">
        <v>4579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</row>
    <row r="13175" spans="1:11" x14ac:dyDescent="0.2">
      <c r="A13175" s="1" t="s">
        <v>2831</v>
      </c>
      <c r="B13175" s="1" t="s">
        <v>2898</v>
      </c>
      <c r="C13175" s="1" t="str">
        <f>"66298905366381"</f>
        <v>66298905366381</v>
      </c>
      <c r="D13175" s="1" t="str">
        <f>"2W1-83922-00"</f>
        <v>2W1-83922-00</v>
      </c>
      <c r="E13175" s="1" t="s">
        <v>4579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</row>
    <row r="13176" spans="1:11" x14ac:dyDescent="0.2">
      <c r="A13176" s="1" t="s">
        <v>2831</v>
      </c>
      <c r="B13176" s="1" t="s">
        <v>2899</v>
      </c>
      <c r="C13176" s="1" t="str">
        <f>"66298905408796"</f>
        <v>66298905408796</v>
      </c>
      <c r="D13176" s="1" t="str">
        <f>"400478"</f>
        <v>400478</v>
      </c>
      <c r="E13176" s="1" t="s">
        <v>4579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</row>
    <row r="13177" spans="1:11" x14ac:dyDescent="0.2">
      <c r="A13177" s="1" t="s">
        <v>2831</v>
      </c>
      <c r="B13177" s="1" t="s">
        <v>2900</v>
      </c>
      <c r="C13177" s="1" t="str">
        <f>"66298905450519"</f>
        <v>66298905450519</v>
      </c>
      <c r="D13177" s="1" t="str">
        <f>"84880"</f>
        <v>84880</v>
      </c>
      <c r="E13177" s="1" t="s">
        <v>4579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</row>
    <row r="13178" spans="1:11" x14ac:dyDescent="0.2">
      <c r="A13178" s="1" t="s">
        <v>2831</v>
      </c>
      <c r="B13178" s="1" t="s">
        <v>2901</v>
      </c>
      <c r="C13178" s="1" t="str">
        <f>"66298905501603"</f>
        <v>66298905501603</v>
      </c>
      <c r="D13178" s="1" t="str">
        <f>"11967"</f>
        <v>11967</v>
      </c>
      <c r="E13178" s="1" t="s">
        <v>4579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</row>
    <row r="13179" spans="1:11" x14ac:dyDescent="0.2">
      <c r="A13179" s="1" t="s">
        <v>2831</v>
      </c>
      <c r="B13179" s="1" t="s">
        <v>2902</v>
      </c>
      <c r="C13179" s="1" t="str">
        <f>"66298905542038"</f>
        <v>66298905542038</v>
      </c>
      <c r="D13179" s="1" t="str">
        <f>"MAN-FRE-YZF"</f>
        <v>MAN-FRE-YZF</v>
      </c>
      <c r="E13179" s="1" t="s">
        <v>4579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</row>
    <row r="13180" spans="1:11" x14ac:dyDescent="0.2">
      <c r="A13180" s="1" t="s">
        <v>2903</v>
      </c>
      <c r="B13180" s="1" t="s">
        <v>2904</v>
      </c>
      <c r="C13180" s="1" t="str">
        <f>"Q020"</f>
        <v>Q020</v>
      </c>
      <c r="D13180" s="1" t="str">
        <f>"Q020"</f>
        <v>Q020</v>
      </c>
      <c r="E13180" s="1" t="s">
        <v>4579</v>
      </c>
      <c r="F13180" s="1">
        <v>1</v>
      </c>
      <c r="G13180" s="1">
        <v>2780</v>
      </c>
      <c r="H13180" s="1">
        <v>2780</v>
      </c>
      <c r="I13180" s="1">
        <v>0</v>
      </c>
      <c r="J13180" s="1">
        <v>1</v>
      </c>
      <c r="K13180" s="1">
        <v>0</v>
      </c>
    </row>
    <row r="13181" spans="1:11" x14ac:dyDescent="0.2">
      <c r="A13181" s="1" t="s">
        <v>2903</v>
      </c>
      <c r="B13181" s="1" t="s">
        <v>2905</v>
      </c>
      <c r="C13181" s="1" t="str">
        <f>"66298905581331"</f>
        <v>66298905581331</v>
      </c>
      <c r="D13181" s="1" t="str">
        <f>"400011"</f>
        <v>400011</v>
      </c>
      <c r="E13181" s="1" t="s">
        <v>4579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</row>
    <row r="13182" spans="1:11" x14ac:dyDescent="0.2">
      <c r="A13182" s="1" t="s">
        <v>2903</v>
      </c>
      <c r="B13182" s="1" t="s">
        <v>2906</v>
      </c>
      <c r="C13182" s="1" t="str">
        <f>"Q063"</f>
        <v>Q063</v>
      </c>
      <c r="D13182" s="1" t="str">
        <f>"Q063"</f>
        <v>Q063</v>
      </c>
      <c r="E13182" s="1" t="s">
        <v>4579</v>
      </c>
      <c r="F13182" s="1">
        <v>4</v>
      </c>
      <c r="G13182" s="1">
        <v>2270</v>
      </c>
      <c r="H13182" s="1">
        <v>9080</v>
      </c>
      <c r="I13182" s="1">
        <v>0</v>
      </c>
      <c r="J13182" s="1">
        <v>4</v>
      </c>
      <c r="K13182" s="1">
        <v>0</v>
      </c>
    </row>
    <row r="13183" spans="1:11" x14ac:dyDescent="0.2">
      <c r="A13183" s="1" t="s">
        <v>2903</v>
      </c>
      <c r="B13183" s="1" t="s">
        <v>2907</v>
      </c>
      <c r="C13183" s="1" t="str">
        <f>"12768"</f>
        <v>12768</v>
      </c>
      <c r="D13183" s="1" t="str">
        <f>"12768"</f>
        <v>12768</v>
      </c>
      <c r="E13183" s="1" t="s">
        <v>4579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</row>
    <row r="13184" spans="1:11" x14ac:dyDescent="0.2">
      <c r="A13184" s="1" t="s">
        <v>2903</v>
      </c>
      <c r="B13184" s="1" t="s">
        <v>2908</v>
      </c>
      <c r="C13184" s="1" t="str">
        <f>"Q041"</f>
        <v>Q041</v>
      </c>
      <c r="D13184" s="1" t="str">
        <f>"Q041"</f>
        <v>Q041</v>
      </c>
      <c r="E13184" s="1" t="s">
        <v>4579</v>
      </c>
      <c r="F13184" s="1">
        <v>2</v>
      </c>
      <c r="G13184" s="1">
        <v>1820</v>
      </c>
      <c r="H13184" s="1">
        <v>3640</v>
      </c>
      <c r="I13184" s="1">
        <v>0</v>
      </c>
      <c r="J13184" s="1">
        <v>2</v>
      </c>
      <c r="K13184" s="1">
        <v>0</v>
      </c>
    </row>
    <row r="13185" spans="1:11" x14ac:dyDescent="0.2">
      <c r="A13185" s="1" t="s">
        <v>2903</v>
      </c>
      <c r="B13185" s="1" t="s">
        <v>2909</v>
      </c>
      <c r="C13185" s="1" t="str">
        <f>"57500H2A200H000"</f>
        <v>57500H2A200H000</v>
      </c>
      <c r="D13185" s="1" t="str">
        <f>"57500H2A200H000"</f>
        <v>57500H2A200H000</v>
      </c>
      <c r="E13185" s="1" t="s">
        <v>4579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</row>
    <row r="13186" spans="1:11" x14ac:dyDescent="0.2">
      <c r="A13186" s="1" t="s">
        <v>2903</v>
      </c>
      <c r="B13186" s="1" t="s">
        <v>2910</v>
      </c>
      <c r="C13186" s="1" t="str">
        <f>"EMKD00051"</f>
        <v>EMKD00051</v>
      </c>
      <c r="D13186" s="1" t="str">
        <f>"EMKD00051"</f>
        <v>EMKD00051</v>
      </c>
      <c r="E13186" s="1" t="s">
        <v>4579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0</v>
      </c>
    </row>
    <row r="13187" spans="1:11" x14ac:dyDescent="0.2">
      <c r="A13187" s="1" t="s">
        <v>2903</v>
      </c>
      <c r="B13187" s="1" t="s">
        <v>2911</v>
      </c>
      <c r="C13187" s="1" t="str">
        <f>"EMJM00284"</f>
        <v>EMJM00284</v>
      </c>
      <c r="D13187" s="1" t="str">
        <f>"EMJM00284"</f>
        <v>EMJM00284</v>
      </c>
      <c r="E13187" s="1" t="s">
        <v>4579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</row>
    <row r="13188" spans="1:11" x14ac:dyDescent="0.2">
      <c r="A13188" s="1" t="s">
        <v>2903</v>
      </c>
      <c r="B13188" s="1" t="s">
        <v>2912</v>
      </c>
      <c r="C13188" s="1" t="str">
        <f>"MANILLAR-EMB-UNIV"</f>
        <v>MANILLAR-EMB-UNIV</v>
      </c>
      <c r="D13188" s="1" t="str">
        <f>"MANILLAR-EMB-UNIV"</f>
        <v>MANILLAR-EMB-UNIV</v>
      </c>
      <c r="E13188" s="1" t="s">
        <v>4579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</row>
    <row r="13189" spans="1:11" x14ac:dyDescent="0.2">
      <c r="A13189" s="1" t="s">
        <v>2903</v>
      </c>
      <c r="B13189" s="1" t="s">
        <v>2912</v>
      </c>
      <c r="C13189" s="1" t="str">
        <f>"Q011"</f>
        <v>Q011</v>
      </c>
      <c r="D13189" s="1" t="str">
        <f>"Q011"</f>
        <v>Q011</v>
      </c>
      <c r="E13189" s="1" t="s">
        <v>4579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</row>
    <row r="13190" spans="1:11" x14ac:dyDescent="0.2">
      <c r="A13190" s="1" t="s">
        <v>2903</v>
      </c>
      <c r="B13190" s="1" t="s">
        <v>2913</v>
      </c>
      <c r="C13190" s="1" t="str">
        <f>"Q021"</f>
        <v>Q021</v>
      </c>
      <c r="D13190" s="1" t="str">
        <f>"Q021"</f>
        <v>Q021</v>
      </c>
      <c r="E13190" s="1" t="s">
        <v>4579</v>
      </c>
      <c r="F13190" s="1">
        <v>2</v>
      </c>
      <c r="G13190" s="1">
        <v>2780</v>
      </c>
      <c r="H13190" s="1">
        <v>5560</v>
      </c>
      <c r="I13190" s="1">
        <v>0</v>
      </c>
      <c r="J13190" s="1">
        <v>2</v>
      </c>
      <c r="K13190" s="1">
        <v>0</v>
      </c>
    </row>
    <row r="13191" spans="1:11" x14ac:dyDescent="0.2">
      <c r="A13191" s="1" t="s">
        <v>2903</v>
      </c>
      <c r="B13191" s="1" t="s">
        <v>2914</v>
      </c>
      <c r="C13191" s="1" t="str">
        <f>"Q010"</f>
        <v>Q010</v>
      </c>
      <c r="D13191" s="1" t="str">
        <f>"Q010"</f>
        <v>Q010</v>
      </c>
      <c r="E13191" s="1" t="s">
        <v>4579</v>
      </c>
      <c r="F13191" s="1">
        <v>2</v>
      </c>
      <c r="G13191" s="1">
        <v>2080</v>
      </c>
      <c r="H13191" s="1">
        <v>4160</v>
      </c>
      <c r="I13191" s="1">
        <v>0</v>
      </c>
      <c r="J13191" s="1">
        <v>2</v>
      </c>
      <c r="K13191" s="1">
        <v>0</v>
      </c>
    </row>
    <row r="13192" spans="1:11" x14ac:dyDescent="0.2">
      <c r="A13192" s="1" t="s">
        <v>2903</v>
      </c>
      <c r="B13192" s="1" t="s">
        <v>2915</v>
      </c>
      <c r="C13192" s="1" t="str">
        <f>"Q061"</f>
        <v>Q061</v>
      </c>
      <c r="D13192" s="1" t="str">
        <f>"Q061"</f>
        <v>Q061</v>
      </c>
      <c r="E13192" s="1" t="s">
        <v>4579</v>
      </c>
      <c r="F13192" s="1">
        <v>3</v>
      </c>
      <c r="G13192" s="1">
        <v>2090</v>
      </c>
      <c r="H13192" s="1">
        <v>6270</v>
      </c>
      <c r="I13192" s="1">
        <v>0</v>
      </c>
      <c r="J13192" s="1">
        <v>3</v>
      </c>
      <c r="K13192" s="1">
        <v>0</v>
      </c>
    </row>
    <row r="13193" spans="1:11" x14ac:dyDescent="0.2">
      <c r="A13193" s="1" t="s">
        <v>2831</v>
      </c>
      <c r="B13193" s="1" t="s">
        <v>2916</v>
      </c>
      <c r="C13193" s="1" t="str">
        <f>"4465"</f>
        <v>4465</v>
      </c>
      <c r="D13193" s="1" t="str">
        <f>"4465"</f>
        <v>4465</v>
      </c>
      <c r="E13193" s="1" t="s">
        <v>4579</v>
      </c>
      <c r="F13193" s="1">
        <v>1</v>
      </c>
      <c r="G13193" s="1">
        <v>2950</v>
      </c>
      <c r="H13193" s="1">
        <v>2950</v>
      </c>
      <c r="I13193" s="1">
        <v>0</v>
      </c>
      <c r="J13193" s="1">
        <v>1</v>
      </c>
      <c r="K13193" s="1">
        <v>0</v>
      </c>
    </row>
    <row r="13194" spans="1:11" x14ac:dyDescent="0.2">
      <c r="A13194" s="1" t="s">
        <v>2831</v>
      </c>
      <c r="B13194" s="1" t="s">
        <v>2916</v>
      </c>
      <c r="C13194" s="1" t="str">
        <f>"Q065"</f>
        <v>Q065</v>
      </c>
      <c r="D13194" s="1" t="str">
        <f>"Q065"</f>
        <v>Q065</v>
      </c>
      <c r="E13194" s="1" t="s">
        <v>4579</v>
      </c>
      <c r="F13194" s="1">
        <v>1</v>
      </c>
      <c r="G13194" s="1">
        <v>3570</v>
      </c>
      <c r="H13194" s="1">
        <v>3570</v>
      </c>
      <c r="I13194" s="1">
        <v>0</v>
      </c>
      <c r="J13194" s="1">
        <v>1</v>
      </c>
      <c r="K13194" s="1">
        <v>0</v>
      </c>
    </row>
    <row r="13195" spans="1:11" x14ac:dyDescent="0.2">
      <c r="A13195" s="1" t="s">
        <v>2831</v>
      </c>
      <c r="B13195" s="1" t="s">
        <v>2916</v>
      </c>
      <c r="C13195" s="1" t="str">
        <f>"4464M"</f>
        <v>4464M</v>
      </c>
      <c r="D13195" s="1" t="str">
        <f>"4464M"</f>
        <v>4464M</v>
      </c>
      <c r="E13195" s="1" t="s">
        <v>4579</v>
      </c>
      <c r="F13195" s="1">
        <v>1</v>
      </c>
      <c r="G13195" s="1">
        <v>2250</v>
      </c>
      <c r="H13195" s="1">
        <v>2250</v>
      </c>
      <c r="I13195" s="1">
        <v>0</v>
      </c>
      <c r="J13195" s="1">
        <v>1</v>
      </c>
      <c r="K13195" s="1">
        <v>0</v>
      </c>
    </row>
    <row r="13196" spans="1:11" x14ac:dyDescent="0.2">
      <c r="A13196" s="1" t="s">
        <v>2831</v>
      </c>
      <c r="B13196" s="1" t="s">
        <v>2917</v>
      </c>
      <c r="C13196" s="1" t="str">
        <f>"10491"</f>
        <v>10491</v>
      </c>
      <c r="D13196" s="1" t="str">
        <f>"10491"</f>
        <v>10491</v>
      </c>
      <c r="E13196" s="1" t="s">
        <v>4579</v>
      </c>
      <c r="F13196" s="1">
        <v>2</v>
      </c>
      <c r="G13196" s="1">
        <v>3120</v>
      </c>
      <c r="H13196" s="1">
        <v>6240</v>
      </c>
      <c r="I13196" s="1">
        <v>0</v>
      </c>
      <c r="J13196" s="1">
        <v>2</v>
      </c>
      <c r="K13196" s="1">
        <v>0</v>
      </c>
    </row>
    <row r="13197" spans="1:11" x14ac:dyDescent="0.2">
      <c r="A13197" s="1" t="s">
        <v>18</v>
      </c>
      <c r="B13197" s="1" t="s">
        <v>2918</v>
      </c>
      <c r="C13197" s="1" t="str">
        <f>"66298905621042"</f>
        <v>66298905621042</v>
      </c>
      <c r="D13197" s="1" t="str">
        <f>"QC032-VERDE"</f>
        <v>QC032-VERDE</v>
      </c>
      <c r="E13197" s="1" t="s">
        <v>4579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</row>
    <row r="13198" spans="1:11" x14ac:dyDescent="0.2">
      <c r="A13198" s="1" t="s">
        <v>18</v>
      </c>
      <c r="B13198" s="1" t="s">
        <v>2919</v>
      </c>
      <c r="C13198" s="1" t="str">
        <f>"12530-NEGRO"</f>
        <v>12530-NEGRO</v>
      </c>
      <c r="D13198" s="1" t="str">
        <f>"12530-NEGRO"</f>
        <v>12530-NEGRO</v>
      </c>
      <c r="E13198" s="1" t="s">
        <v>4579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</row>
    <row r="13199" spans="1:11" x14ac:dyDescent="0.2">
      <c r="A13199" s="1" t="s">
        <v>18</v>
      </c>
      <c r="B13199" s="1" t="s">
        <v>2920</v>
      </c>
      <c r="C13199" s="1" t="str">
        <f>"16487-NEGRO"</f>
        <v>16487-NEGRO</v>
      </c>
      <c r="D13199" s="1" t="str">
        <f>"16487-NEGRO"</f>
        <v>16487-NEGRO</v>
      </c>
      <c r="E13199" s="1" t="s">
        <v>4579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</row>
    <row r="13200" spans="1:11" x14ac:dyDescent="0.2">
      <c r="A13200" s="1" t="s">
        <v>18</v>
      </c>
      <c r="B13200" s="1" t="s">
        <v>2921</v>
      </c>
      <c r="C13200" s="1" t="str">
        <f>"66298905658455"</f>
        <v>66298905658455</v>
      </c>
      <c r="D13200" s="1" t="str">
        <f>"QC028-VERDE"</f>
        <v>QC028-VERDE</v>
      </c>
      <c r="E13200" s="1" t="s">
        <v>4579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</row>
    <row r="13201" spans="1:11" x14ac:dyDescent="0.2">
      <c r="A13201" s="1" t="s">
        <v>18</v>
      </c>
      <c r="B13201" s="1" t="s">
        <v>2922</v>
      </c>
      <c r="C13201" s="1" t="str">
        <f>"2602-NEGRO"</f>
        <v>2602-NEGRO</v>
      </c>
      <c r="D13201" s="1" t="str">
        <f>"2602-NEGRO"</f>
        <v>2602-NEGRO</v>
      </c>
      <c r="E13201" s="1" t="s">
        <v>4579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</row>
    <row r="13202" spans="1:11" x14ac:dyDescent="0.2">
      <c r="A13202" s="1" t="s">
        <v>18</v>
      </c>
      <c r="B13202" s="1" t="s">
        <v>2923</v>
      </c>
      <c r="C13202" s="1" t="str">
        <f>"66298905699777"</f>
        <v>66298905699777</v>
      </c>
      <c r="D13202" s="1" t="str">
        <f>"4050-NEGRO"</f>
        <v>4050-NEGRO</v>
      </c>
      <c r="E13202" s="1" t="s">
        <v>4579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</row>
    <row r="13203" spans="1:11" x14ac:dyDescent="0.2">
      <c r="A13203" s="1" t="s">
        <v>18</v>
      </c>
      <c r="B13203" s="1" t="s">
        <v>2924</v>
      </c>
      <c r="C13203" s="1" t="str">
        <f>"2159-NEGRO"</f>
        <v>2159-NEGRO</v>
      </c>
      <c r="D13203" s="1" t="str">
        <f>"2159-NEGRO"</f>
        <v>2159-NEGRO</v>
      </c>
      <c r="E13203" s="1" t="s">
        <v>4579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</row>
    <row r="13204" spans="1:11" x14ac:dyDescent="0.2">
      <c r="A13204" s="1" t="s">
        <v>18</v>
      </c>
      <c r="B13204" s="1" t="s">
        <v>2925</v>
      </c>
      <c r="C13204" s="1" t="str">
        <f>"66298905741087"</f>
        <v>66298905741087</v>
      </c>
      <c r="D13204" s="1" t="str">
        <f>"QC037"</f>
        <v>QC037</v>
      </c>
      <c r="E13204" s="1" t="s">
        <v>4579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</row>
    <row r="13205" spans="1:11" x14ac:dyDescent="0.2">
      <c r="A13205" s="1" t="s">
        <v>18</v>
      </c>
      <c r="B13205" s="1" t="s">
        <v>2926</v>
      </c>
      <c r="C13205" s="1" t="str">
        <f>"66298905783291"</f>
        <v>66298905783291</v>
      </c>
      <c r="D13205" s="1" t="str">
        <f>"QC038"</f>
        <v>QC038</v>
      </c>
      <c r="E13205" s="1" t="s">
        <v>4579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</row>
    <row r="13206" spans="1:11" x14ac:dyDescent="0.2">
      <c r="A13206" s="1" t="s">
        <v>18</v>
      </c>
      <c r="B13206" s="1" t="s">
        <v>2927</v>
      </c>
      <c r="C13206" s="1" t="str">
        <f>"66298905824003"</f>
        <v>66298905824003</v>
      </c>
      <c r="D13206" s="1" t="str">
        <f>"QC035-ROJO"</f>
        <v>QC035-ROJO</v>
      </c>
      <c r="E13206" s="1" t="s">
        <v>4579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</row>
    <row r="13207" spans="1:11" x14ac:dyDescent="0.2">
      <c r="A13207" s="1" t="s">
        <v>18</v>
      </c>
      <c r="B13207" s="1" t="s">
        <v>2928</v>
      </c>
      <c r="C13207" s="1" t="str">
        <f>"66298905863805"</f>
        <v>66298905863805</v>
      </c>
      <c r="D13207" s="1" t="str">
        <f>"QC218-GT250-AZ"</f>
        <v>QC218-GT250-AZ</v>
      </c>
      <c r="E13207" s="1" t="s">
        <v>4579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</row>
    <row r="13208" spans="1:11" x14ac:dyDescent="0.2">
      <c r="A13208" s="1" t="s">
        <v>18</v>
      </c>
      <c r="B13208" s="1" t="s">
        <v>2929</v>
      </c>
      <c r="C13208" s="1" t="str">
        <f>"66298905903234"</f>
        <v>66298905903234</v>
      </c>
      <c r="D13208" s="1" t="str">
        <f>"QC218-GT250-RO"</f>
        <v>QC218-GT250-RO</v>
      </c>
      <c r="E13208" s="1" t="s">
        <v>4579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</row>
    <row r="13209" spans="1:11" x14ac:dyDescent="0.2">
      <c r="A13209" s="1" t="s">
        <v>18</v>
      </c>
      <c r="B13209" s="1" t="s">
        <v>2930</v>
      </c>
      <c r="C13209" s="1" t="str">
        <f>"66298905943288"</f>
        <v>66298905943288</v>
      </c>
      <c r="D13209" s="1" t="str">
        <f>"QC218-GT650-AZ"</f>
        <v>QC218-GT650-AZ</v>
      </c>
      <c r="E13209" s="1" t="s">
        <v>4579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</row>
    <row r="13210" spans="1:11" x14ac:dyDescent="0.2">
      <c r="A13210" s="1" t="s">
        <v>18</v>
      </c>
      <c r="B13210" s="1" t="s">
        <v>2931</v>
      </c>
      <c r="C13210" s="1" t="str">
        <f>"66298905982349"</f>
        <v>66298905982349</v>
      </c>
      <c r="D13210" s="1" t="str">
        <f>"QC218-GT650-RO"</f>
        <v>QC218-GT650-RO</v>
      </c>
      <c r="E13210" s="1" t="s">
        <v>4579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</row>
    <row r="13211" spans="1:11" x14ac:dyDescent="0.2">
      <c r="A13211" s="1" t="s">
        <v>18</v>
      </c>
      <c r="B13211" s="1" t="s">
        <v>2932</v>
      </c>
      <c r="C13211" s="1" t="str">
        <f>"66298906021251"</f>
        <v>66298906021251</v>
      </c>
      <c r="D13211" s="1" t="str">
        <f>"QC218-KTM-AZUL"</f>
        <v>QC218-KTM-AZUL</v>
      </c>
      <c r="E13211" s="1" t="s">
        <v>4579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</row>
    <row r="13212" spans="1:11" x14ac:dyDescent="0.2">
      <c r="A13212" s="1" t="s">
        <v>18</v>
      </c>
      <c r="B13212" s="1" t="s">
        <v>2933</v>
      </c>
      <c r="C13212" s="1" t="str">
        <f>"66298906065590"</f>
        <v>66298906065590</v>
      </c>
      <c r="D13212" s="1" t="str">
        <f>"2117-MANILLAS"</f>
        <v>2117-MANILLAS</v>
      </c>
      <c r="E13212" s="1" t="s">
        <v>4579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</row>
    <row r="13213" spans="1:11" x14ac:dyDescent="0.2">
      <c r="A13213" s="1" t="s">
        <v>18</v>
      </c>
      <c r="B13213" s="1" t="s">
        <v>2934</v>
      </c>
      <c r="C13213" s="1" t="str">
        <f>"66298906114876"</f>
        <v>66298906114876</v>
      </c>
      <c r="D13213" s="1" t="str">
        <f>"QC218-PUL/AS-AZ"</f>
        <v>QC218-PUL/AS-AZ</v>
      </c>
      <c r="E13213" s="1" t="s">
        <v>4579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</row>
    <row r="13214" spans="1:11" x14ac:dyDescent="0.2">
      <c r="A13214" s="1" t="s">
        <v>18</v>
      </c>
      <c r="B13214" s="1" t="s">
        <v>2935</v>
      </c>
      <c r="C13214" s="1" t="str">
        <f>"66298906155980"</f>
        <v>66298906155980</v>
      </c>
      <c r="D13214" s="1" t="str">
        <f>"QC218-PUL/AS-RO"</f>
        <v>QC218-PUL/AS-RO</v>
      </c>
      <c r="E13214" s="1" t="s">
        <v>4579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</row>
    <row r="13215" spans="1:11" x14ac:dyDescent="0.2">
      <c r="A13215" s="1" t="s">
        <v>18</v>
      </c>
      <c r="B13215" s="1" t="s">
        <v>2936</v>
      </c>
      <c r="C13215" s="1" t="str">
        <f>"66298906199714"</f>
        <v>66298906199714</v>
      </c>
      <c r="D13215" s="1" t="str">
        <f>"QC218-PUL/RS-RO"</f>
        <v>QC218-PUL/RS-RO</v>
      </c>
      <c r="E13215" s="1" t="s">
        <v>4579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0</v>
      </c>
    </row>
    <row r="13216" spans="1:11" x14ac:dyDescent="0.2">
      <c r="A13216" s="1" t="s">
        <v>18</v>
      </c>
      <c r="B13216" s="1" t="s">
        <v>2937</v>
      </c>
      <c r="C13216" s="1" t="str">
        <f>"66298906248377"</f>
        <v>66298906248377</v>
      </c>
      <c r="D13216" s="1" t="str">
        <f>"QC031-DORADA"</f>
        <v>QC031-DORADA</v>
      </c>
      <c r="E13216" s="1" t="s">
        <v>4579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</row>
    <row r="13217" spans="1:11" x14ac:dyDescent="0.2">
      <c r="A13217" s="1" t="s">
        <v>18</v>
      </c>
      <c r="B13217" s="1" t="s">
        <v>2938</v>
      </c>
      <c r="C13217" s="1" t="str">
        <f>"66298906290058"</f>
        <v>66298906290058</v>
      </c>
      <c r="D13217" s="1" t="str">
        <f>"QC031-NEGRO"</f>
        <v>QC031-NEGRO</v>
      </c>
      <c r="E13217" s="1" t="s">
        <v>4579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</row>
    <row r="13218" spans="1:11" x14ac:dyDescent="0.2">
      <c r="A13218" s="1" t="s">
        <v>18</v>
      </c>
      <c r="B13218" s="1" t="s">
        <v>2939</v>
      </c>
      <c r="C13218" s="1" t="str">
        <f>"66298906327683"</f>
        <v>66298906327683</v>
      </c>
      <c r="D13218" s="1" t="str">
        <f>"QC031-VERDE"</f>
        <v>QC031-VERDE</v>
      </c>
      <c r="E13218" s="1" t="s">
        <v>4579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</row>
    <row r="13219" spans="1:11" x14ac:dyDescent="0.2">
      <c r="A13219" s="1" t="s">
        <v>2940</v>
      </c>
      <c r="B13219" s="1" t="s">
        <v>2941</v>
      </c>
      <c r="C13219" s="1" t="str">
        <f>"GF006"</f>
        <v>GF006</v>
      </c>
      <c r="D13219" s="1" t="str">
        <f>"GF006"</f>
        <v>GF006</v>
      </c>
      <c r="E13219" s="1" t="s">
        <v>4579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</row>
    <row r="13220" spans="1:11" x14ac:dyDescent="0.2">
      <c r="A13220" s="1" t="s">
        <v>2940</v>
      </c>
      <c r="B13220" s="1" t="s">
        <v>2942</v>
      </c>
      <c r="C13220" s="1" t="str">
        <f>"2971-DORADO"</f>
        <v>2971-DORADO</v>
      </c>
      <c r="D13220" s="1" t="str">
        <f>"2971-DORADO"</f>
        <v>2971-DORADO</v>
      </c>
      <c r="E13220" s="1" t="s">
        <v>4579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</row>
    <row r="13221" spans="1:11" x14ac:dyDescent="0.2">
      <c r="A13221" s="1" t="s">
        <v>2940</v>
      </c>
      <c r="B13221" s="1" t="s">
        <v>2943</v>
      </c>
      <c r="C13221" s="1" t="str">
        <f>"2971-NARANJA"</f>
        <v>2971-NARANJA</v>
      </c>
      <c r="D13221" s="1" t="str">
        <f>"2971-NARANJA"</f>
        <v>2971-NARANJA</v>
      </c>
      <c r="E13221" s="1" t="s">
        <v>4579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</row>
    <row r="13222" spans="1:11" x14ac:dyDescent="0.2">
      <c r="A13222" s="1" t="s">
        <v>2940</v>
      </c>
      <c r="B13222" s="1" t="s">
        <v>2944</v>
      </c>
      <c r="C13222" s="1" t="str">
        <f>"2971-PLATEADO"</f>
        <v>2971-PLATEADO</v>
      </c>
      <c r="D13222" s="1" t="str">
        <f>"2971-PLATEADO"</f>
        <v>2971-PLATEADO</v>
      </c>
      <c r="E13222" s="1" t="s">
        <v>4579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</row>
    <row r="13223" spans="1:11" x14ac:dyDescent="0.2">
      <c r="A13223" s="1" t="s">
        <v>2940</v>
      </c>
      <c r="B13223" s="1" t="s">
        <v>2945</v>
      </c>
      <c r="C13223" s="1" t="str">
        <f>"2971-ROJO"</f>
        <v>2971-ROJO</v>
      </c>
      <c r="D13223" s="1" t="str">
        <f>"2971-ROJO"</f>
        <v>2971-ROJO</v>
      </c>
      <c r="E13223" s="1" t="s">
        <v>4579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</row>
    <row r="13224" spans="1:11" x14ac:dyDescent="0.2">
      <c r="A13224" s="1" t="s">
        <v>2940</v>
      </c>
      <c r="B13224" s="1" t="s">
        <v>2946</v>
      </c>
      <c r="C13224" s="1" t="str">
        <f>"66298906369029"</f>
        <v>66298906369029</v>
      </c>
      <c r="D13224" s="1" t="str">
        <f>"3203"</f>
        <v>3203</v>
      </c>
      <c r="E13224" s="1" t="s">
        <v>4579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</row>
    <row r="13225" spans="1:11" x14ac:dyDescent="0.2">
      <c r="A13225" s="1" t="s">
        <v>2940</v>
      </c>
      <c r="B13225" s="1" t="s">
        <v>2947</v>
      </c>
      <c r="C13225" s="1" t="str">
        <f>"66298906412804"</f>
        <v>66298906412804</v>
      </c>
      <c r="D13225" s="1" t="str">
        <f>"49CC36"</f>
        <v>49CC36</v>
      </c>
      <c r="E13225" s="1" t="s">
        <v>4579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</row>
    <row r="13226" spans="1:11" x14ac:dyDescent="0.2">
      <c r="A13226" s="1" t="s">
        <v>2940</v>
      </c>
      <c r="B13226" s="1" t="s">
        <v>2948</v>
      </c>
      <c r="C13226" s="1" t="str">
        <f>"66298906450363"</f>
        <v>66298906450363</v>
      </c>
      <c r="D13226" s="1" t="str">
        <f>"GF031-NEGRO"</f>
        <v>GF031-NEGRO</v>
      </c>
      <c r="E13226" s="1" t="s">
        <v>4579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</row>
    <row r="13227" spans="1:11" x14ac:dyDescent="0.2">
      <c r="A13227" s="1" t="s">
        <v>2940</v>
      </c>
      <c r="B13227" s="1" t="s">
        <v>2948</v>
      </c>
      <c r="C13227" s="1" t="str">
        <f>"66298906490109"</f>
        <v>66298906490109</v>
      </c>
      <c r="D13227" s="1" t="str">
        <f>"GF031-CROMADO"</f>
        <v>GF031-CROMADO</v>
      </c>
      <c r="E13227" s="1" t="s">
        <v>4579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</row>
    <row r="13228" spans="1:11" x14ac:dyDescent="0.2">
      <c r="A13228" s="1" t="s">
        <v>2940</v>
      </c>
      <c r="B13228" s="1" t="s">
        <v>2949</v>
      </c>
      <c r="C13228" s="1" t="str">
        <f>"66298906532919"</f>
        <v>66298906532919</v>
      </c>
      <c r="D13228" s="1" t="str">
        <f>"GF020-GRIS"</f>
        <v>GF020-GRIS</v>
      </c>
      <c r="E13228" s="1" t="s">
        <v>4579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</row>
    <row r="13229" spans="1:11" ht="30" x14ac:dyDescent="0.2">
      <c r="A13229" s="1" t="s">
        <v>2940</v>
      </c>
      <c r="B13229" s="1" t="s">
        <v>2950</v>
      </c>
      <c r="C13229" s="1" t="str">
        <f>"66298906659147"</f>
        <v>66298906659147</v>
      </c>
      <c r="D13229" s="1" t="str">
        <f>"GF005"</f>
        <v>GF005</v>
      </c>
      <c r="E13229" s="1" t="s">
        <v>4579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</row>
    <row r="13230" spans="1:11" x14ac:dyDescent="0.2">
      <c r="A13230" s="1" t="s">
        <v>2940</v>
      </c>
      <c r="B13230" s="1" t="s">
        <v>2951</v>
      </c>
      <c r="C13230" s="1" t="str">
        <f>"66298906572803"</f>
        <v>66298906572803</v>
      </c>
      <c r="D13230" s="1" t="str">
        <f>"JPC2001-042"</f>
        <v>JPC2001-042</v>
      </c>
      <c r="E13230" s="1" t="s">
        <v>4579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</row>
    <row r="13231" spans="1:11" x14ac:dyDescent="0.2">
      <c r="A13231" s="1" t="s">
        <v>2940</v>
      </c>
      <c r="B13231" s="1" t="s">
        <v>2952</v>
      </c>
      <c r="C13231" s="1" t="str">
        <f>"66298906613577"</f>
        <v>66298906613577</v>
      </c>
      <c r="D13231" s="1" t="str">
        <f>"GF007"</f>
        <v>GF007</v>
      </c>
      <c r="E13231" s="1" t="s">
        <v>4579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</row>
    <row r="13232" spans="1:11" x14ac:dyDescent="0.2">
      <c r="A13232" s="1" t="s">
        <v>2940</v>
      </c>
      <c r="B13232" s="1" t="s">
        <v>2953</v>
      </c>
      <c r="C13232" s="1" t="str">
        <f>"66298906702064"</f>
        <v>66298906702064</v>
      </c>
      <c r="D13232" s="1" t="str">
        <f>"GF029-CROMADO"</f>
        <v>GF029-CROMADO</v>
      </c>
      <c r="E13232" s="1" t="s">
        <v>4579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</row>
    <row r="13233" spans="1:11" x14ac:dyDescent="0.2">
      <c r="A13233" s="1" t="s">
        <v>2940</v>
      </c>
      <c r="B13233" s="1" t="s">
        <v>2954</v>
      </c>
      <c r="C13233" s="1" t="str">
        <f>"66298906738448"</f>
        <v>66298906738448</v>
      </c>
      <c r="D13233" s="1" t="str">
        <f>"GF001"</f>
        <v>GF001</v>
      </c>
      <c r="E13233" s="1" t="s">
        <v>4579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</row>
    <row r="13234" spans="1:11" x14ac:dyDescent="0.2">
      <c r="A13234" s="1" t="s">
        <v>2940</v>
      </c>
      <c r="B13234" s="1" t="s">
        <v>2955</v>
      </c>
      <c r="C13234" s="1" t="str">
        <f>"66298906775750"</f>
        <v>66298906775750</v>
      </c>
      <c r="D13234" s="1" t="str">
        <f>"20P-F6122-00"</f>
        <v>20P-F6122-00</v>
      </c>
      <c r="E13234" s="1" t="s">
        <v>4579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</row>
    <row r="13235" spans="1:11" x14ac:dyDescent="0.2">
      <c r="A13235" s="1" t="s">
        <v>2940</v>
      </c>
      <c r="B13235" s="1" t="s">
        <v>2956</v>
      </c>
      <c r="C13235" s="1" t="str">
        <f>"66298906817345"</f>
        <v>66298906817345</v>
      </c>
      <c r="D13235" s="1" t="str">
        <f>"C065"</f>
        <v>C065</v>
      </c>
      <c r="E13235" s="1" t="s">
        <v>4579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</row>
    <row r="13236" spans="1:11" x14ac:dyDescent="0.2">
      <c r="A13236" s="1" t="s">
        <v>2940</v>
      </c>
      <c r="B13236" s="1" t="s">
        <v>2957</v>
      </c>
      <c r="C13236" s="1" t="str">
        <f>"66298906865648"</f>
        <v>66298906865648</v>
      </c>
      <c r="D13236" s="1" t="str">
        <f>"GF006-AZUL"</f>
        <v>GF006-AZUL</v>
      </c>
      <c r="E13236" s="1" t="s">
        <v>4579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</row>
    <row r="13237" spans="1:11" x14ac:dyDescent="0.2">
      <c r="A13237" s="1" t="s">
        <v>2940</v>
      </c>
      <c r="B13237" s="1" t="s">
        <v>2958</v>
      </c>
      <c r="C13237" s="1" t="str">
        <f>"66298906859740"</f>
        <v>66298906859740</v>
      </c>
      <c r="D13237" s="1" t="str">
        <f>"GF006-NEGRO"</f>
        <v>GF006-NEGRO</v>
      </c>
      <c r="E13237" s="1" t="s">
        <v>4579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</row>
    <row r="13238" spans="1:11" x14ac:dyDescent="0.2">
      <c r="A13238" s="1" t="s">
        <v>2940</v>
      </c>
      <c r="B13238" s="1" t="s">
        <v>2959</v>
      </c>
      <c r="C13238" s="1" t="str">
        <f>"GF006-ROJO"</f>
        <v>GF006-ROJO</v>
      </c>
      <c r="D13238" s="1" t="str">
        <f>"GF006-ROJO"</f>
        <v>GF006-ROJO</v>
      </c>
      <c r="E13238" s="1" t="s">
        <v>4579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</row>
    <row r="13239" spans="1:11" x14ac:dyDescent="0.2">
      <c r="A13239" s="1" t="s">
        <v>2940</v>
      </c>
      <c r="B13239" s="1" t="s">
        <v>2960</v>
      </c>
      <c r="C13239" s="1" t="str">
        <f>"EXP11"</f>
        <v>EXP11</v>
      </c>
      <c r="D13239" s="1" t="str">
        <f>"EXP11"</f>
        <v>EXP11</v>
      </c>
      <c r="E13239" s="1" t="s">
        <v>4579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</row>
    <row r="13240" spans="1:11" x14ac:dyDescent="0.2">
      <c r="A13240" s="1" t="s">
        <v>2940</v>
      </c>
      <c r="B13240" s="1" t="s">
        <v>2961</v>
      </c>
      <c r="C13240" s="1" t="str">
        <f>"GF002"</f>
        <v>GF002</v>
      </c>
      <c r="D13240" s="1" t="str">
        <f>"GF002"</f>
        <v>GF002</v>
      </c>
      <c r="E13240" s="1" t="s">
        <v>4579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</row>
    <row r="13241" spans="1:11" x14ac:dyDescent="0.2">
      <c r="A13241" s="1" t="s">
        <v>2940</v>
      </c>
      <c r="B13241" s="1" t="s">
        <v>2962</v>
      </c>
      <c r="C13241" s="1" t="str">
        <f>"B97-F6110-00"</f>
        <v>B97-F6110-00</v>
      </c>
      <c r="D13241" s="1" t="str">
        <f>"B97-F6110-00"</f>
        <v>B97-F6110-00</v>
      </c>
      <c r="E13241" s="1" t="s">
        <v>4579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</row>
    <row r="13242" spans="1:11" x14ac:dyDescent="0.2">
      <c r="A13242" s="1" t="s">
        <v>2940</v>
      </c>
      <c r="B13242" s="1" t="s">
        <v>2963</v>
      </c>
      <c r="C13242" s="1" t="str">
        <f>"12321"</f>
        <v>12321</v>
      </c>
      <c r="D13242" s="1" t="str">
        <f>"12321"</f>
        <v>12321</v>
      </c>
      <c r="E13242" s="1" t="s">
        <v>4579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</row>
    <row r="13243" spans="1:11" x14ac:dyDescent="0.2">
      <c r="A13243" s="1" t="s">
        <v>2940</v>
      </c>
      <c r="B13243" s="1" t="s">
        <v>2964</v>
      </c>
      <c r="C13243" s="1" t="str">
        <f>"GF004"</f>
        <v>GF004</v>
      </c>
      <c r="D13243" s="1" t="str">
        <f>"GF004"</f>
        <v>GF004</v>
      </c>
      <c r="E13243" s="1" t="s">
        <v>4579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</row>
    <row r="13244" spans="1:11" x14ac:dyDescent="0.2">
      <c r="A13244" s="1" t="s">
        <v>2940</v>
      </c>
      <c r="B13244" s="1" t="s">
        <v>2965</v>
      </c>
      <c r="C13244" s="1" t="str">
        <f>"48"</f>
        <v>48</v>
      </c>
      <c r="D13244" s="1" t="str">
        <f>"1348"</f>
        <v>1348</v>
      </c>
      <c r="E13244" s="1" t="s">
        <v>4579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</row>
    <row r="13245" spans="1:11" x14ac:dyDescent="0.2">
      <c r="A13245" s="1" t="s">
        <v>2940</v>
      </c>
      <c r="B13245" s="1" t="s">
        <v>2966</v>
      </c>
      <c r="C13245" s="1" t="str">
        <f>"66298906958490"</f>
        <v>66298906958490</v>
      </c>
      <c r="D13245" s="1" t="str">
        <f>"GF003"</f>
        <v>GF003</v>
      </c>
      <c r="E13245" s="1" t="s">
        <v>4579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</row>
    <row r="13246" spans="1:11" x14ac:dyDescent="0.2">
      <c r="A13246" s="1" t="s">
        <v>2940</v>
      </c>
      <c r="B13246" s="1" t="s">
        <v>2967</v>
      </c>
      <c r="C13246" s="1" t="str">
        <f>"56111H2C000H000"</f>
        <v>56111H2C000H000</v>
      </c>
      <c r="D13246" s="1" t="str">
        <f>"56111H2C000H000"</f>
        <v>56111H2C000H000</v>
      </c>
      <c r="E13246" s="1" t="s">
        <v>4579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</row>
    <row r="13247" spans="1:11" x14ac:dyDescent="0.2">
      <c r="A13247" s="1" t="s">
        <v>2940</v>
      </c>
      <c r="B13247" s="1" t="s">
        <v>2968</v>
      </c>
      <c r="C13247" s="1" t="str">
        <f>"66298906998637"</f>
        <v>66298906998637</v>
      </c>
      <c r="D13247" s="1" t="str">
        <f>"83185"</f>
        <v>83185</v>
      </c>
      <c r="E13247" s="1" t="s">
        <v>4579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</row>
    <row r="13248" spans="1:11" x14ac:dyDescent="0.2">
      <c r="A13248" s="1" t="s">
        <v>2940</v>
      </c>
      <c r="B13248" s="1" t="s">
        <v>2969</v>
      </c>
      <c r="C13248" s="1" t="str">
        <f>"56110H40102H000"</f>
        <v>56110H40102H000</v>
      </c>
      <c r="D13248" s="1" t="str">
        <f>"56110H40102H000"</f>
        <v>56110H40102H000</v>
      </c>
      <c r="E13248" s="1" t="s">
        <v>4579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</row>
    <row r="13249" spans="1:11" x14ac:dyDescent="0.2">
      <c r="A13249" s="1" t="s">
        <v>2940</v>
      </c>
      <c r="B13249" s="1" t="s">
        <v>2970</v>
      </c>
      <c r="C13249" s="1" t="str">
        <f>"84360"</f>
        <v>84360</v>
      </c>
      <c r="D13249" s="1" t="str">
        <f>"84360"</f>
        <v>84360</v>
      </c>
      <c r="E13249" s="1" t="s">
        <v>4579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</row>
    <row r="13250" spans="1:11" x14ac:dyDescent="0.2">
      <c r="A13250" s="1" t="s">
        <v>2940</v>
      </c>
      <c r="B13250" s="1" t="s">
        <v>2971</v>
      </c>
      <c r="C13250" s="1" t="str">
        <f>"66298907091087"</f>
        <v>66298907091087</v>
      </c>
      <c r="D13250" s="1" t="str">
        <f>"83458"</f>
        <v>83458</v>
      </c>
      <c r="E13250" s="1" t="s">
        <v>4579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</row>
    <row r="13251" spans="1:11" x14ac:dyDescent="0.2">
      <c r="A13251" s="1" t="s">
        <v>2940</v>
      </c>
      <c r="B13251" s="1" t="s">
        <v>2972</v>
      </c>
      <c r="C13251" s="1" t="str">
        <f>"66298907133506"</f>
        <v>66298907133506</v>
      </c>
      <c r="D13251" s="1" t="str">
        <f>"GF022-NEGRO"</f>
        <v>GF022-NEGRO</v>
      </c>
      <c r="E13251" s="1" t="s">
        <v>4579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</row>
    <row r="13252" spans="1:11" x14ac:dyDescent="0.2">
      <c r="A13252" s="1" t="s">
        <v>2940</v>
      </c>
      <c r="B13252" s="1" t="s">
        <v>2972</v>
      </c>
      <c r="C13252" s="1" t="str">
        <f>"66298907139349"</f>
        <v>66298907139349</v>
      </c>
      <c r="D13252" s="1" t="str">
        <f>"GF022-CROMADO"</f>
        <v>GF022-CROMADO</v>
      </c>
      <c r="E13252" s="1" t="s">
        <v>4579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</row>
    <row r="13253" spans="1:11" x14ac:dyDescent="0.2">
      <c r="A13253" s="1" t="s">
        <v>2940</v>
      </c>
      <c r="B13253" s="1" t="s">
        <v>2973</v>
      </c>
      <c r="C13253" s="1" t="str">
        <f>"66298907191908"</f>
        <v>66298907191908</v>
      </c>
      <c r="D13253" s="1" t="str">
        <f>"GF010-SILVER"</f>
        <v>GF010-SILVER</v>
      </c>
      <c r="E13253" s="1" t="s">
        <v>4579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</row>
    <row r="13254" spans="1:11" x14ac:dyDescent="0.2">
      <c r="A13254" s="1" t="s">
        <v>2940</v>
      </c>
      <c r="B13254" s="1" t="s">
        <v>2973</v>
      </c>
      <c r="C13254" s="1" t="str">
        <f>"66298907236511"</f>
        <v>66298907236511</v>
      </c>
      <c r="D13254" s="1" t="str">
        <f>"GF010-ROJO"</f>
        <v>GF010-ROJO</v>
      </c>
      <c r="E13254" s="1" t="s">
        <v>4579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</row>
    <row r="13255" spans="1:11" x14ac:dyDescent="0.2">
      <c r="A13255" s="1" t="s">
        <v>2940</v>
      </c>
      <c r="B13255" s="1" t="s">
        <v>2973</v>
      </c>
      <c r="C13255" s="1" t="str">
        <f>"66298907243433"</f>
        <v>66298907243433</v>
      </c>
      <c r="D13255" s="1" t="str">
        <f>"GF010-AZUL"</f>
        <v>GF010-AZUL</v>
      </c>
      <c r="E13255" s="1" t="s">
        <v>4579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</row>
    <row r="13256" spans="1:11" x14ac:dyDescent="0.2">
      <c r="A13256" s="1" t="s">
        <v>2940</v>
      </c>
      <c r="B13256" s="1" t="s">
        <v>2974</v>
      </c>
      <c r="C13256" s="1" t="str">
        <f>"GF011"</f>
        <v>GF011</v>
      </c>
      <c r="D13256" s="1" t="str">
        <f>"GF011"</f>
        <v>GF011</v>
      </c>
      <c r="E13256" s="1" t="s">
        <v>4579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</row>
    <row r="13257" spans="1:11" x14ac:dyDescent="0.2">
      <c r="A13257" s="1" t="s">
        <v>2940</v>
      </c>
      <c r="B13257" s="1" t="s">
        <v>2975</v>
      </c>
      <c r="C13257" s="1" t="str">
        <f>"B005R"</f>
        <v>B005R</v>
      </c>
      <c r="D13257" s="1" t="str">
        <f>"B005R"</f>
        <v>B005R</v>
      </c>
      <c r="E13257" s="1" t="s">
        <v>4579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</row>
    <row r="13258" spans="1:11" x14ac:dyDescent="0.2">
      <c r="A13258" s="1" t="s">
        <v>2940</v>
      </c>
      <c r="B13258" s="1" t="s">
        <v>2976</v>
      </c>
      <c r="C13258" s="1" t="str">
        <f>"66298907301405"</f>
        <v>66298907301405</v>
      </c>
      <c r="D13258" s="1" t="str">
        <f>"80955"</f>
        <v>80955</v>
      </c>
      <c r="E13258" s="1" t="s">
        <v>4579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</row>
    <row r="13259" spans="1:11" x14ac:dyDescent="0.2">
      <c r="A13259" s="1" t="s">
        <v>2940</v>
      </c>
      <c r="B13259" s="1" t="s">
        <v>2977</v>
      </c>
      <c r="C13259" s="1" t="str">
        <f>"GF008"</f>
        <v>GF008</v>
      </c>
      <c r="D13259" s="1" t="str">
        <f>"GF008"</f>
        <v>GF008</v>
      </c>
      <c r="E13259" s="1" t="s">
        <v>4579</v>
      </c>
      <c r="F13259" s="1">
        <v>1</v>
      </c>
      <c r="G13259" s="1">
        <v>5760</v>
      </c>
      <c r="H13259" s="1">
        <v>5760</v>
      </c>
      <c r="I13259" s="1">
        <v>0</v>
      </c>
      <c r="J13259" s="1">
        <v>1</v>
      </c>
      <c r="K13259" s="1">
        <v>0</v>
      </c>
    </row>
    <row r="13260" spans="1:11" x14ac:dyDescent="0.2">
      <c r="A13260" s="1" t="s">
        <v>2940</v>
      </c>
      <c r="B13260" s="1" t="s">
        <v>2978</v>
      </c>
      <c r="C13260" s="1" t="str">
        <f>"12637"</f>
        <v>12637</v>
      </c>
      <c r="D13260" s="1" t="str">
        <f>"12637"</f>
        <v>12637</v>
      </c>
      <c r="E13260" s="1" t="s">
        <v>4579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</row>
    <row r="13261" spans="1:11" x14ac:dyDescent="0.2">
      <c r="A13261" s="1" t="s">
        <v>2940</v>
      </c>
      <c r="B13261" s="1" t="s">
        <v>2979</v>
      </c>
      <c r="C13261" s="1" t="str">
        <f>"66298907392504"</f>
        <v>66298907392504</v>
      </c>
      <c r="D13261" s="1" t="str">
        <f>"K353037400"</f>
        <v>K353037400</v>
      </c>
      <c r="E13261" s="1" t="s">
        <v>4579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</row>
    <row r="13262" spans="1:11" x14ac:dyDescent="0.2">
      <c r="A13262" s="1" t="s">
        <v>2940</v>
      </c>
      <c r="B13262" s="1" t="s">
        <v>2980</v>
      </c>
      <c r="C13262" s="1" t="str">
        <f>"66298907434289"</f>
        <v>66298907434289</v>
      </c>
      <c r="D13262" s="1" t="str">
        <f>"85038"</f>
        <v>85038</v>
      </c>
      <c r="E13262" s="1" t="s">
        <v>4579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</row>
    <row r="13263" spans="1:11" x14ac:dyDescent="0.2">
      <c r="A13263" s="1" t="s">
        <v>102</v>
      </c>
      <c r="B13263" s="1" t="s">
        <v>2981</v>
      </c>
      <c r="C13263" s="1" t="str">
        <f>"66298907473520"</f>
        <v>66298907473520</v>
      </c>
      <c r="D13263" s="1" t="str">
        <f>"82593"</f>
        <v>82593</v>
      </c>
      <c r="E13263" s="1" t="s">
        <v>4579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</row>
    <row r="13264" spans="1:11" x14ac:dyDescent="0.2">
      <c r="A13264" s="1" t="s">
        <v>18</v>
      </c>
      <c r="B13264" s="1" t="s">
        <v>2982</v>
      </c>
      <c r="C13264" s="1" t="str">
        <f>"H025"</f>
        <v>H025</v>
      </c>
      <c r="D13264" s="1" t="str">
        <f>"H025"</f>
        <v>H025</v>
      </c>
      <c r="E13264" s="1" t="s">
        <v>4579</v>
      </c>
      <c r="F13264" s="1">
        <v>2</v>
      </c>
      <c r="G13264" s="1">
        <v>5250</v>
      </c>
      <c r="H13264" s="1">
        <v>10500</v>
      </c>
      <c r="I13264" s="1">
        <v>0</v>
      </c>
      <c r="J13264" s="1">
        <v>2</v>
      </c>
      <c r="K13264" s="1">
        <v>0</v>
      </c>
    </row>
    <row r="13265" spans="1:11" x14ac:dyDescent="0.2">
      <c r="A13265" s="1" t="s">
        <v>102</v>
      </c>
      <c r="B13265" s="1" t="s">
        <v>2983</v>
      </c>
      <c r="C13265" s="1" t="str">
        <f>"66298907512413"</f>
        <v>66298907512413</v>
      </c>
      <c r="D13265" s="1" t="str">
        <f>"H040"</f>
        <v>H040</v>
      </c>
      <c r="E13265" s="1" t="s">
        <v>4579</v>
      </c>
      <c r="F13265" s="1">
        <v>2</v>
      </c>
      <c r="G13265" s="1">
        <v>2628</v>
      </c>
      <c r="H13265" s="1">
        <v>5256</v>
      </c>
      <c r="I13265" s="1">
        <v>0</v>
      </c>
      <c r="J13265" s="1">
        <v>2</v>
      </c>
      <c r="K13265" s="1">
        <v>0</v>
      </c>
    </row>
    <row r="13266" spans="1:11" x14ac:dyDescent="0.2">
      <c r="A13266" s="1" t="s">
        <v>18</v>
      </c>
      <c r="B13266" s="1" t="s">
        <v>2983</v>
      </c>
      <c r="C13266" s="1" t="str">
        <f>"125102"</f>
        <v>125102</v>
      </c>
      <c r="D13266" s="1" t="str">
        <f>"125102"</f>
        <v>125102</v>
      </c>
      <c r="E13266" s="1" t="s">
        <v>4579</v>
      </c>
      <c r="F13266" s="1">
        <v>1</v>
      </c>
      <c r="G13266" s="1">
        <v>3151</v>
      </c>
      <c r="H13266" s="1">
        <v>3151</v>
      </c>
      <c r="I13266" s="1">
        <v>0</v>
      </c>
      <c r="J13266" s="1">
        <v>1</v>
      </c>
      <c r="K13266" s="1">
        <v>0</v>
      </c>
    </row>
    <row r="13267" spans="1:11" x14ac:dyDescent="0.2">
      <c r="A13267" s="1" t="s">
        <v>102</v>
      </c>
      <c r="B13267" s="1" t="s">
        <v>2984</v>
      </c>
      <c r="C13267" s="1" t="str">
        <f>"138390"</f>
        <v>138390</v>
      </c>
      <c r="D13267" s="1" t="str">
        <f>"138390"</f>
        <v>138390</v>
      </c>
      <c r="E13267" s="1" t="s">
        <v>4579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</row>
    <row r="13268" spans="1:11" x14ac:dyDescent="0.2">
      <c r="A13268" s="1" t="s">
        <v>102</v>
      </c>
      <c r="B13268" s="1" t="s">
        <v>2985</v>
      </c>
      <c r="C13268" s="1" t="str">
        <f>"66298907551369"</f>
        <v>66298907551369</v>
      </c>
      <c r="D13268" s="1" t="str">
        <f>"H187"</f>
        <v>H187</v>
      </c>
      <c r="E13268" s="1" t="s">
        <v>4579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</row>
    <row r="13269" spans="1:11" x14ac:dyDescent="0.2">
      <c r="A13269" s="1" t="s">
        <v>18</v>
      </c>
      <c r="B13269" s="1" t="s">
        <v>2986</v>
      </c>
      <c r="C13269" s="1" t="str">
        <f>"66298907590072"</f>
        <v>66298907590072</v>
      </c>
      <c r="D13269" s="1" t="str">
        <f>"84994"</f>
        <v>84994</v>
      </c>
      <c r="E13269" s="1" t="s">
        <v>4579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</row>
    <row r="13270" spans="1:11" x14ac:dyDescent="0.2">
      <c r="A13270" s="1" t="s">
        <v>1413</v>
      </c>
      <c r="B13270" s="1" t="s">
        <v>2987</v>
      </c>
      <c r="C13270" s="1" t="str">
        <f>"Y158"</f>
        <v>Y158</v>
      </c>
      <c r="D13270" s="1" t="str">
        <f>"Y158"</f>
        <v>Y158</v>
      </c>
      <c r="E13270" s="1" t="s">
        <v>4579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</row>
    <row r="13271" spans="1:11" x14ac:dyDescent="0.2">
      <c r="A13271" s="1" t="s">
        <v>1413</v>
      </c>
      <c r="B13271" s="1" t="s">
        <v>2988</v>
      </c>
      <c r="C13271" s="1" t="str">
        <f>"66298907631904"</f>
        <v>66298907631904</v>
      </c>
      <c r="D13271" s="1" t="str">
        <f>"Y141"</f>
        <v>Y141</v>
      </c>
      <c r="E13271" s="1" t="s">
        <v>4579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</row>
    <row r="13272" spans="1:11" x14ac:dyDescent="0.2">
      <c r="A13272" s="1" t="s">
        <v>1413</v>
      </c>
      <c r="B13272" s="1" t="s">
        <v>2989</v>
      </c>
      <c r="C13272" s="1" t="str">
        <f>"U018"</f>
        <v>U018</v>
      </c>
      <c r="D13272" s="1" t="str">
        <f>"U018"</f>
        <v>U018</v>
      </c>
      <c r="E13272" s="1" t="s">
        <v>4579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</row>
    <row r="13273" spans="1:11" x14ac:dyDescent="0.2">
      <c r="A13273" s="1" t="s">
        <v>1413</v>
      </c>
      <c r="B13273" s="1" t="s">
        <v>2990</v>
      </c>
      <c r="C13273" s="1" t="str">
        <f>"66298907675075"</f>
        <v>66298907675075</v>
      </c>
      <c r="D13273" s="1" t="str">
        <f>"94414H40100H521"</f>
        <v>94414H40100H521</v>
      </c>
      <c r="E13273" s="1" t="s">
        <v>4579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</row>
    <row r="13274" spans="1:11" x14ac:dyDescent="0.2">
      <c r="A13274" s="1" t="s">
        <v>1413</v>
      </c>
      <c r="B13274" s="1" t="s">
        <v>2991</v>
      </c>
      <c r="C13274" s="1" t="str">
        <f>"Y332-NEGRO"</f>
        <v>Y332-NEGRO</v>
      </c>
      <c r="D13274" s="1" t="str">
        <f>"Y332-NEGRO"</f>
        <v>Y332-NEGRO</v>
      </c>
      <c r="E13274" s="1" t="s">
        <v>4579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</row>
    <row r="13275" spans="1:11" x14ac:dyDescent="0.2">
      <c r="A13275" s="1" t="s">
        <v>1413</v>
      </c>
      <c r="B13275" s="1" t="s">
        <v>2992</v>
      </c>
      <c r="C13275" s="1" t="str">
        <f>"Y010"</f>
        <v>Y010</v>
      </c>
      <c r="D13275" s="1" t="str">
        <f>"Y010"</f>
        <v>Y010</v>
      </c>
      <c r="E13275" s="1" t="s">
        <v>4579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</row>
    <row r="13276" spans="1:11" x14ac:dyDescent="0.2">
      <c r="A13276" s="1" t="s">
        <v>1413</v>
      </c>
      <c r="B13276" s="1" t="s">
        <v>2993</v>
      </c>
      <c r="C13276" s="1" t="str">
        <f>"66298907715422"</f>
        <v>66298907715422</v>
      </c>
      <c r="D13276" s="1" t="str">
        <f>"Y166"</f>
        <v>Y166</v>
      </c>
      <c r="E13276" s="1" t="s">
        <v>4579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</row>
    <row r="13277" spans="1:11" x14ac:dyDescent="0.2">
      <c r="A13277" s="1" t="s">
        <v>1413</v>
      </c>
      <c r="B13277" s="1" t="s">
        <v>2994</v>
      </c>
      <c r="C13277" s="1" t="str">
        <f>"Y054"</f>
        <v>Y054</v>
      </c>
      <c r="D13277" s="1" t="str">
        <f>"Y054"</f>
        <v>Y054</v>
      </c>
      <c r="E13277" s="1" t="s">
        <v>4579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</row>
    <row r="13278" spans="1:11" x14ac:dyDescent="0.2">
      <c r="A13278" s="1" t="s">
        <v>98</v>
      </c>
      <c r="B13278" s="1" t="s">
        <v>2995</v>
      </c>
      <c r="C13278" s="1" t="str">
        <f>"64110-44A10"</f>
        <v>64110-44A10</v>
      </c>
      <c r="D13278" s="1" t="str">
        <f>"64110-44A10"</f>
        <v>64110-44A10</v>
      </c>
      <c r="E13278" s="1" t="s">
        <v>4579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</row>
    <row r="13279" spans="1:11" x14ac:dyDescent="0.2">
      <c r="A13279" s="1" t="s">
        <v>98</v>
      </c>
      <c r="B13279" s="1" t="s">
        <v>2996</v>
      </c>
      <c r="C13279" s="1" t="str">
        <f>"42601-KW8-902"</f>
        <v>42601-KW8-902</v>
      </c>
      <c r="D13279" s="1" t="str">
        <f>"42601-KW8-902"</f>
        <v>42601-KW8-902</v>
      </c>
      <c r="E13279" s="1" t="s">
        <v>4579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</row>
    <row r="13280" spans="1:11" x14ac:dyDescent="0.2">
      <c r="A13280" s="1" t="s">
        <v>1050</v>
      </c>
      <c r="B13280" s="1" t="s">
        <v>2997</v>
      </c>
      <c r="C13280" s="1" t="str">
        <f>"66298907763204"</f>
        <v>66298907763204</v>
      </c>
      <c r="D13280" s="1" t="str">
        <f>"XA012"</f>
        <v>XA012</v>
      </c>
      <c r="E13280" s="1" t="s">
        <v>4579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</row>
    <row r="13281" spans="1:11" x14ac:dyDescent="0.2">
      <c r="A13281" s="1" t="s">
        <v>1050</v>
      </c>
      <c r="B13281" s="1" t="s">
        <v>2998</v>
      </c>
      <c r="C13281" s="1" t="str">
        <f>"66298907847213"</f>
        <v>66298907847213</v>
      </c>
      <c r="D13281" s="1" t="str">
        <f>"GY622"</f>
        <v>GY622</v>
      </c>
      <c r="E13281" s="1" t="s">
        <v>4579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</row>
    <row r="13282" spans="1:11" x14ac:dyDescent="0.2">
      <c r="A13282" s="1" t="s">
        <v>1050</v>
      </c>
      <c r="B13282" s="1" t="s">
        <v>2999</v>
      </c>
      <c r="C13282" s="1" t="str">
        <f>"66298907888283"</f>
        <v>66298907888283</v>
      </c>
      <c r="D13282" s="1" t="str">
        <f>"GY624"</f>
        <v>GY624</v>
      </c>
      <c r="E13282" s="1" t="s">
        <v>4579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</row>
    <row r="13283" spans="1:11" x14ac:dyDescent="0.2">
      <c r="A13283" s="1" t="s">
        <v>1050</v>
      </c>
      <c r="B13283" s="1" t="s">
        <v>3000</v>
      </c>
      <c r="C13283" s="1" t="str">
        <f>"66298907803488"</f>
        <v>66298907803488</v>
      </c>
      <c r="D13283" s="1" t="str">
        <f>"XA011"</f>
        <v>XA011</v>
      </c>
      <c r="E13283" s="1" t="s">
        <v>4579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</row>
    <row r="13284" spans="1:11" x14ac:dyDescent="0.2">
      <c r="A13284" s="1" t="s">
        <v>1096</v>
      </c>
      <c r="B13284" s="1" t="s">
        <v>3001</v>
      </c>
      <c r="C13284" s="1" t="str">
        <f>"134012"</f>
        <v>134012</v>
      </c>
      <c r="D13284" s="1" t="str">
        <f>"134012"</f>
        <v>134012</v>
      </c>
      <c r="E13284" s="1" t="s">
        <v>4579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</row>
    <row r="13285" spans="1:11" x14ac:dyDescent="0.2">
      <c r="A13285" s="1" t="s">
        <v>98</v>
      </c>
      <c r="B13285" s="1" t="s">
        <v>3002</v>
      </c>
      <c r="C13285" s="1" t="str">
        <f>"MS-3401"</f>
        <v>MS-3401</v>
      </c>
      <c r="D13285" s="1" t="str">
        <f>"MS-3401"</f>
        <v>MS-3401</v>
      </c>
      <c r="E13285" s="1" t="s">
        <v>4579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</row>
    <row r="13286" spans="1:11" x14ac:dyDescent="0.2">
      <c r="A13286" s="1" t="s">
        <v>98</v>
      </c>
      <c r="B13286" s="1" t="s">
        <v>3003</v>
      </c>
      <c r="C13286" s="1" t="str">
        <f>"66298907929479"</f>
        <v>66298907929479</v>
      </c>
      <c r="D13286" s="1" t="str">
        <f>"Y095-MICA"</f>
        <v>Y095-MICA</v>
      </c>
      <c r="E13286" s="1" t="s">
        <v>4579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</row>
    <row r="13287" spans="1:11" x14ac:dyDescent="0.2">
      <c r="A13287" s="1" t="s">
        <v>2004</v>
      </c>
      <c r="B13287" s="1" t="s">
        <v>3004</v>
      </c>
      <c r="C13287" s="1" t="str">
        <f>"66298908013017"</f>
        <v>66298908013017</v>
      </c>
      <c r="D13287" s="1" t="str">
        <f>"R011"</f>
        <v>R011</v>
      </c>
      <c r="E13287" s="1" t="s">
        <v>4579</v>
      </c>
      <c r="F13287" s="1">
        <v>2</v>
      </c>
      <c r="G13287" s="1">
        <v>1602</v>
      </c>
      <c r="H13287" s="1">
        <v>3204</v>
      </c>
      <c r="I13287" s="1">
        <v>0</v>
      </c>
      <c r="J13287" s="1">
        <v>2</v>
      </c>
      <c r="K13287" s="1">
        <v>0</v>
      </c>
    </row>
    <row r="13288" spans="1:11" x14ac:dyDescent="0.2">
      <c r="A13288" s="1" t="s">
        <v>2004</v>
      </c>
      <c r="B13288" s="1" t="s">
        <v>3005</v>
      </c>
      <c r="C13288" s="1" t="str">
        <f>"66298907971658"</f>
        <v>66298907971658</v>
      </c>
      <c r="D13288" s="1" t="str">
        <f>"S021"</f>
        <v>S021</v>
      </c>
      <c r="E13288" s="1" t="s">
        <v>4579</v>
      </c>
      <c r="F13288" s="1">
        <v>3</v>
      </c>
      <c r="G13288" s="1">
        <v>225</v>
      </c>
      <c r="H13288" s="1">
        <v>675</v>
      </c>
      <c r="I13288" s="1">
        <v>0</v>
      </c>
      <c r="J13288" s="1">
        <v>3</v>
      </c>
      <c r="K13288" s="1">
        <v>0</v>
      </c>
    </row>
    <row r="13289" spans="1:11" x14ac:dyDescent="0.2">
      <c r="A13289" s="1" t="s">
        <v>18</v>
      </c>
      <c r="B13289" s="1" t="s">
        <v>3006</v>
      </c>
      <c r="C13289" s="1" t="str">
        <f>"66298908059213"</f>
        <v>66298908059213</v>
      </c>
      <c r="D13289" s="1" t="str">
        <f>"WD051"</f>
        <v>WD051</v>
      </c>
      <c r="E13289" s="1" t="s">
        <v>4579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</row>
    <row r="13290" spans="1:11" x14ac:dyDescent="0.2">
      <c r="A13290" s="1" t="s">
        <v>18</v>
      </c>
      <c r="B13290" s="1" t="s">
        <v>3007</v>
      </c>
      <c r="C13290" s="1" t="str">
        <f>"66298908099189"</f>
        <v>66298908099189</v>
      </c>
      <c r="D13290" s="1" t="str">
        <f>"WD019"</f>
        <v>WD019</v>
      </c>
      <c r="E13290" s="1" t="s">
        <v>4579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</row>
    <row r="13291" spans="1:11" x14ac:dyDescent="0.2">
      <c r="A13291" s="1" t="s">
        <v>3008</v>
      </c>
      <c r="B13291" s="1" t="s">
        <v>3009</v>
      </c>
      <c r="C13291" s="1" t="str">
        <f>"FA012"</f>
        <v>FA012</v>
      </c>
      <c r="D13291" s="1" t="str">
        <f>"FA012"</f>
        <v>FA012</v>
      </c>
      <c r="E13291" s="1" t="s">
        <v>4579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</row>
    <row r="13292" spans="1:11" x14ac:dyDescent="0.2">
      <c r="A13292" s="1" t="s">
        <v>3008</v>
      </c>
      <c r="B13292" s="1" t="s">
        <v>3010</v>
      </c>
      <c r="C13292" s="1" t="str">
        <f>"66298908177121"</f>
        <v>66298908177121</v>
      </c>
      <c r="D13292" s="1" t="str">
        <f>"400134"</f>
        <v>400134</v>
      </c>
      <c r="E13292" s="1" t="s">
        <v>4579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</row>
    <row r="13293" spans="1:11" ht="30" x14ac:dyDescent="0.2">
      <c r="A13293" s="1" t="s">
        <v>3008</v>
      </c>
      <c r="B13293" s="1" t="s">
        <v>3011</v>
      </c>
      <c r="C13293" s="1" t="str">
        <f>"66298908137937"</f>
        <v>66298908137937</v>
      </c>
      <c r="D13293" s="1" t="str">
        <f>"FA007"</f>
        <v>FA007</v>
      </c>
      <c r="E13293" s="1" t="s">
        <v>4579</v>
      </c>
      <c r="F13293" s="1">
        <v>2</v>
      </c>
      <c r="G13293" s="1">
        <v>10980</v>
      </c>
      <c r="H13293" s="1">
        <v>21960</v>
      </c>
      <c r="I13293" s="1">
        <v>0</v>
      </c>
      <c r="J13293" s="1">
        <v>2</v>
      </c>
      <c r="K13293" s="1">
        <v>0</v>
      </c>
    </row>
    <row r="13294" spans="1:11" x14ac:dyDescent="0.2">
      <c r="A13294" s="1" t="s">
        <v>3008</v>
      </c>
      <c r="B13294" s="1" t="s">
        <v>3012</v>
      </c>
      <c r="C13294" s="1" t="str">
        <f>"MPAR-49CC"</f>
        <v>MPAR-49CC</v>
      </c>
      <c r="D13294" s="1" t="str">
        <f>"MPAR-49CC"</f>
        <v>MPAR-49CC</v>
      </c>
      <c r="E13294" s="1" t="s">
        <v>4579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</row>
    <row r="13295" spans="1:11" x14ac:dyDescent="0.2">
      <c r="A13295" s="1" t="s">
        <v>3008</v>
      </c>
      <c r="B13295" s="1" t="s">
        <v>3013</v>
      </c>
      <c r="C13295" s="1" t="str">
        <f>"66298908214532"</f>
        <v>66298908214532</v>
      </c>
      <c r="D13295" s="1" t="str">
        <f>"400667"</f>
        <v>400667</v>
      </c>
      <c r="E13295" s="1" t="s">
        <v>4579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</row>
    <row r="13296" spans="1:11" x14ac:dyDescent="0.2">
      <c r="A13296" s="1" t="s">
        <v>3008</v>
      </c>
      <c r="B13296" s="1" t="s">
        <v>3014</v>
      </c>
      <c r="C13296" s="1" t="str">
        <f>"FA017"</f>
        <v>FA017</v>
      </c>
      <c r="D13296" s="1" t="str">
        <f>"FA017"</f>
        <v>FA017</v>
      </c>
      <c r="E13296" s="1" t="s">
        <v>4579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</row>
    <row r="13297" spans="1:11" x14ac:dyDescent="0.2">
      <c r="A13297" s="1" t="s">
        <v>3008</v>
      </c>
      <c r="B13297" s="1" t="s">
        <v>3015</v>
      </c>
      <c r="C13297" s="1" t="str">
        <f>"66298908318810"</f>
        <v>66298908318810</v>
      </c>
      <c r="D13297" s="1" t="str">
        <f>"400654"</f>
        <v>400654</v>
      </c>
      <c r="E13297" s="1" t="s">
        <v>4579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</row>
    <row r="13298" spans="1:11" x14ac:dyDescent="0.2">
      <c r="A13298" s="1" t="s">
        <v>3008</v>
      </c>
      <c r="B13298" s="1" t="s">
        <v>3016</v>
      </c>
      <c r="C13298" s="1" t="str">
        <f>"66298908255747"</f>
        <v>66298908255747</v>
      </c>
      <c r="D13298" s="1" t="str">
        <f>"31200-KSP-901"</f>
        <v>31200-KSP-901</v>
      </c>
      <c r="E13298" s="1" t="s">
        <v>4579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</row>
    <row r="13299" spans="1:11" x14ac:dyDescent="0.2">
      <c r="A13299" s="1" t="s">
        <v>3008</v>
      </c>
      <c r="B13299" s="1" t="s">
        <v>3016</v>
      </c>
      <c r="C13299" s="1" t="str">
        <f>"66298908263301"</f>
        <v>66298908263301</v>
      </c>
      <c r="D13299" s="1" t="str">
        <f>"FA011"</f>
        <v>FA011</v>
      </c>
      <c r="E13299" s="1" t="s">
        <v>4579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</row>
    <row r="13300" spans="1:11" x14ac:dyDescent="0.2">
      <c r="A13300" s="1" t="s">
        <v>3008</v>
      </c>
      <c r="B13300" s="1" t="s">
        <v>3017</v>
      </c>
      <c r="C13300" s="1" t="str">
        <f>"66298908364945"</f>
        <v>66298908364945</v>
      </c>
      <c r="D13300" s="1" t="str">
        <f>"FA003"</f>
        <v>FA003</v>
      </c>
      <c r="E13300" s="1" t="s">
        <v>4579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</row>
    <row r="13301" spans="1:11" x14ac:dyDescent="0.2">
      <c r="A13301" s="1" t="s">
        <v>3008</v>
      </c>
      <c r="B13301" s="1" t="s">
        <v>3018</v>
      </c>
      <c r="C13301" s="1" t="str">
        <f>"66298908412494"</f>
        <v>66298908412494</v>
      </c>
      <c r="D13301" s="1" t="str">
        <f>"400664"</f>
        <v>400664</v>
      </c>
      <c r="E13301" s="1" t="s">
        <v>4579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</row>
    <row r="13302" spans="1:11" x14ac:dyDescent="0.2">
      <c r="A13302" s="1" t="s">
        <v>3008</v>
      </c>
      <c r="B13302" s="1" t="s">
        <v>3019</v>
      </c>
      <c r="C13302" s="1" t="str">
        <f>"66298908457663"</f>
        <v>66298908457663</v>
      </c>
      <c r="D13302" s="1" t="str">
        <f>"31210-KWA-941HB"</f>
        <v>31210-KWA-941HB</v>
      </c>
      <c r="E13302" s="1" t="s">
        <v>4579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</row>
    <row r="13303" spans="1:11" x14ac:dyDescent="0.2">
      <c r="A13303" s="1" t="s">
        <v>3008</v>
      </c>
      <c r="B13303" s="1" t="s">
        <v>3020</v>
      </c>
      <c r="C13303" s="1" t="str">
        <f>"66298908499968"</f>
        <v>66298908499968</v>
      </c>
      <c r="D13303" s="1" t="str">
        <f>"FA005"</f>
        <v>FA005</v>
      </c>
      <c r="E13303" s="1" t="s">
        <v>4579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</row>
    <row r="13304" spans="1:11" x14ac:dyDescent="0.2">
      <c r="A13304" s="1" t="s">
        <v>3008</v>
      </c>
      <c r="B13304" s="1" t="s">
        <v>3021</v>
      </c>
      <c r="C13304" s="1" t="str">
        <f>"66298908592904"</f>
        <v>66298908592904</v>
      </c>
      <c r="D13304" s="1" t="str">
        <f>"400655"</f>
        <v>400655</v>
      </c>
      <c r="E13304" s="1" t="s">
        <v>4579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</row>
    <row r="13305" spans="1:11" x14ac:dyDescent="0.2">
      <c r="A13305" s="1" t="s">
        <v>3008</v>
      </c>
      <c r="B13305" s="1" t="s">
        <v>3022</v>
      </c>
      <c r="C13305" s="1" t="str">
        <f>"66298908542255"</f>
        <v>66298908542255</v>
      </c>
      <c r="D13305" s="1" t="str">
        <f>"31100-42A20"</f>
        <v>31100-42A20</v>
      </c>
      <c r="E13305" s="1" t="s">
        <v>4579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</row>
    <row r="13306" spans="1:11" x14ac:dyDescent="0.2">
      <c r="A13306" s="1" t="s">
        <v>3008</v>
      </c>
      <c r="B13306" s="1" t="s">
        <v>3023</v>
      </c>
      <c r="C13306" s="1" t="str">
        <f>"66298908641210"</f>
        <v>66298908641210</v>
      </c>
      <c r="D13306" s="1" t="str">
        <f>"21C-H1800-10HB"</f>
        <v>21C-H1800-10HB</v>
      </c>
      <c r="E13306" s="1" t="s">
        <v>4579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</row>
    <row r="13307" spans="1:11" x14ac:dyDescent="0.2">
      <c r="A13307" s="1" t="s">
        <v>3008</v>
      </c>
      <c r="B13307" s="1" t="s">
        <v>3024</v>
      </c>
      <c r="C13307" s="1" t="str">
        <f>"66298908689420"</f>
        <v>66298908689420</v>
      </c>
      <c r="D13307" s="1" t="str">
        <f>"400662"</f>
        <v>400662</v>
      </c>
      <c r="E13307" s="1" t="s">
        <v>4579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</row>
    <row r="13308" spans="1:11" x14ac:dyDescent="0.2">
      <c r="A13308" s="1" t="s">
        <v>3008</v>
      </c>
      <c r="B13308" s="1" t="s">
        <v>3025</v>
      </c>
      <c r="C13308" s="1" t="str">
        <f>"66298908739720"</f>
        <v>66298908739720</v>
      </c>
      <c r="D13308" s="1" t="str">
        <f>"400666"</f>
        <v>400666</v>
      </c>
      <c r="E13308" s="1" t="s">
        <v>4579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</row>
    <row r="13309" spans="1:11" x14ac:dyDescent="0.2">
      <c r="A13309" s="1" t="s">
        <v>3008</v>
      </c>
      <c r="B13309" s="1" t="s">
        <v>3026</v>
      </c>
      <c r="C13309" s="1" t="str">
        <f>"66298908788880"</f>
        <v>66298908788880</v>
      </c>
      <c r="D13309" s="1" t="str">
        <f>"31100-34J00HB"</f>
        <v>31100-34J00HB</v>
      </c>
      <c r="E13309" s="1" t="s">
        <v>4579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</row>
    <row r="13310" spans="1:11" x14ac:dyDescent="0.2">
      <c r="A13310" s="1" t="s">
        <v>3008</v>
      </c>
      <c r="B13310" s="1" t="s">
        <v>3027</v>
      </c>
      <c r="C13310" s="1" t="str">
        <f>"66298908837115"</f>
        <v>66298908837115</v>
      </c>
      <c r="D13310" s="1" t="str">
        <f>"JL-3516-00"</f>
        <v>JL-3516-00</v>
      </c>
      <c r="E13310" s="1" t="s">
        <v>4579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</row>
    <row r="13311" spans="1:11" x14ac:dyDescent="0.2">
      <c r="A13311" s="1" t="s">
        <v>3008</v>
      </c>
      <c r="B13311" s="1" t="s">
        <v>3028</v>
      </c>
      <c r="C13311" s="1" t="str">
        <f>"66298908882968"</f>
        <v>66298908882968</v>
      </c>
      <c r="D13311" s="1" t="str">
        <f>"JA-3516-00HB"</f>
        <v>JA-3516-00HB</v>
      </c>
      <c r="E13311" s="1" t="s">
        <v>4579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</row>
    <row r="13312" spans="1:11" x14ac:dyDescent="0.2">
      <c r="A13312" s="1" t="s">
        <v>3008</v>
      </c>
      <c r="B13312" s="1" t="s">
        <v>3029</v>
      </c>
      <c r="C13312" s="1" t="str">
        <f>"66298908927918"</f>
        <v>66298908927918</v>
      </c>
      <c r="D13312" s="1" t="str">
        <f>"400661"</f>
        <v>400661</v>
      </c>
      <c r="E13312" s="1" t="s">
        <v>4579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</row>
    <row r="13313" spans="1:11" x14ac:dyDescent="0.2">
      <c r="A13313" s="1" t="s">
        <v>3008</v>
      </c>
      <c r="B13313" s="1" t="s">
        <v>3030</v>
      </c>
      <c r="C13313" s="1" t="str">
        <f>"66298908970063"</f>
        <v>66298908970063</v>
      </c>
      <c r="D13313" s="1" t="str">
        <f>"DH-1110-58"</f>
        <v>DH-1110-58</v>
      </c>
      <c r="E13313" s="1" t="s">
        <v>4579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0</v>
      </c>
    </row>
    <row r="13314" spans="1:11" x14ac:dyDescent="0.2">
      <c r="A13314" s="1" t="s">
        <v>3008</v>
      </c>
      <c r="B13314" s="1" t="s">
        <v>3031</v>
      </c>
      <c r="C13314" s="1" t="str">
        <f>"66298909010754"</f>
        <v>66298909010754</v>
      </c>
      <c r="D13314" s="1" t="str">
        <f>"JC-1110-07"</f>
        <v>JC-1110-07</v>
      </c>
      <c r="E13314" s="1" t="s">
        <v>4579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</row>
    <row r="13315" spans="1:11" x14ac:dyDescent="0.2">
      <c r="A13315" s="1" t="s">
        <v>3008</v>
      </c>
      <c r="B13315" s="1" t="s">
        <v>3032</v>
      </c>
      <c r="C13315" s="1" t="str">
        <f>"66298909049495"</f>
        <v>66298909049495</v>
      </c>
      <c r="D13315" s="1" t="str">
        <f>"400660"</f>
        <v>400660</v>
      </c>
      <c r="E13315" s="1" t="s">
        <v>4579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</row>
    <row r="13316" spans="1:11" x14ac:dyDescent="0.2">
      <c r="A13316" s="1" t="s">
        <v>3008</v>
      </c>
      <c r="B13316" s="1" t="s">
        <v>3033</v>
      </c>
      <c r="C13316" s="1" t="str">
        <f>"66298909088435"</f>
        <v>66298909088435</v>
      </c>
      <c r="D13316" s="1" t="str">
        <f>"400656"</f>
        <v>400656</v>
      </c>
      <c r="E13316" s="1" t="s">
        <v>4579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</row>
    <row r="13317" spans="1:11" x14ac:dyDescent="0.2">
      <c r="A13317" s="1" t="s">
        <v>3008</v>
      </c>
      <c r="B13317" s="1" t="s">
        <v>3034</v>
      </c>
      <c r="C13317" s="1" t="str">
        <f>"80394"</f>
        <v>80394</v>
      </c>
      <c r="D13317" s="1" t="str">
        <f>"80394"</f>
        <v>80394</v>
      </c>
      <c r="E13317" s="1" t="s">
        <v>4579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</row>
    <row r="13318" spans="1:11" x14ac:dyDescent="0.2">
      <c r="A13318" s="1" t="s">
        <v>3008</v>
      </c>
      <c r="B13318" s="1" t="s">
        <v>3035</v>
      </c>
      <c r="C13318" s="1" t="str">
        <f>"66298909126234"</f>
        <v>66298909126234</v>
      </c>
      <c r="D13318" s="1" t="str">
        <f>"31200-KVC-890"</f>
        <v>31200-KVC-890</v>
      </c>
      <c r="E13318" s="1" t="s">
        <v>4579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</row>
    <row r="13319" spans="1:11" x14ac:dyDescent="0.2">
      <c r="A13319" s="1" t="s">
        <v>3008</v>
      </c>
      <c r="B13319" s="1" t="s">
        <v>3036</v>
      </c>
      <c r="C13319" s="1" t="str">
        <f>"66298909171888"</f>
        <v>66298909171888</v>
      </c>
      <c r="D13319" s="1" t="str">
        <f>"5DW-H1800-00HB"</f>
        <v>5DW-H1800-00HB</v>
      </c>
      <c r="E13319" s="1" t="s">
        <v>4579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</row>
    <row r="13320" spans="1:11" x14ac:dyDescent="0.2">
      <c r="A13320" s="1" t="s">
        <v>3008</v>
      </c>
      <c r="B13320" s="1" t="s">
        <v>3037</v>
      </c>
      <c r="C13320" s="1" t="str">
        <f>"66298909212340"</f>
        <v>66298909212340</v>
      </c>
      <c r="D13320" s="1" t="str">
        <f>"31200-KBB-901"</f>
        <v>31200-KBB-901</v>
      </c>
      <c r="E13320" s="1" t="s">
        <v>4579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</row>
    <row r="13321" spans="1:11" x14ac:dyDescent="0.2">
      <c r="A13321" s="1" t="s">
        <v>3008</v>
      </c>
      <c r="B13321" s="1" t="s">
        <v>3038</v>
      </c>
      <c r="C13321" s="1" t="str">
        <f>"66298909250889"</f>
        <v>66298909250889</v>
      </c>
      <c r="D13321" s="1" t="str">
        <f>"400138"</f>
        <v>400138</v>
      </c>
      <c r="E13321" s="1" t="s">
        <v>4579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</row>
    <row r="13322" spans="1:11" x14ac:dyDescent="0.2">
      <c r="A13322" s="1" t="s">
        <v>3008</v>
      </c>
      <c r="B13322" s="1" t="s">
        <v>3039</v>
      </c>
      <c r="C13322" s="1" t="str">
        <f>"66298909288923"</f>
        <v>66298909288923</v>
      </c>
      <c r="D13322" s="1" t="str">
        <f>"80359"</f>
        <v>80359</v>
      </c>
      <c r="E13322" s="1" t="s">
        <v>4579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</row>
    <row r="13323" spans="1:11" x14ac:dyDescent="0.2">
      <c r="A13323" s="1" t="s">
        <v>3008</v>
      </c>
      <c r="B13323" s="1" t="s">
        <v>3039</v>
      </c>
      <c r="C13323" s="1" t="str">
        <f>"66298909295509"</f>
        <v>66298909295509</v>
      </c>
      <c r="D13323" s="1" t="str">
        <f>"FA009"</f>
        <v>FA009</v>
      </c>
      <c r="E13323" s="1" t="s">
        <v>4579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</row>
    <row r="13324" spans="1:11" x14ac:dyDescent="0.2">
      <c r="A13324" s="1" t="s">
        <v>3008</v>
      </c>
      <c r="B13324" s="1" t="s">
        <v>3040</v>
      </c>
      <c r="C13324" s="1" t="str">
        <f>"66298909351047"</f>
        <v>66298909351047</v>
      </c>
      <c r="D13324" s="1" t="str">
        <f>"5YY-H1800-00HB"</f>
        <v>5YY-H1800-00HB</v>
      </c>
      <c r="E13324" s="1" t="s">
        <v>4579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</row>
    <row r="13325" spans="1:11" x14ac:dyDescent="0.2">
      <c r="A13325" s="1" t="s">
        <v>15</v>
      </c>
      <c r="B13325" s="1" t="s">
        <v>3041</v>
      </c>
      <c r="C13325" s="1" t="str">
        <f>"21680"</f>
        <v>21680</v>
      </c>
      <c r="D13325" s="1" t="str">
        <f>"21680"</f>
        <v>21680</v>
      </c>
      <c r="E13325" s="1" t="s">
        <v>4579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</row>
    <row r="13326" spans="1:11" x14ac:dyDescent="0.2">
      <c r="A13326" s="1" t="s">
        <v>3042</v>
      </c>
      <c r="B13326" s="1" t="s">
        <v>3043</v>
      </c>
      <c r="C13326" s="1" t="str">
        <f>"66298909438678"</f>
        <v>66298909438678</v>
      </c>
      <c r="D13326" s="1" t="str">
        <f>"145/70-6DURO"</f>
        <v>145/70-6DURO</v>
      </c>
      <c r="E13326" s="1" t="s">
        <v>4579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</row>
    <row r="13327" spans="1:11" x14ac:dyDescent="0.2">
      <c r="A13327" s="1" t="s">
        <v>3042</v>
      </c>
      <c r="B13327" s="1" t="s">
        <v>3044</v>
      </c>
      <c r="C13327" s="1" t="str">
        <f>"66298909491669"</f>
        <v>66298909491669</v>
      </c>
      <c r="D13327" s="1" t="str">
        <f>"145X7-6APEX"</f>
        <v>145X7-6APEX</v>
      </c>
      <c r="E13327" s="1" t="s">
        <v>4579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</row>
    <row r="13328" spans="1:11" x14ac:dyDescent="0.2">
      <c r="A13328" s="1" t="s">
        <v>3042</v>
      </c>
      <c r="B13328" s="1" t="s">
        <v>3045</v>
      </c>
      <c r="C13328" s="1" t="str">
        <f>"66298909532842"</f>
        <v>66298909532842</v>
      </c>
      <c r="D13328" s="1" t="str">
        <f>"13X5-6APEX"</f>
        <v>13X5-6APEX</v>
      </c>
      <c r="E13328" s="1" t="s">
        <v>4579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</row>
    <row r="13329" spans="1:11" x14ac:dyDescent="0.2">
      <c r="A13329" s="1" t="s">
        <v>3042</v>
      </c>
      <c r="B13329" s="1" t="s">
        <v>3046</v>
      </c>
      <c r="C13329" s="1" t="str">
        <f>"66298909396265"</f>
        <v>66298909396265</v>
      </c>
      <c r="D13329" s="1" t="str">
        <f>"13X5.00-6CN"</f>
        <v>13X5.00-6CN</v>
      </c>
      <c r="E13329" s="1" t="s">
        <v>4579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</row>
    <row r="13330" spans="1:11" x14ac:dyDescent="0.2">
      <c r="A13330" s="1" t="s">
        <v>3042</v>
      </c>
      <c r="B13330" s="1" t="s">
        <v>3047</v>
      </c>
      <c r="C13330" s="1" t="str">
        <f>"66298909574815"</f>
        <v>66298909574815</v>
      </c>
      <c r="D13330" s="1" t="str">
        <f>"16X8-7JUNKAI"</f>
        <v>16X8-7JUNKAI</v>
      </c>
      <c r="E13330" s="1" t="s">
        <v>4579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</row>
    <row r="13331" spans="1:11" x14ac:dyDescent="0.2">
      <c r="A13331" s="1" t="s">
        <v>3042</v>
      </c>
      <c r="B13331" s="1" t="s">
        <v>3048</v>
      </c>
      <c r="C13331" s="1" t="str">
        <f>"66298909620028"</f>
        <v>66298909620028</v>
      </c>
      <c r="D13331" s="1" t="str">
        <f>"16X8-7APEX"</f>
        <v>16X8-7APEX</v>
      </c>
      <c r="E13331" s="1" t="s">
        <v>4579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</row>
    <row r="13332" spans="1:11" x14ac:dyDescent="0.2">
      <c r="A13332" s="1" t="s">
        <v>3042</v>
      </c>
      <c r="B13332" s="1" t="s">
        <v>3049</v>
      </c>
      <c r="C13332" s="1" t="str">
        <f>"66298909662026"</f>
        <v>66298909662026</v>
      </c>
      <c r="D13332" s="1" t="str">
        <f>"20X7.00-8DURO"</f>
        <v>20X7.00-8DURO</v>
      </c>
      <c r="E13332" s="1" t="s">
        <v>4579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</row>
    <row r="13333" spans="1:11" x14ac:dyDescent="0.2">
      <c r="A13333" s="1" t="s">
        <v>3042</v>
      </c>
      <c r="B13333" s="1" t="s">
        <v>3050</v>
      </c>
      <c r="C13333" s="1" t="str">
        <f>"66298909703522"</f>
        <v>66298909703522</v>
      </c>
      <c r="D13333" s="1" t="str">
        <f>"20X7-8DURO"</f>
        <v>20X7-8DURO</v>
      </c>
      <c r="E13333" s="1" t="s">
        <v>4579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</row>
    <row r="13334" spans="1:11" x14ac:dyDescent="0.2">
      <c r="A13334" s="1" t="s">
        <v>3042</v>
      </c>
      <c r="B13334" s="1" t="s">
        <v>3051</v>
      </c>
      <c r="C13334" s="1" t="str">
        <f>"66298909745553"</f>
        <v>66298909745553</v>
      </c>
      <c r="D13334" s="1" t="str">
        <f>"19X7-8APEX"</f>
        <v>19X7-8APEX</v>
      </c>
      <c r="E13334" s="1" t="s">
        <v>4579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</row>
    <row r="13335" spans="1:11" x14ac:dyDescent="0.2">
      <c r="A13335" s="1" t="s">
        <v>3042</v>
      </c>
      <c r="B13335" s="1" t="s">
        <v>3052</v>
      </c>
      <c r="C13335" s="1" t="str">
        <f>"66298909787479"</f>
        <v>66298909787479</v>
      </c>
      <c r="D13335" s="1" t="str">
        <f>"18X9.5-8APEX"</f>
        <v>18X9.5-8APEX</v>
      </c>
      <c r="E13335" s="1" t="s">
        <v>4579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</row>
    <row r="13336" spans="1:11" x14ac:dyDescent="0.2">
      <c r="A13336" s="1" t="s">
        <v>3042</v>
      </c>
      <c r="B13336" s="1" t="s">
        <v>3053</v>
      </c>
      <c r="C13336" s="1" t="str">
        <f>"66298909829262"</f>
        <v>66298909829262</v>
      </c>
      <c r="D13336" s="1" t="str">
        <f>"22X10-10SR"</f>
        <v>22X10-10SR</v>
      </c>
      <c r="E13336" s="1" t="s">
        <v>4579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</row>
    <row r="13337" spans="1:11" x14ac:dyDescent="0.2">
      <c r="A13337" s="1" t="s">
        <v>3042</v>
      </c>
      <c r="B13337" s="1" t="s">
        <v>4580</v>
      </c>
      <c r="C13337" s="1" t="str">
        <f>"67822290441825"</f>
        <v>67822290441825</v>
      </c>
      <c r="D13337" s="1" t="str">
        <f>"22X8-10WANDA"</f>
        <v>22X8-10WANDA</v>
      </c>
      <c r="E13337" s="1" t="s">
        <v>4579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</row>
    <row r="13338" spans="1:11" x14ac:dyDescent="0.2">
      <c r="A13338" s="1" t="s">
        <v>3042</v>
      </c>
      <c r="B13338" s="1" t="s">
        <v>4581</v>
      </c>
      <c r="C13338" s="1" t="str">
        <f>"67822290367948"</f>
        <v>67822290367948</v>
      </c>
      <c r="D13338" s="1" t="str">
        <f>"20X10-10WANDA"</f>
        <v>20X10-10WANDA</v>
      </c>
      <c r="E13338" s="1" t="s">
        <v>4579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</row>
    <row r="13339" spans="1:11" x14ac:dyDescent="0.2">
      <c r="A13339" s="1" t="s">
        <v>3042</v>
      </c>
      <c r="B13339" s="1" t="s">
        <v>3054</v>
      </c>
      <c r="C13339" s="1" t="str">
        <f>"67822290402721"</f>
        <v>67822290402721</v>
      </c>
      <c r="D13339" s="1" t="str">
        <f>"21X7-10WANDA"</f>
        <v>21X7-10WANDA</v>
      </c>
      <c r="E13339" s="1" t="s">
        <v>4579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</row>
    <row r="13340" spans="1:11" x14ac:dyDescent="0.2">
      <c r="A13340" s="1" t="s">
        <v>3042</v>
      </c>
      <c r="B13340" s="1" t="s">
        <v>4582</v>
      </c>
      <c r="C13340" s="1" t="str">
        <f>"67822290458426"</f>
        <v>67822290458426</v>
      </c>
      <c r="D13340" s="1" t="str">
        <f>"23X7-10WANDA"</f>
        <v>23X7-10WANDA</v>
      </c>
      <c r="E13340" s="1" t="s">
        <v>4579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</row>
    <row r="13341" spans="1:11" x14ac:dyDescent="0.2">
      <c r="A13341" s="1" t="s">
        <v>3042</v>
      </c>
      <c r="B13341" s="1" t="s">
        <v>4583</v>
      </c>
      <c r="C13341" s="1" t="str">
        <f>"67822290432230"</f>
        <v>67822290432230</v>
      </c>
      <c r="D13341" s="1" t="str">
        <f>"22X7-10WANDA"</f>
        <v>22X7-10WANDA</v>
      </c>
      <c r="E13341" s="1" t="s">
        <v>4579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</row>
    <row r="13342" spans="1:11" x14ac:dyDescent="0.2">
      <c r="A13342" s="1" t="s">
        <v>3042</v>
      </c>
      <c r="B13342" s="1" t="s">
        <v>4584</v>
      </c>
      <c r="C13342" s="1" t="str">
        <f>"67822290390544"</f>
        <v>67822290390544</v>
      </c>
      <c r="D13342" s="1" t="str">
        <f>"20X11-10WANDA"</f>
        <v>20X11-10WANDA</v>
      </c>
      <c r="E13342" s="1" t="s">
        <v>4579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</row>
    <row r="13343" spans="1:11" x14ac:dyDescent="0.2">
      <c r="A13343" s="1" t="s">
        <v>3042</v>
      </c>
      <c r="B13343" s="1" t="s">
        <v>4584</v>
      </c>
      <c r="C13343" s="1" t="str">
        <f>"67822290401810"</f>
        <v>67822290401810</v>
      </c>
      <c r="D13343" s="1" t="str">
        <f>"22X10-10WANDA"</f>
        <v>22X10-10WANDA</v>
      </c>
      <c r="E13343" s="1" t="s">
        <v>4579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</row>
    <row r="13344" spans="1:11" x14ac:dyDescent="0.2">
      <c r="A13344" s="1" t="s">
        <v>3042</v>
      </c>
      <c r="B13344" s="1" t="s">
        <v>3055</v>
      </c>
      <c r="C13344" s="1" t="str">
        <f>"66298909868590"</f>
        <v>66298909868590</v>
      </c>
      <c r="D13344" s="1" t="str">
        <f>"20X10-10APEX"</f>
        <v>20X10-10APEX</v>
      </c>
      <c r="E13344" s="1" t="s">
        <v>4579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</row>
    <row r="13345" spans="1:11" x14ac:dyDescent="0.2">
      <c r="A13345" s="1" t="s">
        <v>3042</v>
      </c>
      <c r="B13345" s="1" t="s">
        <v>3056</v>
      </c>
      <c r="C13345" s="1" t="str">
        <f>"66298909908040"</f>
        <v>66298909908040</v>
      </c>
      <c r="D13345" s="1" t="str">
        <f>"21X7-10APEX"</f>
        <v>21X7-10APEX</v>
      </c>
      <c r="E13345" s="1" t="s">
        <v>4579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</row>
    <row r="13346" spans="1:11" x14ac:dyDescent="0.2">
      <c r="A13346" s="1" t="s">
        <v>3042</v>
      </c>
      <c r="B13346" s="1" t="s">
        <v>4585</v>
      </c>
      <c r="C13346" s="1" t="str">
        <f>"67822290483732"</f>
        <v>67822290483732</v>
      </c>
      <c r="D13346" s="1" t="str">
        <f>"23X8-11WANDA"</f>
        <v>23X8-11WANDA</v>
      </c>
      <c r="E13346" s="1" t="s">
        <v>4579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</row>
    <row r="13347" spans="1:11" x14ac:dyDescent="0.2">
      <c r="A13347" s="1" t="s">
        <v>3042</v>
      </c>
      <c r="B13347" s="1" t="s">
        <v>4585</v>
      </c>
      <c r="C13347" s="1" t="str">
        <f>"67822290503017"</f>
        <v>67822290503017</v>
      </c>
      <c r="D13347" s="1" t="str">
        <f>"24X8-11WANDA"</f>
        <v>24X8-11WANDA</v>
      </c>
      <c r="E13347" s="1" t="s">
        <v>4579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</row>
    <row r="13348" spans="1:11" x14ac:dyDescent="0.2">
      <c r="A13348" s="1" t="s">
        <v>3042</v>
      </c>
      <c r="B13348" s="1" t="s">
        <v>4586</v>
      </c>
      <c r="C13348" s="1" t="str">
        <f>"67822290509754"</f>
        <v>67822290509754</v>
      </c>
      <c r="D13348" s="1" t="str">
        <f>"25X10-11WANDA"</f>
        <v>25X10-11WANDA</v>
      </c>
      <c r="E13348" s="1" t="s">
        <v>4579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</row>
    <row r="13349" spans="1:11" x14ac:dyDescent="0.2">
      <c r="A13349" s="1" t="s">
        <v>3042</v>
      </c>
      <c r="B13349" s="1" t="s">
        <v>3057</v>
      </c>
      <c r="C13349" s="1" t="str">
        <f>"66298909952735"</f>
        <v>66298909952735</v>
      </c>
      <c r="D13349" s="1" t="str">
        <f>"24X10-11APEX"</f>
        <v>24X10-11APEX</v>
      </c>
      <c r="E13349" s="1" t="s">
        <v>4579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</row>
    <row r="13350" spans="1:11" x14ac:dyDescent="0.2">
      <c r="A13350" s="1" t="s">
        <v>3042</v>
      </c>
      <c r="B13350" s="1" t="s">
        <v>3057</v>
      </c>
      <c r="C13350" s="1" t="str">
        <f>"66298909958954"</f>
        <v>66298909958954</v>
      </c>
      <c r="D13350" s="1" t="str">
        <f>"22X7-11APEX"</f>
        <v>22X7-11APEX</v>
      </c>
      <c r="E13350" s="1" t="s">
        <v>4579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</row>
    <row r="13351" spans="1:11" x14ac:dyDescent="0.2">
      <c r="A13351" s="1" t="s">
        <v>3042</v>
      </c>
      <c r="B13351" s="1" t="s">
        <v>4587</v>
      </c>
      <c r="C13351" s="1" t="str">
        <f>"67822290515858"</f>
        <v>67822290515858</v>
      </c>
      <c r="D13351" s="1" t="str">
        <f>"24X8-12WANDA"</f>
        <v>24X8-12WANDA</v>
      </c>
      <c r="E13351" s="1" t="s">
        <v>4579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</row>
    <row r="13352" spans="1:11" x14ac:dyDescent="0.2">
      <c r="A13352" s="1" t="s">
        <v>3042</v>
      </c>
      <c r="B13352" s="1" t="s">
        <v>4587</v>
      </c>
      <c r="C13352" s="1" t="str">
        <f>"67822290528421"</f>
        <v>67822290528421</v>
      </c>
      <c r="D13352" s="1" t="str">
        <f>"25X10-12WANDA"</f>
        <v>25X10-12WANDA</v>
      </c>
      <c r="E13352" s="1" t="s">
        <v>4579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</row>
    <row r="13353" spans="1:11" x14ac:dyDescent="0.2">
      <c r="A13353" s="1" t="s">
        <v>3042</v>
      </c>
      <c r="B13353" s="1" t="s">
        <v>4587</v>
      </c>
      <c r="C13353" s="1" t="str">
        <f>"67822290545945"</f>
        <v>67822290545945</v>
      </c>
      <c r="D13353" s="1" t="str">
        <f>"25X8-12WANDA"</f>
        <v>25X8-12WANDA</v>
      </c>
      <c r="E13353" s="1" t="s">
        <v>4579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</row>
    <row r="13354" spans="1:11" x14ac:dyDescent="0.2">
      <c r="A13354" s="1" t="s">
        <v>3042</v>
      </c>
      <c r="B13354" s="1" t="s">
        <v>3058</v>
      </c>
      <c r="C13354" s="1" t="str">
        <f>"66298910020193"</f>
        <v>66298910020193</v>
      </c>
      <c r="D13354" s="1" t="str">
        <f>"24X8-12APEX"</f>
        <v>24X8-12APEX</v>
      </c>
      <c r="E13354" s="1" t="s">
        <v>4579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</row>
    <row r="13355" spans="1:11" x14ac:dyDescent="0.2">
      <c r="A13355" s="1" t="s">
        <v>3042</v>
      </c>
      <c r="B13355" s="1" t="s">
        <v>3058</v>
      </c>
      <c r="C13355" s="1" t="str">
        <f>"66298910026488"</f>
        <v>66298910026488</v>
      </c>
      <c r="D13355" s="1" t="str">
        <f>"25X8-12APEX"</f>
        <v>25X8-12APEX</v>
      </c>
      <c r="E13355" s="1" t="s">
        <v>4579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</row>
    <row r="13356" spans="1:11" x14ac:dyDescent="0.2">
      <c r="A13356" s="1" t="s">
        <v>3042</v>
      </c>
      <c r="B13356" s="1" t="s">
        <v>4588</v>
      </c>
      <c r="C13356" s="1" t="str">
        <f>"67822290326581"</f>
        <v>67822290326581</v>
      </c>
      <c r="D13356" s="1" t="str">
        <f>"145X70-6WANDA"</f>
        <v>145X70-6WANDA</v>
      </c>
      <c r="E13356" s="1" t="s">
        <v>4579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</row>
    <row r="13357" spans="1:11" x14ac:dyDescent="0.2">
      <c r="A13357" s="1" t="s">
        <v>3042</v>
      </c>
      <c r="B13357" s="1" t="s">
        <v>4589</v>
      </c>
      <c r="C13357" s="1" t="str">
        <f>"67822290335334"</f>
        <v>67822290335334</v>
      </c>
      <c r="D13357" s="1" t="str">
        <f>"16X8-7WANDA"</f>
        <v>16X8-7WANDA</v>
      </c>
      <c r="E13357" s="1" t="s">
        <v>4579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</row>
    <row r="13358" spans="1:11" x14ac:dyDescent="0.2">
      <c r="A13358" s="1" t="s">
        <v>3042</v>
      </c>
      <c r="B13358" s="1" t="s">
        <v>4590</v>
      </c>
      <c r="C13358" s="1" t="str">
        <f>"67822290365640"</f>
        <v>67822290365640</v>
      </c>
      <c r="D13358" s="1" t="str">
        <f>"19X7-8WANDA"</f>
        <v>19X7-8WANDA</v>
      </c>
      <c r="E13358" s="1" t="s">
        <v>4579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</row>
    <row r="13359" spans="1:11" x14ac:dyDescent="0.2">
      <c r="A13359" s="1" t="s">
        <v>3042</v>
      </c>
      <c r="B13359" s="1" t="s">
        <v>4591</v>
      </c>
      <c r="C13359" s="1" t="str">
        <f>"67822290334886"</f>
        <v>67822290334886</v>
      </c>
      <c r="D13359" s="1" t="str">
        <f>"18X9.50-8WANDA"</f>
        <v>18X9.50-8WANDA</v>
      </c>
      <c r="E13359" s="1" t="s">
        <v>4579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</row>
    <row r="13360" spans="1:11" x14ac:dyDescent="0.2">
      <c r="A13360" s="1" t="s">
        <v>3042</v>
      </c>
      <c r="B13360" s="1" t="s">
        <v>4592</v>
      </c>
      <c r="C13360" s="1" t="str">
        <f>"67822290397595"</f>
        <v>67822290397595</v>
      </c>
      <c r="D13360" s="1" t="str">
        <f>"20X7-8WANDA"</f>
        <v>20X7-8WANDA</v>
      </c>
      <c r="E13360" s="1" t="s">
        <v>4579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</row>
    <row r="13361" spans="1:11" x14ac:dyDescent="0.2">
      <c r="A13361" s="1" t="s">
        <v>3042</v>
      </c>
      <c r="B13361" s="1" t="s">
        <v>4592</v>
      </c>
      <c r="C13361" s="1" t="str">
        <f>"67822290445970"</f>
        <v>67822290445970</v>
      </c>
      <c r="D13361" s="1" t="str">
        <f>"22X11-8WANDA"</f>
        <v>22X11-8WANDA</v>
      </c>
      <c r="E13361" s="1" t="s">
        <v>4579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</row>
    <row r="13362" spans="1:11" x14ac:dyDescent="0.2">
      <c r="A13362" s="1" t="s">
        <v>3042</v>
      </c>
      <c r="B13362" s="1" t="s">
        <v>4593</v>
      </c>
      <c r="C13362" s="1" t="str">
        <f>"67822290366754"</f>
        <v>67822290366754</v>
      </c>
      <c r="D13362" s="1" t="str">
        <f>"20X10-9WANDA"</f>
        <v>20X10-9WANDA</v>
      </c>
      <c r="E13362" s="1" t="s">
        <v>4579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</row>
    <row r="13363" spans="1:11" x14ac:dyDescent="0.2">
      <c r="A13363" s="1" t="s">
        <v>3042</v>
      </c>
      <c r="B13363" s="1" t="s">
        <v>4594</v>
      </c>
      <c r="C13363" s="1" t="str">
        <f>"67822290445801"</f>
        <v>67822290445801</v>
      </c>
      <c r="D13363" s="1" t="str">
        <f>"20X11X9WANDA"</f>
        <v>20X11X9WANDA</v>
      </c>
      <c r="E13363" s="1" t="s">
        <v>4579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</row>
    <row r="13364" spans="1:11" x14ac:dyDescent="0.2">
      <c r="A13364" s="1" t="s">
        <v>3042</v>
      </c>
      <c r="B13364" s="1" t="s">
        <v>3059</v>
      </c>
      <c r="C13364" s="1" t="str">
        <f>"130/90-10TLCST"</f>
        <v>130/90-10TLCST</v>
      </c>
      <c r="D13364" s="1" t="str">
        <f>"130/90-10TLCST"</f>
        <v>130/90-10TLCST</v>
      </c>
      <c r="E13364" s="1" t="s">
        <v>4579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</row>
    <row r="13365" spans="1:11" x14ac:dyDescent="0.2">
      <c r="A13365" s="1" t="s">
        <v>3042</v>
      </c>
      <c r="B13365" s="1" t="s">
        <v>3060</v>
      </c>
      <c r="C13365" s="1" t="str">
        <f>"350X10TLDURO"</f>
        <v>350X10TLDURO</v>
      </c>
      <c r="D13365" s="1" t="str">
        <f>"350X10TLDURO"</f>
        <v>350X10TLDURO</v>
      </c>
      <c r="E13365" s="1" t="s">
        <v>4579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</row>
    <row r="13366" spans="1:11" x14ac:dyDescent="0.2">
      <c r="A13366" s="1" t="s">
        <v>3042</v>
      </c>
      <c r="B13366" s="1" t="s">
        <v>3061</v>
      </c>
      <c r="C13366" s="1" t="str">
        <f>"350/10TLDURO"</f>
        <v>350/10TLDURO</v>
      </c>
      <c r="D13366" s="1" t="str">
        <f>"350/10TLDURO"</f>
        <v>350/10TLDURO</v>
      </c>
      <c r="E13366" s="1" t="s">
        <v>4579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</row>
    <row r="13367" spans="1:11" x14ac:dyDescent="0.2">
      <c r="A13367" s="1" t="s">
        <v>3042</v>
      </c>
      <c r="B13367" s="1" t="s">
        <v>3062</v>
      </c>
      <c r="C13367" s="1" t="str">
        <f>"66298910107981"</f>
        <v>66298910107981</v>
      </c>
      <c r="D13367" s="1" t="str">
        <f>"350-10TLDURO"</f>
        <v>350-10TLDURO</v>
      </c>
      <c r="E13367" s="1" t="s">
        <v>4579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</row>
    <row r="13368" spans="1:11" x14ac:dyDescent="0.2">
      <c r="A13368" s="1" t="s">
        <v>3042</v>
      </c>
      <c r="B13368" s="1" t="s">
        <v>3063</v>
      </c>
      <c r="C13368" s="1" t="str">
        <f>"67822289891465"</f>
        <v>67822289891465</v>
      </c>
      <c r="D13368" s="1" t="str">
        <f>"350X10-TLJD"</f>
        <v>350X10-TLJD</v>
      </c>
      <c r="E13368" s="1" t="s">
        <v>4579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</row>
    <row r="13369" spans="1:11" x14ac:dyDescent="0.2">
      <c r="A13369" s="1" t="s">
        <v>3042</v>
      </c>
      <c r="B13369" s="1" t="s">
        <v>3064</v>
      </c>
      <c r="C13369" s="1" t="str">
        <f>"350*10TLSR"</f>
        <v>350*10TLSR</v>
      </c>
      <c r="D13369" s="1" t="str">
        <f>"350*10TLSR"</f>
        <v>350*10TLSR</v>
      </c>
      <c r="E13369" s="1" t="s">
        <v>4579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</row>
    <row r="13370" spans="1:11" x14ac:dyDescent="0.2">
      <c r="A13370" s="1" t="s">
        <v>3042</v>
      </c>
      <c r="B13370" s="1" t="s">
        <v>3065</v>
      </c>
      <c r="C13370" s="1" t="str">
        <f>"350X10TLSR"</f>
        <v>350X10TLSR</v>
      </c>
      <c r="D13370" s="1" t="str">
        <f>"350X10TLSR"</f>
        <v>350X10TLSR</v>
      </c>
      <c r="E13370" s="1" t="s">
        <v>4579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</row>
    <row r="13371" spans="1:11" x14ac:dyDescent="0.2">
      <c r="A13371" s="1" t="s">
        <v>3042</v>
      </c>
      <c r="B13371" s="1" t="s">
        <v>3066</v>
      </c>
      <c r="C13371" s="1" t="str">
        <f>"350-10TLSR"</f>
        <v>350-10TLSR</v>
      </c>
      <c r="D13371" s="1" t="str">
        <f>"350-10TLSR"</f>
        <v>350-10TLSR</v>
      </c>
      <c r="E13371" s="1" t="s">
        <v>4579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</row>
    <row r="13372" spans="1:11" x14ac:dyDescent="0.2">
      <c r="A13372" s="1" t="s">
        <v>3042</v>
      </c>
      <c r="B13372" s="1" t="s">
        <v>3067</v>
      </c>
      <c r="C13372" s="1" t="str">
        <f>"66298910182690"</f>
        <v>66298910182690</v>
      </c>
      <c r="D13372" s="1" t="str">
        <f>"90/90-12TLCEAT"</f>
        <v>90/90-12TLCEAT</v>
      </c>
      <c r="E13372" s="1" t="s">
        <v>4579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</row>
    <row r="13373" spans="1:11" x14ac:dyDescent="0.2">
      <c r="A13373" s="1" t="s">
        <v>3042</v>
      </c>
      <c r="B13373" s="1" t="s">
        <v>3068</v>
      </c>
      <c r="C13373" s="1" t="str">
        <f>"90/90-12TLDURO"</f>
        <v>90/90-12TLDURO</v>
      </c>
      <c r="D13373" s="1" t="str">
        <f>"90/90-12TLDURO"</f>
        <v>90/90-12TLDURO</v>
      </c>
      <c r="E13373" s="1" t="s">
        <v>4579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</row>
    <row r="13374" spans="1:11" x14ac:dyDescent="0.2">
      <c r="A13374" s="1" t="s">
        <v>3042</v>
      </c>
      <c r="B13374" s="1" t="s">
        <v>3069</v>
      </c>
      <c r="C13374" s="1" t="str">
        <f>"90/90-12TLGUANGBO"</f>
        <v>90/90-12TLGUANGBO</v>
      </c>
      <c r="D13374" s="1" t="str">
        <f>"90/90-12TLGUANGBO"</f>
        <v>90/90-12TLGUANGBO</v>
      </c>
      <c r="E13374" s="1" t="s">
        <v>4579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</row>
    <row r="13375" spans="1:11" x14ac:dyDescent="0.2">
      <c r="A13375" s="1" t="s">
        <v>3042</v>
      </c>
      <c r="B13375" s="1" t="s">
        <v>3070</v>
      </c>
      <c r="C13375" s="1" t="str">
        <f>"66298910250041"</f>
        <v>66298910250041</v>
      </c>
      <c r="D13375" s="1" t="str">
        <f>"90/90X12TLMI"</f>
        <v>90/90X12TLMI</v>
      </c>
      <c r="E13375" s="1" t="s">
        <v>4579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</row>
    <row r="13376" spans="1:11" x14ac:dyDescent="0.2">
      <c r="A13376" s="1" t="s">
        <v>3042</v>
      </c>
      <c r="B13376" s="1" t="s">
        <v>3071</v>
      </c>
      <c r="C13376" s="1" t="str">
        <f>"90/90-12TLSRUN"</f>
        <v>90/90-12TLSRUN</v>
      </c>
      <c r="D13376" s="1" t="str">
        <f>"90/90-12TLSRUN"</f>
        <v>90/90-12TLSRUN</v>
      </c>
      <c r="E13376" s="1" t="s">
        <v>4579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0</v>
      </c>
    </row>
    <row r="13377" spans="1:11" x14ac:dyDescent="0.2">
      <c r="A13377" s="1" t="s">
        <v>3042</v>
      </c>
      <c r="B13377" s="1" t="s">
        <v>3072</v>
      </c>
      <c r="C13377" s="1" t="str">
        <f>"66298910294778"</f>
        <v>66298910294778</v>
      </c>
      <c r="D13377" s="1" t="str">
        <f>"120/70-12TLSR"</f>
        <v>120/70-12TLSR</v>
      </c>
      <c r="E13377" s="1" t="s">
        <v>4579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</row>
    <row r="13378" spans="1:11" x14ac:dyDescent="0.2">
      <c r="A13378" s="1" t="s">
        <v>3042</v>
      </c>
      <c r="B13378" s="1" t="s">
        <v>3073</v>
      </c>
      <c r="C13378" s="1" t="str">
        <f>"66298910338806"</f>
        <v>66298910338806</v>
      </c>
      <c r="D13378" s="1" t="str">
        <f>"130/60-13TLSR"</f>
        <v>130/60-13TLSR</v>
      </c>
      <c r="E13378" s="1" t="s">
        <v>4579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</row>
    <row r="13379" spans="1:11" x14ac:dyDescent="0.2">
      <c r="A13379" s="1" t="s">
        <v>3042</v>
      </c>
      <c r="B13379" s="1" t="s">
        <v>4595</v>
      </c>
      <c r="C13379" s="1" t="str">
        <f>"67822290244669"</f>
        <v>67822290244669</v>
      </c>
      <c r="D13379" s="1" t="str">
        <f>"130/60X13-TLWA"</f>
        <v>130/60X13-TLWA</v>
      </c>
      <c r="E13379" s="1" t="s">
        <v>4579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</row>
    <row r="13380" spans="1:11" ht="30" x14ac:dyDescent="0.2">
      <c r="A13380" s="1" t="s">
        <v>3042</v>
      </c>
      <c r="B13380" s="1" t="s">
        <v>3074</v>
      </c>
      <c r="C13380" s="1" t="str">
        <f>"275X14CHINO"</f>
        <v>275X14CHINO</v>
      </c>
      <c r="D13380" s="1" t="str">
        <f>"275X14CHINO"</f>
        <v>275X14CHINO</v>
      </c>
      <c r="E13380" s="1" t="s">
        <v>4579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</row>
    <row r="13381" spans="1:11" x14ac:dyDescent="0.2">
      <c r="A13381" s="1" t="s">
        <v>3042</v>
      </c>
      <c r="B13381" s="1" t="s">
        <v>3075</v>
      </c>
      <c r="C13381" s="1" t="str">
        <f>"130/90-15TLDURO"</f>
        <v>130/90-15TLDURO</v>
      </c>
      <c r="D13381" s="1" t="str">
        <f>"130/90-15TLDURO"</f>
        <v>130/90-15TLDURO</v>
      </c>
      <c r="E13381" s="1" t="s">
        <v>4579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</row>
    <row r="13382" spans="1:11" x14ac:dyDescent="0.2">
      <c r="A13382" s="1" t="s">
        <v>3042</v>
      </c>
      <c r="B13382" s="1" t="s">
        <v>3076</v>
      </c>
      <c r="C13382" s="1" t="str">
        <f>"130/90-15TLSR"</f>
        <v>130/90-15TLSR</v>
      </c>
      <c r="D13382" s="1" t="str">
        <f>"130/90-15TLSR"</f>
        <v>130/90-15TLSR</v>
      </c>
      <c r="E13382" s="1" t="s">
        <v>4579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</row>
    <row r="13383" spans="1:11" x14ac:dyDescent="0.2">
      <c r="A13383" s="1" t="s">
        <v>3042</v>
      </c>
      <c r="B13383" s="1" t="s">
        <v>4596</v>
      </c>
      <c r="C13383" s="1" t="str">
        <f>"67822290552761"</f>
        <v>67822290552761</v>
      </c>
      <c r="D13383" s="1" t="str">
        <f>"130/90X15-TLWA"</f>
        <v>130/90X15-TLWA</v>
      </c>
      <c r="E13383" s="1" t="s">
        <v>4579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</row>
    <row r="13384" spans="1:11" x14ac:dyDescent="0.2">
      <c r="A13384" s="1" t="s">
        <v>3042</v>
      </c>
      <c r="B13384" s="1" t="s">
        <v>3077</v>
      </c>
      <c r="C13384" s="1" t="str">
        <f>"66298910383364"</f>
        <v>66298910383364</v>
      </c>
      <c r="D13384" s="1" t="str">
        <f>"120/80-16TLCEAT"</f>
        <v>120/80-16TLCEAT</v>
      </c>
      <c r="E13384" s="1" t="s">
        <v>4579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</row>
    <row r="13385" spans="1:11" x14ac:dyDescent="0.2">
      <c r="A13385" s="1" t="s">
        <v>3042</v>
      </c>
      <c r="B13385" s="1" t="s">
        <v>3078</v>
      </c>
      <c r="C13385" s="1" t="str">
        <f>"66298910426596"</f>
        <v>66298910426596</v>
      </c>
      <c r="D13385" s="1" t="str">
        <f>"110/90-16TLCEAT"</f>
        <v>110/90-16TLCEAT</v>
      </c>
      <c r="E13385" s="1" t="s">
        <v>4579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</row>
    <row r="13386" spans="1:11" x14ac:dyDescent="0.2">
      <c r="A13386" s="1" t="s">
        <v>3042</v>
      </c>
      <c r="B13386" s="1" t="s">
        <v>3079</v>
      </c>
      <c r="C13386" s="1" t="str">
        <f>"66298910474265"</f>
        <v>66298910474265</v>
      </c>
      <c r="D13386" s="1" t="str">
        <f>"150/80-16SK"</f>
        <v>150/80-16SK</v>
      </c>
      <c r="E13386" s="1" t="s">
        <v>4579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</row>
    <row r="13387" spans="1:11" x14ac:dyDescent="0.2">
      <c r="A13387" s="1" t="s">
        <v>3042</v>
      </c>
      <c r="B13387" s="1" t="s">
        <v>3079</v>
      </c>
      <c r="C13387" s="1" t="str">
        <f>"66298910483943"</f>
        <v>66298910483943</v>
      </c>
      <c r="D13387" s="1" t="str">
        <f>"180/65B-16TLSK"</f>
        <v>180/65B-16TLSK</v>
      </c>
      <c r="E13387" s="1" t="s">
        <v>4579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</row>
    <row r="13388" spans="1:11" ht="30" x14ac:dyDescent="0.2">
      <c r="A13388" s="1" t="s">
        <v>3042</v>
      </c>
      <c r="B13388" s="1" t="s">
        <v>3080</v>
      </c>
      <c r="C13388" s="1" t="str">
        <f>"66298910538091"</f>
        <v>66298910538091</v>
      </c>
      <c r="D13388" s="1" t="str">
        <f>"130/90-16WWSK"</f>
        <v>130/90-16WWSK</v>
      </c>
      <c r="E13388" s="1" t="s">
        <v>4579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</row>
    <row r="13389" spans="1:11" x14ac:dyDescent="0.2">
      <c r="A13389" s="1" t="s">
        <v>3042</v>
      </c>
      <c r="B13389" s="1" t="s">
        <v>3081</v>
      </c>
      <c r="C13389" s="1" t="str">
        <f>"110/90-16TLSR"</f>
        <v>110/90-16TLSR</v>
      </c>
      <c r="D13389" s="1" t="str">
        <f>"110/90-16TLSR"</f>
        <v>110/90-16TLSR</v>
      </c>
      <c r="E13389" s="1" t="s">
        <v>4579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</row>
    <row r="13390" spans="1:11" x14ac:dyDescent="0.2">
      <c r="A13390" s="1" t="s">
        <v>3042</v>
      </c>
      <c r="B13390" s="1" t="s">
        <v>4597</v>
      </c>
      <c r="C13390" s="1" t="str">
        <f>"67822290513992"</f>
        <v>67822290513992</v>
      </c>
      <c r="D13390" s="1" t="str">
        <f>"110/90X16DSWA"</f>
        <v>110/90X16DSWA</v>
      </c>
      <c r="E13390" s="1" t="s">
        <v>4579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</row>
    <row r="13391" spans="1:11" x14ac:dyDescent="0.2">
      <c r="A13391" s="1" t="s">
        <v>3042</v>
      </c>
      <c r="B13391" s="1" t="s">
        <v>3082</v>
      </c>
      <c r="C13391" s="1" t="str">
        <f>"100/80-17TLCEAT"</f>
        <v>100/80-17TLCEAT</v>
      </c>
      <c r="D13391" s="1" t="str">
        <f>"100/80-17TLCEAT"</f>
        <v>100/80-17TLCEAT</v>
      </c>
      <c r="E13391" s="1" t="s">
        <v>4579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</row>
    <row r="13392" spans="1:11" x14ac:dyDescent="0.2">
      <c r="A13392" s="1" t="s">
        <v>3042</v>
      </c>
      <c r="B13392" s="1" t="s">
        <v>3083</v>
      </c>
      <c r="C13392" s="1" t="str">
        <f>"66298910694903"</f>
        <v>66298910694903</v>
      </c>
      <c r="D13392" s="1" t="str">
        <f>"110/70-17TLCEAT"</f>
        <v>110/70-17TLCEAT</v>
      </c>
      <c r="E13392" s="1" t="s">
        <v>4579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</row>
    <row r="13393" spans="1:11" x14ac:dyDescent="0.2">
      <c r="A13393" s="1" t="s">
        <v>3042</v>
      </c>
      <c r="B13393" s="1" t="s">
        <v>3083</v>
      </c>
      <c r="C13393" s="1" t="str">
        <f>"150/60-17TLCEAT"</f>
        <v>150/60-17TLCEAT</v>
      </c>
      <c r="D13393" s="1" t="str">
        <f>"150/60-17TLCEAT"</f>
        <v>150/60-17TLCEAT</v>
      </c>
      <c r="E13393" s="1" t="s">
        <v>4579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</row>
    <row r="13394" spans="1:11" x14ac:dyDescent="0.2">
      <c r="A13394" s="1" t="s">
        <v>3042</v>
      </c>
      <c r="B13394" s="1" t="s">
        <v>3084</v>
      </c>
      <c r="C13394" s="1" t="str">
        <f>"66298910624970"</f>
        <v>66298910624970</v>
      </c>
      <c r="D13394" s="1" t="str">
        <f>"140/60-17TLCEAT"</f>
        <v>140/60-17TLCEAT</v>
      </c>
      <c r="E13394" s="1" t="s">
        <v>4579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</row>
    <row r="13395" spans="1:11" x14ac:dyDescent="0.2">
      <c r="A13395" s="1" t="s">
        <v>3042</v>
      </c>
      <c r="B13395" s="1" t="s">
        <v>3084</v>
      </c>
      <c r="C13395" s="1" t="str">
        <f>"66298910632902"</f>
        <v>66298910632902</v>
      </c>
      <c r="D13395" s="1" t="str">
        <f>"130/70-17TLCET"</f>
        <v>130/70-17TLCET</v>
      </c>
      <c r="E13395" s="1" t="s">
        <v>4579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</row>
    <row r="13396" spans="1:11" x14ac:dyDescent="0.2">
      <c r="A13396" s="1" t="s">
        <v>3042</v>
      </c>
      <c r="B13396" s="1" t="s">
        <v>3085</v>
      </c>
      <c r="C13396" s="1" t="str">
        <f>"66298910733901"</f>
        <v>66298910733901</v>
      </c>
      <c r="D13396" s="1" t="str">
        <f>"140/70-17TLCEAT"</f>
        <v>140/70-17TLCEAT</v>
      </c>
      <c r="E13396" s="1" t="s">
        <v>4579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</row>
    <row r="13397" spans="1:11" x14ac:dyDescent="0.2">
      <c r="A13397" s="1" t="s">
        <v>3042</v>
      </c>
      <c r="B13397" s="1" t="s">
        <v>3085</v>
      </c>
      <c r="C13397" s="1" t="str">
        <f>"130/70-17TLCEATZ"</f>
        <v>130/70-17TLCEATZ</v>
      </c>
      <c r="D13397" s="1" t="str">
        <f>"130/70-17TLCEATZ"</f>
        <v>130/70-17TLCEATZ</v>
      </c>
      <c r="E13397" s="1" t="s">
        <v>4579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</row>
    <row r="13398" spans="1:11" x14ac:dyDescent="0.2">
      <c r="A13398" s="1" t="s">
        <v>3042</v>
      </c>
      <c r="B13398" s="1" t="s">
        <v>3086</v>
      </c>
      <c r="C13398" s="1" t="str">
        <f>"66298910577073"</f>
        <v>66298910577073</v>
      </c>
      <c r="D13398" s="1" t="str">
        <f>"120/80-17TLCEAT"</f>
        <v>120/80-17TLCEAT</v>
      </c>
      <c r="E13398" s="1" t="s">
        <v>4579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</row>
    <row r="13399" spans="1:11" x14ac:dyDescent="0.2">
      <c r="A13399" s="1" t="s">
        <v>3042</v>
      </c>
      <c r="B13399" s="1" t="s">
        <v>3086</v>
      </c>
      <c r="C13399" s="1" t="str">
        <f>"90/90-17TLCEAT"</f>
        <v>90/90-17TLCEAT</v>
      </c>
      <c r="D13399" s="1" t="str">
        <f>"90/90-17TLCEAT"</f>
        <v>90/90-17TLCEAT</v>
      </c>
      <c r="E13399" s="1" t="s">
        <v>4579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</row>
    <row r="13400" spans="1:11" x14ac:dyDescent="0.2">
      <c r="A13400" s="1" t="s">
        <v>3042</v>
      </c>
      <c r="B13400" s="1" t="s">
        <v>3087</v>
      </c>
      <c r="C13400" s="1" t="str">
        <f>"120/90-17TTCHY"</f>
        <v>120/90-17TTCHY</v>
      </c>
      <c r="D13400" s="1" t="str">
        <f>"120/90-17TTCHY"</f>
        <v>120/90-17TTCHY</v>
      </c>
      <c r="E13400" s="1" t="s">
        <v>4579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</row>
    <row r="13401" spans="1:11" x14ac:dyDescent="0.2">
      <c r="A13401" s="1" t="s">
        <v>3042</v>
      </c>
      <c r="B13401" s="1" t="s">
        <v>3088</v>
      </c>
      <c r="C13401" s="1" t="str">
        <f>"250-17DURO"</f>
        <v>250-17DURO</v>
      </c>
      <c r="D13401" s="1" t="str">
        <f>"250-17DURO"</f>
        <v>250-17DURO</v>
      </c>
      <c r="E13401" s="1" t="s">
        <v>4579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</row>
    <row r="13402" spans="1:11" x14ac:dyDescent="0.2">
      <c r="A13402" s="1" t="s">
        <v>3042</v>
      </c>
      <c r="B13402" s="1" t="s">
        <v>3089</v>
      </c>
      <c r="C13402" s="1" t="str">
        <f>"120/80-17DURO"</f>
        <v>120/80-17DURO</v>
      </c>
      <c r="D13402" s="1" t="str">
        <f>"120/80-17DURO"</f>
        <v>120/80-17DURO</v>
      </c>
      <c r="E13402" s="1" t="s">
        <v>4579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</row>
    <row r="13403" spans="1:11" x14ac:dyDescent="0.2">
      <c r="A13403" s="1" t="s">
        <v>3042</v>
      </c>
      <c r="B13403" s="1" t="s">
        <v>3090</v>
      </c>
      <c r="C13403" s="1" t="str">
        <f>"140/70X17DURO"</f>
        <v>140/70X17DURO</v>
      </c>
      <c r="D13403" s="1" t="str">
        <f>"140/70X17DURO"</f>
        <v>140/70X17DURO</v>
      </c>
      <c r="E13403" s="1" t="s">
        <v>4579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</row>
    <row r="13404" spans="1:11" x14ac:dyDescent="0.2">
      <c r="A13404" s="1" t="s">
        <v>3042</v>
      </c>
      <c r="B13404" s="1" t="s">
        <v>3090</v>
      </c>
      <c r="C13404" s="1" t="str">
        <f>"90/90X17DURO"</f>
        <v>90/90X17DURO</v>
      </c>
      <c r="D13404" s="1" t="str">
        <f>"90/90X17DURO"</f>
        <v>90/90X17DURO</v>
      </c>
      <c r="E13404" s="1" t="s">
        <v>4579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</row>
    <row r="13405" spans="1:11" x14ac:dyDescent="0.2">
      <c r="A13405" s="1" t="s">
        <v>3042</v>
      </c>
      <c r="B13405" s="1" t="s">
        <v>3090</v>
      </c>
      <c r="C13405" s="1" t="str">
        <f>"110/70X17DURO"</f>
        <v>110/70X17DURO</v>
      </c>
      <c r="D13405" s="1" t="str">
        <f>"110/70X17DURO"</f>
        <v>110/70X17DURO</v>
      </c>
      <c r="E13405" s="1" t="s">
        <v>4579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</row>
    <row r="13406" spans="1:11" x14ac:dyDescent="0.2">
      <c r="A13406" s="1" t="s">
        <v>3042</v>
      </c>
      <c r="B13406" s="1" t="s">
        <v>4598</v>
      </c>
      <c r="C13406" s="1" t="str">
        <f>"67822289827561"</f>
        <v>67822289827561</v>
      </c>
      <c r="D13406" s="1" t="str">
        <f>"110/70X17-TLIRC"</f>
        <v>110/70X17-TLIRC</v>
      </c>
      <c r="E13406" s="1" t="s">
        <v>4579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</row>
    <row r="13407" spans="1:11" x14ac:dyDescent="0.2">
      <c r="A13407" s="1" t="s">
        <v>3042</v>
      </c>
      <c r="B13407" s="1" t="s">
        <v>4598</v>
      </c>
      <c r="C13407" s="1" t="str">
        <f>"67822289837967"</f>
        <v>67822289837967</v>
      </c>
      <c r="D13407" s="1" t="str">
        <f>"120/70X17-TLIRC"</f>
        <v>120/70X17-TLIRC</v>
      </c>
      <c r="E13407" s="1" t="s">
        <v>4579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</row>
    <row r="13408" spans="1:11" x14ac:dyDescent="0.2">
      <c r="A13408" s="1" t="s">
        <v>3042</v>
      </c>
      <c r="B13408" s="1" t="s">
        <v>4598</v>
      </c>
      <c r="C13408" s="1" t="str">
        <f>"67822289847368"</f>
        <v>67822289847368</v>
      </c>
      <c r="D13408" s="1" t="str">
        <f>"140/70X17-TLIRC"</f>
        <v>140/70X17-TLIRC</v>
      </c>
      <c r="E13408" s="1" t="s">
        <v>4579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</row>
    <row r="13409" spans="1:11" x14ac:dyDescent="0.2">
      <c r="A13409" s="1" t="s">
        <v>3042</v>
      </c>
      <c r="B13409" s="1" t="s">
        <v>4598</v>
      </c>
      <c r="C13409" s="1" t="str">
        <f>"67822289852807"</f>
        <v>67822289852807</v>
      </c>
      <c r="D13409" s="1" t="str">
        <f>"150/70X17-TLIRC"</f>
        <v>150/70X17-TLIRC</v>
      </c>
      <c r="E13409" s="1" t="s">
        <v>4579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</row>
    <row r="13410" spans="1:11" x14ac:dyDescent="0.2">
      <c r="A13410" s="1" t="s">
        <v>3042</v>
      </c>
      <c r="B13410" s="1" t="s">
        <v>4598</v>
      </c>
      <c r="C13410" s="1" t="str">
        <f>"67822289860312"</f>
        <v>67822289860312</v>
      </c>
      <c r="D13410" s="1" t="str">
        <f>"160/60X17-TLIRC"</f>
        <v>160/60X17-TLIRC</v>
      </c>
      <c r="E13410" s="1" t="s">
        <v>4579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</row>
    <row r="13411" spans="1:11" x14ac:dyDescent="0.2">
      <c r="A13411" s="1" t="s">
        <v>3042</v>
      </c>
      <c r="B13411" s="1" t="s">
        <v>3091</v>
      </c>
      <c r="C13411" s="1" t="str">
        <f>"120/70ZR-17/K-905"</f>
        <v>120/70ZR-17/K-905</v>
      </c>
      <c r="D13411" s="1" t="str">
        <f>"120/70ZR-17/K-905"</f>
        <v>120/70ZR-17/K-905</v>
      </c>
      <c r="E13411" s="1" t="s">
        <v>4579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</row>
    <row r="13412" spans="1:11" x14ac:dyDescent="0.2">
      <c r="A13412" s="1" t="s">
        <v>3042</v>
      </c>
      <c r="B13412" s="1" t="s">
        <v>3091</v>
      </c>
      <c r="C13412" s="1" t="str">
        <f>"180/55ZR-17/K-905"</f>
        <v>180/55ZR-17/K-905</v>
      </c>
      <c r="D13412" s="1" t="str">
        <f>"180/55ZR-17/K-905"</f>
        <v>180/55ZR-17/K-905</v>
      </c>
      <c r="E13412" s="1" t="s">
        <v>4579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</row>
    <row r="13413" spans="1:11" x14ac:dyDescent="0.2">
      <c r="A13413" s="1" t="s">
        <v>3042</v>
      </c>
      <c r="B13413" s="1" t="s">
        <v>3092</v>
      </c>
      <c r="C13413" s="1" t="str">
        <f>"110/70ZR-17/K-97"</f>
        <v>110/70ZR-17/K-97</v>
      </c>
      <c r="D13413" s="1" t="str">
        <f>"110/70ZR-17/K-97"</f>
        <v>110/70ZR-17/K-97</v>
      </c>
      <c r="E13413" s="1" t="s">
        <v>4579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</row>
    <row r="13414" spans="1:11" x14ac:dyDescent="0.2">
      <c r="A13414" s="1" t="s">
        <v>3042</v>
      </c>
      <c r="B13414" s="1" t="s">
        <v>3092</v>
      </c>
      <c r="C13414" s="1" t="str">
        <f>"140/70ZR-17/K-97"</f>
        <v>140/70ZR-17/K-97</v>
      </c>
      <c r="D13414" s="1" t="str">
        <f>"140/70ZR-17/K-97"</f>
        <v>140/70ZR-17/K-97</v>
      </c>
      <c r="E13414" s="1" t="s">
        <v>4579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</row>
    <row r="13415" spans="1:11" x14ac:dyDescent="0.2">
      <c r="A13415" s="1" t="s">
        <v>3042</v>
      </c>
      <c r="B13415" s="1" t="s">
        <v>3092</v>
      </c>
      <c r="C13415" s="1" t="str">
        <f>"150/60ZR-17/K-97"</f>
        <v>150/60ZR-17/K-97</v>
      </c>
      <c r="D13415" s="1" t="str">
        <f>"150/60ZR-17/K-97"</f>
        <v>150/60ZR-17/K-97</v>
      </c>
      <c r="E13415" s="1" t="s">
        <v>4579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</row>
    <row r="13416" spans="1:11" x14ac:dyDescent="0.2">
      <c r="A13416" s="1" t="s">
        <v>3042</v>
      </c>
      <c r="B13416" s="1" t="s">
        <v>3092</v>
      </c>
      <c r="C13416" s="1" t="str">
        <f>"160/60ZR-17/K-97"</f>
        <v>160/60ZR-17/K-97</v>
      </c>
      <c r="D13416" s="1" t="str">
        <f>"160/60ZR-17/K-97"</f>
        <v>160/60ZR-17/K-97</v>
      </c>
      <c r="E13416" s="1" t="s">
        <v>4579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</row>
    <row r="13417" spans="1:11" x14ac:dyDescent="0.2">
      <c r="A13417" s="1" t="s">
        <v>3042</v>
      </c>
      <c r="B13417" s="1" t="s">
        <v>3093</v>
      </c>
      <c r="C13417" s="1" t="str">
        <f>"100/80-17TLMI"</f>
        <v>100/80-17TLMI</v>
      </c>
      <c r="D13417" s="1" t="str">
        <f>"100/80-17TLMI"</f>
        <v>100/80-17TLMI</v>
      </c>
      <c r="E13417" s="1" t="s">
        <v>4579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</row>
    <row r="13418" spans="1:11" ht="30" x14ac:dyDescent="0.2">
      <c r="A13418" s="1" t="s">
        <v>3042</v>
      </c>
      <c r="B13418" s="1" t="s">
        <v>3094</v>
      </c>
      <c r="C13418" s="1" t="str">
        <f>"140/60X17TLMI"</f>
        <v>140/60X17TLMI</v>
      </c>
      <c r="D13418" s="1" t="str">
        <f>"140/60X17TLMI"</f>
        <v>140/60X17TLMI</v>
      </c>
      <c r="E13418" s="1" t="s">
        <v>4579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</row>
    <row r="13419" spans="1:11" ht="30" x14ac:dyDescent="0.2">
      <c r="A13419" s="1" t="s">
        <v>3042</v>
      </c>
      <c r="B13419" s="1" t="s">
        <v>3094</v>
      </c>
      <c r="C13419" s="1" t="str">
        <f>"130/70X17TLMI"</f>
        <v>130/70X17TLMI</v>
      </c>
      <c r="D13419" s="1" t="str">
        <f>"130/70X17TLMI"</f>
        <v>130/70X17TLMI</v>
      </c>
      <c r="E13419" s="1" t="s">
        <v>4579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</row>
    <row r="13420" spans="1:11" ht="30" x14ac:dyDescent="0.2">
      <c r="A13420" s="1" t="s">
        <v>3042</v>
      </c>
      <c r="B13420" s="1" t="s">
        <v>3095</v>
      </c>
      <c r="C13420" s="1" t="str">
        <f>"140/70*17TLMI"</f>
        <v>140/70*17TLMI</v>
      </c>
      <c r="D13420" s="1" t="str">
        <f>"140/70*17TLMI"</f>
        <v>140/70*17TLMI</v>
      </c>
      <c r="E13420" s="1" t="s">
        <v>4579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</row>
    <row r="13421" spans="1:11" x14ac:dyDescent="0.2">
      <c r="A13421" s="1" t="s">
        <v>3042</v>
      </c>
      <c r="B13421" s="1" t="s">
        <v>3096</v>
      </c>
      <c r="C13421" s="1" t="str">
        <f>"66298910774575"</f>
        <v>66298910774575</v>
      </c>
      <c r="D13421" s="1" t="str">
        <f>"110/90-17TLMI"</f>
        <v>110/90-17TLMI</v>
      </c>
      <c r="E13421" s="1" t="s">
        <v>4579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</row>
    <row r="13422" spans="1:11" x14ac:dyDescent="0.2">
      <c r="A13422" s="1" t="s">
        <v>3042</v>
      </c>
      <c r="B13422" s="1" t="s">
        <v>3097</v>
      </c>
      <c r="C13422" s="1" t="str">
        <f>"110/90X17-DSPT"</f>
        <v>110/90X17-DSPT</v>
      </c>
      <c r="D13422" s="1" t="str">
        <f>"110/90X17-DSPT"</f>
        <v>110/90X17-DSPT</v>
      </c>
      <c r="E13422" s="1" t="s">
        <v>4579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</row>
    <row r="13423" spans="1:11" x14ac:dyDescent="0.2">
      <c r="A13423" s="1" t="s">
        <v>3042</v>
      </c>
      <c r="B13423" s="1" t="s">
        <v>3098</v>
      </c>
      <c r="C13423" s="1" t="str">
        <f>"67822289922581"</f>
        <v>67822289922581</v>
      </c>
      <c r="D13423" s="1" t="str">
        <f>"110/70X17-TLPT"</f>
        <v>110/70X17-TLPT</v>
      </c>
      <c r="E13423" s="1" t="s">
        <v>4579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</row>
    <row r="13424" spans="1:11" x14ac:dyDescent="0.2">
      <c r="A13424" s="1" t="s">
        <v>3042</v>
      </c>
      <c r="B13424" s="1" t="s">
        <v>3098</v>
      </c>
      <c r="C13424" s="1" t="str">
        <f>"67822289955877"</f>
        <v>67822289955877</v>
      </c>
      <c r="D13424" s="1" t="str">
        <f>"130/70X17-TLPT"</f>
        <v>130/70X17-TLPT</v>
      </c>
      <c r="E13424" s="1" t="s">
        <v>4579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</row>
    <row r="13425" spans="1:11" x14ac:dyDescent="0.2">
      <c r="A13425" s="1" t="s">
        <v>3042</v>
      </c>
      <c r="B13425" s="1" t="s">
        <v>3098</v>
      </c>
      <c r="C13425" s="1" t="str">
        <f>"67822289964723"</f>
        <v>67822289964723</v>
      </c>
      <c r="D13425" s="1" t="str">
        <f>"140/70X17-TLPT"</f>
        <v>140/70X17-TLPT</v>
      </c>
      <c r="E13425" s="1" t="s">
        <v>4579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</row>
    <row r="13426" spans="1:11" x14ac:dyDescent="0.2">
      <c r="A13426" s="1" t="s">
        <v>3042</v>
      </c>
      <c r="B13426" s="1" t="s">
        <v>3098</v>
      </c>
      <c r="C13426" s="1" t="str">
        <f>"67822289972278"</f>
        <v>67822289972278</v>
      </c>
      <c r="D13426" s="1" t="str">
        <f>"150/70X17-TLPT"</f>
        <v>150/70X17-TLPT</v>
      </c>
      <c r="E13426" s="1" t="s">
        <v>4579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</row>
    <row r="13427" spans="1:11" ht="30" x14ac:dyDescent="0.2">
      <c r="A13427" s="1" t="s">
        <v>3042</v>
      </c>
      <c r="B13427" s="1" t="s">
        <v>4599</v>
      </c>
      <c r="C13427" s="1" t="str">
        <f>"67822289981489"</f>
        <v>67822289981489</v>
      </c>
      <c r="D13427" s="1" t="str">
        <f>"110/70-17-TLPT"</f>
        <v>110/70-17-TLPT</v>
      </c>
      <c r="E13427" s="1" t="s">
        <v>4579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</row>
    <row r="13428" spans="1:11" ht="30" x14ac:dyDescent="0.2">
      <c r="A13428" s="1" t="s">
        <v>3042</v>
      </c>
      <c r="B13428" s="1" t="s">
        <v>4599</v>
      </c>
      <c r="C13428" s="1" t="str">
        <f>"67822290018577"</f>
        <v>67822290018577</v>
      </c>
      <c r="D13428" s="1" t="str">
        <f>"140/70-17-TLPT"</f>
        <v>140/70-17-TLPT</v>
      </c>
      <c r="E13428" s="1" t="s">
        <v>4579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</row>
    <row r="13429" spans="1:11" x14ac:dyDescent="0.2">
      <c r="A13429" s="1" t="s">
        <v>3042</v>
      </c>
      <c r="B13429" s="1" t="s">
        <v>4600</v>
      </c>
      <c r="C13429" s="1" t="str">
        <f>"67822289998130"</f>
        <v>67822289998130</v>
      </c>
      <c r="D13429" s="1" t="str">
        <f>"120/70X17-TLPT"</f>
        <v>120/70X17-TLPT</v>
      </c>
      <c r="E13429" s="1" t="s">
        <v>4579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</row>
    <row r="13430" spans="1:11" x14ac:dyDescent="0.2">
      <c r="A13430" s="1" t="s">
        <v>3042</v>
      </c>
      <c r="B13430" s="1" t="s">
        <v>4600</v>
      </c>
      <c r="C13430" s="1" t="str">
        <f>"67822290016574"</f>
        <v>67822290016574</v>
      </c>
      <c r="D13430" s="1" t="str">
        <f>"160/60X17-TLPT"</f>
        <v>160/60X17-TLPT</v>
      </c>
      <c r="E13430" s="1" t="s">
        <v>4579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</row>
    <row r="13431" spans="1:11" x14ac:dyDescent="0.2">
      <c r="A13431" s="1" t="s">
        <v>3042</v>
      </c>
      <c r="B13431" s="1" t="s">
        <v>3099</v>
      </c>
      <c r="C13431" s="1" t="str">
        <f>"100/80X17-TLPT"</f>
        <v>100/80X17-TLPT</v>
      </c>
      <c r="D13431" s="1" t="str">
        <f>"100/80X17-TLPT"</f>
        <v>100/80X17-TLPT</v>
      </c>
      <c r="E13431" s="1" t="s">
        <v>4579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</row>
    <row r="13432" spans="1:11" ht="30" x14ac:dyDescent="0.2">
      <c r="A13432" s="1" t="s">
        <v>3042</v>
      </c>
      <c r="B13432" s="1" t="s">
        <v>3100</v>
      </c>
      <c r="C13432" s="1" t="str">
        <f>"66298910818500"</f>
        <v>66298910818500</v>
      </c>
      <c r="D13432" s="1" t="str">
        <f>"120/70ZR17TLSK"</f>
        <v>120/70ZR17TLSK</v>
      </c>
      <c r="E13432" s="1" t="s">
        <v>4579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</row>
    <row r="13433" spans="1:11" ht="30" x14ac:dyDescent="0.2">
      <c r="A13433" s="1" t="s">
        <v>3042</v>
      </c>
      <c r="B13433" s="1" t="s">
        <v>3101</v>
      </c>
      <c r="C13433" s="1" t="str">
        <f>"66298910860656"</f>
        <v>66298910860656</v>
      </c>
      <c r="D13433" s="1" t="str">
        <f>"160/60ZR17TLSK"</f>
        <v>160/60ZR17TLSK</v>
      </c>
      <c r="E13433" s="1" t="s">
        <v>4579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</row>
    <row r="13434" spans="1:11" x14ac:dyDescent="0.2">
      <c r="A13434" s="1" t="s">
        <v>3042</v>
      </c>
      <c r="B13434" s="1" t="s">
        <v>3102</v>
      </c>
      <c r="C13434" s="1" t="str">
        <f>"66298910904618"</f>
        <v>66298910904618</v>
      </c>
      <c r="D13434" s="1" t="str">
        <f>"140/80-17TBSK"</f>
        <v>140/80-17TBSK</v>
      </c>
      <c r="E13434" s="1" t="s">
        <v>4579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</row>
    <row r="13435" spans="1:11" x14ac:dyDescent="0.2">
      <c r="A13435" s="1" t="s">
        <v>3042</v>
      </c>
      <c r="B13435" s="1" t="s">
        <v>3103</v>
      </c>
      <c r="C13435" s="1" t="str">
        <f>"120/80-17TLSR"</f>
        <v>120/80-17TLSR</v>
      </c>
      <c r="D13435" s="1" t="str">
        <f>"120/80-17TLSR"</f>
        <v>120/80-17TLSR</v>
      </c>
      <c r="E13435" s="1" t="s">
        <v>4579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</row>
    <row r="13436" spans="1:11" x14ac:dyDescent="0.2">
      <c r="A13436" s="1" t="s">
        <v>3042</v>
      </c>
      <c r="B13436" s="1" t="s">
        <v>3104</v>
      </c>
      <c r="C13436" s="1" t="str">
        <f>"110/90-17TLSR"</f>
        <v>110/90-17TLSR</v>
      </c>
      <c r="D13436" s="1" t="str">
        <f>"110/90-17TLSR"</f>
        <v>110/90-17TLSR</v>
      </c>
      <c r="E13436" s="1" t="s">
        <v>4579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</row>
    <row r="13437" spans="1:11" x14ac:dyDescent="0.2">
      <c r="A13437" s="1" t="s">
        <v>3042</v>
      </c>
      <c r="B13437" s="1" t="s">
        <v>3105</v>
      </c>
      <c r="C13437" s="1" t="str">
        <f>"110/90X17TLSR"</f>
        <v>110/90X17TLSR</v>
      </c>
      <c r="D13437" s="1" t="str">
        <f>"110/90X17TLSR"</f>
        <v>110/90X17TLSR</v>
      </c>
      <c r="E13437" s="1" t="s">
        <v>4579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</row>
    <row r="13438" spans="1:11" x14ac:dyDescent="0.2">
      <c r="A13438" s="1" t="s">
        <v>3042</v>
      </c>
      <c r="B13438" s="1" t="s">
        <v>3106</v>
      </c>
      <c r="C13438" s="1" t="str">
        <f>"100/80-17TLSR"</f>
        <v>100/80-17TLSR</v>
      </c>
      <c r="D13438" s="1" t="str">
        <f>"100/80-17TLSR"</f>
        <v>100/80-17TLSR</v>
      </c>
      <c r="E13438" s="1" t="s">
        <v>4579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</row>
    <row r="13439" spans="1:11" x14ac:dyDescent="0.2">
      <c r="A13439" s="1" t="s">
        <v>3042</v>
      </c>
      <c r="B13439" s="1" t="s">
        <v>3107</v>
      </c>
      <c r="C13439" s="1" t="str">
        <f>"140/70-17TLSR"</f>
        <v>140/70-17TLSR</v>
      </c>
      <c r="D13439" s="1" t="str">
        <f>"140/70-17TLSR"</f>
        <v>140/70-17TLSR</v>
      </c>
      <c r="E13439" s="1" t="s">
        <v>4579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</row>
    <row r="13440" spans="1:11" x14ac:dyDescent="0.2">
      <c r="A13440" s="1" t="s">
        <v>3042</v>
      </c>
      <c r="B13440" s="1" t="s">
        <v>3108</v>
      </c>
      <c r="C13440" s="1" t="str">
        <f>"66298910949130"</f>
        <v>66298910949130</v>
      </c>
      <c r="D13440" s="1" t="str">
        <f>"130/70-17TLSR"</f>
        <v>130/70-17TLSR</v>
      </c>
      <c r="E13440" s="1" t="s">
        <v>4579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</row>
    <row r="13441" spans="1:11" x14ac:dyDescent="0.2">
      <c r="A13441" s="1" t="s">
        <v>3042</v>
      </c>
      <c r="B13441" s="1" t="s">
        <v>3108</v>
      </c>
      <c r="C13441" s="1" t="str">
        <f>"140/70X17TLSR"</f>
        <v>140/70X17TLSR</v>
      </c>
      <c r="D13441" s="1" t="str">
        <f>"140/70X17TLSR"</f>
        <v>140/70X17TLSR</v>
      </c>
      <c r="E13441" s="1" t="s">
        <v>4579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</row>
    <row r="13442" spans="1:11" x14ac:dyDescent="0.2">
      <c r="A13442" s="1" t="s">
        <v>3042</v>
      </c>
      <c r="B13442" s="1" t="s">
        <v>3109</v>
      </c>
      <c r="C13442" s="1" t="str">
        <f>"90/90X17TLSR"</f>
        <v>90/90X17TLSR</v>
      </c>
      <c r="D13442" s="1" t="str">
        <f>"90/90X17TLSR"</f>
        <v>90/90X17TLSR</v>
      </c>
      <c r="E13442" s="1" t="s">
        <v>4579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</row>
    <row r="13443" spans="1:11" x14ac:dyDescent="0.2">
      <c r="A13443" s="1" t="s">
        <v>3042</v>
      </c>
      <c r="B13443" s="1" t="s">
        <v>3110</v>
      </c>
      <c r="C13443" s="1" t="str">
        <f>"67822290588541"</f>
        <v>67822290588541</v>
      </c>
      <c r="D13443" s="1" t="str">
        <f>"140/70X17-TLWA"</f>
        <v>140/70X17-TLWA</v>
      </c>
      <c r="E13443" s="1" t="s">
        <v>4579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</row>
    <row r="13444" spans="1:11" x14ac:dyDescent="0.2">
      <c r="A13444" s="1" t="s">
        <v>3042</v>
      </c>
      <c r="B13444" s="1" t="s">
        <v>3111</v>
      </c>
      <c r="C13444" s="1" t="str">
        <f>"67822290528351"</f>
        <v>67822290528351</v>
      </c>
      <c r="D13444" s="1" t="str">
        <f>"130/70X17-TLWA"</f>
        <v>130/70X17-TLWA</v>
      </c>
      <c r="E13444" s="1" t="s">
        <v>4579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</row>
    <row r="13445" spans="1:11" x14ac:dyDescent="0.2">
      <c r="A13445" s="1" t="s">
        <v>3042</v>
      </c>
      <c r="B13445" s="1" t="s">
        <v>3112</v>
      </c>
      <c r="C13445" s="1" t="str">
        <f>"67822290224019"</f>
        <v>67822290224019</v>
      </c>
      <c r="D13445" s="1" t="str">
        <f>"110/80X17-TLWA"</f>
        <v>110/80X17-TLWA</v>
      </c>
      <c r="E13445" s="1" t="s">
        <v>4579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</row>
    <row r="13446" spans="1:11" x14ac:dyDescent="0.2">
      <c r="A13446" s="1" t="s">
        <v>3042</v>
      </c>
      <c r="B13446" s="1" t="s">
        <v>4601</v>
      </c>
      <c r="C13446" s="1" t="str">
        <f>"67822290525001"</f>
        <v>67822290525001</v>
      </c>
      <c r="D13446" s="1" t="str">
        <f>"110/70X17-TLWA"</f>
        <v>110/70X17-TLWA</v>
      </c>
      <c r="E13446" s="1" t="s">
        <v>4579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</row>
    <row r="13447" spans="1:11" x14ac:dyDescent="0.2">
      <c r="A13447" s="1" t="s">
        <v>3042</v>
      </c>
      <c r="B13447" s="1" t="s">
        <v>3113</v>
      </c>
      <c r="C13447" s="1" t="str">
        <f>"300-18TLCEAT"</f>
        <v>300-18TLCEAT</v>
      </c>
      <c r="D13447" s="1" t="str">
        <f>"300-18TLCEAT"</f>
        <v>300-18TLCEAT</v>
      </c>
      <c r="E13447" s="1" t="s">
        <v>4579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</row>
    <row r="13448" spans="1:11" x14ac:dyDescent="0.2">
      <c r="A13448" s="1" t="s">
        <v>3042</v>
      </c>
      <c r="B13448" s="1" t="s">
        <v>3114</v>
      </c>
      <c r="C13448" s="1" t="str">
        <f>"66298910986803"</f>
        <v>66298910986803</v>
      </c>
      <c r="D13448" s="1" t="str">
        <f>"275-18TTCEAT"</f>
        <v>275-18TTCEAT</v>
      </c>
      <c r="E13448" s="1" t="s">
        <v>4579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</row>
    <row r="13449" spans="1:11" x14ac:dyDescent="0.2">
      <c r="A13449" s="1" t="s">
        <v>3042</v>
      </c>
      <c r="B13449" s="1" t="s">
        <v>3115</v>
      </c>
      <c r="C13449" s="1" t="str">
        <f>"90/90-18TLCEAT"</f>
        <v>90/90-18TLCEAT</v>
      </c>
      <c r="D13449" s="1" t="str">
        <f>"90/90-18TLCEAT"</f>
        <v>90/90-18TLCEAT</v>
      </c>
      <c r="E13449" s="1" t="s">
        <v>4579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</row>
    <row r="13450" spans="1:11" x14ac:dyDescent="0.2">
      <c r="A13450" s="1" t="s">
        <v>3042</v>
      </c>
      <c r="B13450" s="1" t="s">
        <v>3116</v>
      </c>
      <c r="C13450" s="1" t="str">
        <f>"66298911026113"</f>
        <v>66298911026113</v>
      </c>
      <c r="D13450" s="1" t="str">
        <f>"110/90-18TLCEAT"</f>
        <v>110/90-18TLCEAT</v>
      </c>
      <c r="E13450" s="1" t="s">
        <v>4579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</row>
    <row r="13451" spans="1:11" x14ac:dyDescent="0.2">
      <c r="A13451" s="1" t="s">
        <v>3042</v>
      </c>
      <c r="B13451" s="1" t="s">
        <v>3117</v>
      </c>
      <c r="C13451" s="1" t="str">
        <f>"110/90-18TLCHY"</f>
        <v>110/90-18TLCHY</v>
      </c>
      <c r="D13451" s="1" t="str">
        <f>"110/90-18TLCHY"</f>
        <v>110/90-18TLCHY</v>
      </c>
      <c r="E13451" s="1" t="s">
        <v>4579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</row>
    <row r="13452" spans="1:11" x14ac:dyDescent="0.2">
      <c r="A13452" s="1" t="s">
        <v>3042</v>
      </c>
      <c r="B13452" s="1" t="s">
        <v>3118</v>
      </c>
      <c r="C13452" s="1" t="str">
        <f>"90/90-18TLCST"</f>
        <v>90/90-18TLCST</v>
      </c>
      <c r="D13452" s="1" t="str">
        <f>"90/90-18TLCST"</f>
        <v>90/90-18TLCST</v>
      </c>
      <c r="E13452" s="1" t="s">
        <v>4579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</row>
    <row r="13453" spans="1:11" x14ac:dyDescent="0.2">
      <c r="A13453" s="1" t="s">
        <v>3042</v>
      </c>
      <c r="B13453" s="1" t="s">
        <v>3119</v>
      </c>
      <c r="C13453" s="1" t="str">
        <f>"80/100X18DURO"</f>
        <v>80/100X18DURO</v>
      </c>
      <c r="D13453" s="1" t="str">
        <f>"80/100X18DURO"</f>
        <v>80/100X18DURO</v>
      </c>
      <c r="E13453" s="1" t="s">
        <v>4579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</row>
    <row r="13454" spans="1:11" x14ac:dyDescent="0.2">
      <c r="A13454" s="1" t="s">
        <v>3042</v>
      </c>
      <c r="B13454" s="1" t="s">
        <v>3120</v>
      </c>
      <c r="C13454" s="1" t="str">
        <f>"275XDURO"</f>
        <v>275XDURO</v>
      </c>
      <c r="D13454" s="1" t="str">
        <f>"275X18DURO"</f>
        <v>275X18DURO</v>
      </c>
      <c r="E13454" s="1" t="s">
        <v>4579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</row>
    <row r="13455" spans="1:11" x14ac:dyDescent="0.2">
      <c r="A13455" s="1" t="s">
        <v>3042</v>
      </c>
      <c r="B13455" s="1" t="s">
        <v>3121</v>
      </c>
      <c r="C13455" s="1" t="str">
        <f>"66298911066044"</f>
        <v>66298911066044</v>
      </c>
      <c r="D13455" s="1" t="str">
        <f>"110/90-18TLDURO"</f>
        <v>110/90-18TLDURO</v>
      </c>
      <c r="E13455" s="1" t="s">
        <v>4579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</row>
    <row r="13456" spans="1:11" ht="30" x14ac:dyDescent="0.2">
      <c r="A13456" s="1" t="s">
        <v>3042</v>
      </c>
      <c r="B13456" s="1" t="s">
        <v>3122</v>
      </c>
      <c r="C13456" s="1" t="str">
        <f>"90/90-18TLMI"</f>
        <v>90/90-18TLMI</v>
      </c>
      <c r="D13456" s="1" t="str">
        <f>"90/90-18TLMI"</f>
        <v>90/90-18TLMI</v>
      </c>
      <c r="E13456" s="1" t="s">
        <v>4579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</row>
    <row r="13457" spans="1:11" ht="30" x14ac:dyDescent="0.2">
      <c r="A13457" s="1" t="s">
        <v>3042</v>
      </c>
      <c r="B13457" s="1" t="s">
        <v>3123</v>
      </c>
      <c r="C13457" s="1" t="str">
        <f>"100/90-18TLMI"</f>
        <v>100/90-18TLMI</v>
      </c>
      <c r="D13457" s="1" t="str">
        <f>"100/90-18TLMI"</f>
        <v>100/90-18TLMI</v>
      </c>
      <c r="E13457" s="1" t="s">
        <v>4579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</row>
    <row r="13458" spans="1:11" x14ac:dyDescent="0.2">
      <c r="A13458" s="1" t="s">
        <v>3042</v>
      </c>
      <c r="B13458" s="1" t="s">
        <v>3124</v>
      </c>
      <c r="C13458" s="1" t="str">
        <f>"80/100X18-TLPT"</f>
        <v>80/100X18-TLPT</v>
      </c>
      <c r="D13458" s="1" t="str">
        <f>"80/100X18-TLPT"</f>
        <v>80/100X18-TLPT</v>
      </c>
      <c r="E13458" s="1" t="s">
        <v>4579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</row>
    <row r="13459" spans="1:11" x14ac:dyDescent="0.2">
      <c r="A13459" s="1" t="s">
        <v>3042</v>
      </c>
      <c r="B13459" s="1" t="s">
        <v>3124</v>
      </c>
      <c r="C13459" s="1" t="str">
        <f>"90/90-18-TLPT"</f>
        <v>90/90-18-TLPT</v>
      </c>
      <c r="D13459" s="1" t="str">
        <f>"90/90-18-TLPT"</f>
        <v>90/90-18-TLPT</v>
      </c>
      <c r="E13459" s="1" t="s">
        <v>4579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</row>
    <row r="13460" spans="1:11" x14ac:dyDescent="0.2">
      <c r="A13460" s="1" t="s">
        <v>3042</v>
      </c>
      <c r="B13460" s="1" t="s">
        <v>3124</v>
      </c>
      <c r="C13460" s="1" t="str">
        <f>"67822289943847"</f>
        <v>67822289943847</v>
      </c>
      <c r="D13460" s="1" t="str">
        <f>"100/90X18-TLPT"</f>
        <v>100/90X18-TLPT</v>
      </c>
      <c r="E13460" s="1" t="s">
        <v>4579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</row>
    <row r="13461" spans="1:11" x14ac:dyDescent="0.2">
      <c r="A13461" s="1" t="s">
        <v>3042</v>
      </c>
      <c r="B13461" s="1" t="s">
        <v>3124</v>
      </c>
      <c r="C13461" s="1" t="str">
        <f>"67822289970259"</f>
        <v>67822289970259</v>
      </c>
      <c r="D13461" s="1" t="str">
        <f>"275X18-TLPT"</f>
        <v>275X18-TLPT</v>
      </c>
      <c r="E13461" s="1" t="s">
        <v>4579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</row>
    <row r="13462" spans="1:11" x14ac:dyDescent="0.2">
      <c r="A13462" s="1" t="s">
        <v>3042</v>
      </c>
      <c r="B13462" s="1" t="s">
        <v>3124</v>
      </c>
      <c r="C13462" s="1" t="str">
        <f>"67822289984405"</f>
        <v>67822289984405</v>
      </c>
      <c r="D13462" s="1" t="str">
        <f>"300X18-TLPT"</f>
        <v>300X18-TLPT</v>
      </c>
      <c r="E13462" s="1" t="s">
        <v>4579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</row>
    <row r="13463" spans="1:11" x14ac:dyDescent="0.2">
      <c r="A13463" s="1" t="s">
        <v>3042</v>
      </c>
      <c r="B13463" s="1" t="s">
        <v>3124</v>
      </c>
      <c r="C13463" s="1" t="str">
        <f>"67822289995279"</f>
        <v>67822289995279</v>
      </c>
      <c r="D13463" s="1" t="str">
        <f>"90/90X18-TTPT"</f>
        <v>90/90X18-TTPT</v>
      </c>
      <c r="E13463" s="1" t="s">
        <v>4579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</row>
    <row r="13464" spans="1:11" x14ac:dyDescent="0.2">
      <c r="A13464" s="1" t="s">
        <v>3042</v>
      </c>
      <c r="B13464" s="1" t="s">
        <v>3125</v>
      </c>
      <c r="C13464" s="1" t="str">
        <f>"90/90*18-TLPT"</f>
        <v>90/90*18-TLPT</v>
      </c>
      <c r="D13464" s="1" t="str">
        <f>"90/90*18-TLPT"</f>
        <v>90/90*18-TLPT</v>
      </c>
      <c r="E13464" s="1" t="s">
        <v>4579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</row>
    <row r="13465" spans="1:11" x14ac:dyDescent="0.2">
      <c r="A13465" s="1" t="s">
        <v>3042</v>
      </c>
      <c r="B13465" s="1" t="s">
        <v>3125</v>
      </c>
      <c r="C13465" s="1" t="str">
        <f>"80/100-18-TLPT"</f>
        <v>80/100-18-TLPT</v>
      </c>
      <c r="D13465" s="1" t="str">
        <f>"80/100-18-TLPT"</f>
        <v>80/100-18-TLPT</v>
      </c>
      <c r="E13465" s="1" t="s">
        <v>4579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</row>
    <row r="13466" spans="1:11" x14ac:dyDescent="0.2">
      <c r="A13466" s="1" t="s">
        <v>3042</v>
      </c>
      <c r="B13466" s="1" t="s">
        <v>3126</v>
      </c>
      <c r="C13466" s="1" t="str">
        <f>"67822289958555"</f>
        <v>67822289958555</v>
      </c>
      <c r="D13466" s="1" t="str">
        <f>"100/90-18-TLPT"</f>
        <v>100/90-18-TLPT</v>
      </c>
      <c r="E13466" s="1" t="s">
        <v>4579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</row>
    <row r="13467" spans="1:11" x14ac:dyDescent="0.2">
      <c r="A13467" s="1" t="s">
        <v>3042</v>
      </c>
      <c r="B13467" s="1" t="s">
        <v>3126</v>
      </c>
      <c r="C13467" s="1" t="str">
        <f>"67822289969931"</f>
        <v>67822289969931</v>
      </c>
      <c r="D13467" s="1" t="str">
        <f>"275-18TLPT"</f>
        <v>275-18TLPT</v>
      </c>
      <c r="E13467" s="1" t="s">
        <v>4579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</row>
    <row r="13468" spans="1:11" x14ac:dyDescent="0.2">
      <c r="A13468" s="1" t="s">
        <v>3042</v>
      </c>
      <c r="B13468" s="1" t="s">
        <v>3126</v>
      </c>
      <c r="C13468" s="1" t="str">
        <f>"67822289978343"</f>
        <v>67822289978343</v>
      </c>
      <c r="D13468" s="1" t="str">
        <f>"90/90X18-TLPT"</f>
        <v>90/90X18-TLPT</v>
      </c>
      <c r="E13468" s="1" t="s">
        <v>4579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</row>
    <row r="13469" spans="1:11" x14ac:dyDescent="0.2">
      <c r="A13469" s="1" t="s">
        <v>3042</v>
      </c>
      <c r="B13469" s="1" t="s">
        <v>3127</v>
      </c>
      <c r="C13469" s="1" t="str">
        <f>"275X18SR"</f>
        <v>275X18SR</v>
      </c>
      <c r="D13469" s="1" t="str">
        <f>"275X18SR"</f>
        <v>275X18SR</v>
      </c>
      <c r="E13469" s="1" t="s">
        <v>4579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</row>
    <row r="13470" spans="1:11" x14ac:dyDescent="0.2">
      <c r="A13470" s="1" t="s">
        <v>3042</v>
      </c>
      <c r="B13470" s="1" t="s">
        <v>3127</v>
      </c>
      <c r="C13470" s="1" t="str">
        <f>"300*18SR"</f>
        <v>300*18SR</v>
      </c>
      <c r="D13470" s="1" t="str">
        <f>"300*18SR"</f>
        <v>300*18SR</v>
      </c>
      <c r="E13470" s="1" t="s">
        <v>4579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</row>
    <row r="13471" spans="1:11" x14ac:dyDescent="0.2">
      <c r="A13471" s="1" t="s">
        <v>3042</v>
      </c>
      <c r="B13471" s="1" t="s">
        <v>3128</v>
      </c>
      <c r="C13471" s="1" t="str">
        <f>"100/90-18TLSR"</f>
        <v>100/90-18TLSR</v>
      </c>
      <c r="D13471" s="1" t="str">
        <f>"100/90-18TLSR"</f>
        <v>100/90-18TLSR</v>
      </c>
      <c r="E13471" s="1" t="s">
        <v>4579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</row>
    <row r="13472" spans="1:11" x14ac:dyDescent="0.2">
      <c r="A13472" s="1" t="s">
        <v>3042</v>
      </c>
      <c r="B13472" s="1" t="s">
        <v>3129</v>
      </c>
      <c r="C13472" s="1" t="str">
        <f>"90/90-18TLSR"</f>
        <v>90/90-18TLSR</v>
      </c>
      <c r="D13472" s="1" t="str">
        <f>"90/90-18TLSR"</f>
        <v>90/90-18TLSR</v>
      </c>
      <c r="E13472" s="1" t="s">
        <v>4579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</row>
    <row r="13473" spans="1:11" x14ac:dyDescent="0.2">
      <c r="A13473" s="1" t="s">
        <v>3042</v>
      </c>
      <c r="B13473" s="1" t="s">
        <v>3130</v>
      </c>
      <c r="C13473" s="1" t="str">
        <f>"300X18SR"</f>
        <v>300X18SR</v>
      </c>
      <c r="D13473" s="1" t="str">
        <f>"300X18SR"</f>
        <v>300X18SR</v>
      </c>
      <c r="E13473" s="1" t="s">
        <v>4579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</row>
    <row r="13474" spans="1:11" x14ac:dyDescent="0.2">
      <c r="A13474" s="1" t="s">
        <v>3042</v>
      </c>
      <c r="B13474" s="1" t="s">
        <v>3131</v>
      </c>
      <c r="C13474" s="1" t="str">
        <f>"300-18SR"</f>
        <v>300-18SR</v>
      </c>
      <c r="D13474" s="1" t="str">
        <f>"300-18SR"</f>
        <v>300-18SR</v>
      </c>
      <c r="E13474" s="1" t="s">
        <v>4579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</row>
    <row r="13475" spans="1:11" x14ac:dyDescent="0.2">
      <c r="A13475" s="1" t="s">
        <v>3042</v>
      </c>
      <c r="B13475" s="1" t="s">
        <v>4602</v>
      </c>
      <c r="C13475" s="1" t="str">
        <f>"67822290289062"</f>
        <v>67822290289062</v>
      </c>
      <c r="D13475" s="1" t="str">
        <f>"325X18-TLWA"</f>
        <v>325X18-TLWA</v>
      </c>
      <c r="E13475" s="1" t="s">
        <v>4579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</row>
    <row r="13476" spans="1:11" x14ac:dyDescent="0.2">
      <c r="A13476" s="1" t="s">
        <v>3042</v>
      </c>
      <c r="B13476" s="1" t="s">
        <v>4603</v>
      </c>
      <c r="C13476" s="1" t="str">
        <f>"67822290524363"</f>
        <v>67822290524363</v>
      </c>
      <c r="D13476" s="1" t="str">
        <f>"110/90X18-TLWA"</f>
        <v>110/90X18-TLWA</v>
      </c>
      <c r="E13476" s="1" t="s">
        <v>4579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</row>
    <row r="13477" spans="1:11" x14ac:dyDescent="0.2">
      <c r="A13477" s="1" t="s">
        <v>3042</v>
      </c>
      <c r="B13477" s="1" t="s">
        <v>3132</v>
      </c>
      <c r="C13477" s="1" t="str">
        <f>"67822290593427"</f>
        <v>67822290593427</v>
      </c>
      <c r="D13477" s="1" t="str">
        <f>"90/90X18-TLWA"</f>
        <v>90/90X18-TLWA</v>
      </c>
      <c r="E13477" s="1" t="s">
        <v>4579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</row>
    <row r="13478" spans="1:11" x14ac:dyDescent="0.2">
      <c r="A13478" s="1" t="s">
        <v>3042</v>
      </c>
      <c r="B13478" s="1" t="s">
        <v>4604</v>
      </c>
      <c r="C13478" s="1" t="str">
        <f>"67822290276584"</f>
        <v>67822290276584</v>
      </c>
      <c r="D13478" s="1" t="str">
        <f>"300X18-TLWA"</f>
        <v>300X18-TLWA</v>
      </c>
      <c r="E13478" s="1" t="s">
        <v>4579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</row>
    <row r="13479" spans="1:11" x14ac:dyDescent="0.2">
      <c r="A13479" s="1" t="s">
        <v>3042</v>
      </c>
      <c r="B13479" s="1" t="s">
        <v>4605</v>
      </c>
      <c r="C13479" s="1" t="str">
        <f>"67822290289161"</f>
        <v>67822290289161</v>
      </c>
      <c r="D13479" s="1" t="str">
        <f>"325-18-TLWA"</f>
        <v>325-18-TLWA</v>
      </c>
      <c r="E13479" s="1" t="s">
        <v>4579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</row>
    <row r="13480" spans="1:11" x14ac:dyDescent="0.2">
      <c r="A13480" s="1" t="s">
        <v>3042</v>
      </c>
      <c r="B13480" s="1" t="s">
        <v>3133</v>
      </c>
      <c r="C13480" s="1" t="str">
        <f>"90/90-19TTCEAT"</f>
        <v>90/90-19TTCEAT</v>
      </c>
      <c r="D13480" s="1" t="str">
        <f>"90/90-19TTCEAT"</f>
        <v>90/90-19TTCEAT</v>
      </c>
      <c r="E13480" s="1" t="s">
        <v>4579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</row>
    <row r="13481" spans="1:11" x14ac:dyDescent="0.2">
      <c r="A13481" s="1" t="s">
        <v>3042</v>
      </c>
      <c r="B13481" s="1" t="s">
        <v>3134</v>
      </c>
      <c r="C13481" s="1" t="str">
        <f>"90/90-19TTCHY"</f>
        <v>90/90-19TTCHY</v>
      </c>
      <c r="D13481" s="1" t="str">
        <f>"90/90-19TTCHY"</f>
        <v>90/90-19TTCHY</v>
      </c>
      <c r="E13481" s="1" t="s">
        <v>4579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</row>
    <row r="13482" spans="1:11" x14ac:dyDescent="0.2">
      <c r="A13482" s="1" t="s">
        <v>3042</v>
      </c>
      <c r="B13482" s="1" t="s">
        <v>4606</v>
      </c>
      <c r="C13482" s="1" t="str">
        <f>"67822289878078"</f>
        <v>67822289878078</v>
      </c>
      <c r="D13482" s="1" t="str">
        <f>"90/100X14-CRIRC"</f>
        <v>90/100X14-CRIRC</v>
      </c>
      <c r="E13482" s="1" t="s">
        <v>4579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</row>
    <row r="13483" spans="1:11" x14ac:dyDescent="0.2">
      <c r="A13483" s="1" t="s">
        <v>3042</v>
      </c>
      <c r="B13483" s="1" t="s">
        <v>3135</v>
      </c>
      <c r="C13483" s="1" t="str">
        <f>"90/100*14MX"</f>
        <v>90/100*14MX</v>
      </c>
      <c r="D13483" s="1" t="str">
        <f>"90/100*14MX"</f>
        <v>90/100*14MX</v>
      </c>
      <c r="E13483" s="1" t="s">
        <v>4579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</row>
    <row r="13484" spans="1:11" x14ac:dyDescent="0.2">
      <c r="A13484" s="1" t="s">
        <v>3042</v>
      </c>
      <c r="B13484" s="1" t="s">
        <v>4607</v>
      </c>
      <c r="C13484" s="1" t="str">
        <f>"67822289889263"</f>
        <v>67822289889263</v>
      </c>
      <c r="D13484" s="1" t="str">
        <f>"90/100X16-CRIRC"</f>
        <v>90/100X16-CRIRC</v>
      </c>
      <c r="E13484" s="1" t="s">
        <v>4579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</row>
    <row r="13485" spans="1:11" x14ac:dyDescent="0.2">
      <c r="A13485" s="1" t="s">
        <v>3042</v>
      </c>
      <c r="B13485" s="1" t="s">
        <v>3136</v>
      </c>
      <c r="C13485" s="1" t="str">
        <f>"300-16CR"</f>
        <v>300-16CR</v>
      </c>
      <c r="D13485" s="1" t="str">
        <f>"300-16CR"</f>
        <v>300-16CR</v>
      </c>
      <c r="E13485" s="1" t="s">
        <v>4579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</row>
    <row r="13486" spans="1:11" x14ac:dyDescent="0.2">
      <c r="A13486" s="1" t="s">
        <v>3042</v>
      </c>
      <c r="B13486" s="1" t="s">
        <v>4608</v>
      </c>
      <c r="C13486" s="1" t="str">
        <f>"67822289824924"</f>
        <v>67822289824924</v>
      </c>
      <c r="D13486" s="1" t="str">
        <f>"70/100X17-CRIRC"</f>
        <v>70/100X17-CRIRC</v>
      </c>
      <c r="E13486" s="1" t="s">
        <v>4579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</row>
    <row r="13487" spans="1:11" x14ac:dyDescent="0.2">
      <c r="A13487" s="1" t="s">
        <v>3042</v>
      </c>
      <c r="B13487" s="1" t="s">
        <v>4609</v>
      </c>
      <c r="C13487" s="1" t="str">
        <f>"67822289828863"</f>
        <v>67822289828863</v>
      </c>
      <c r="D13487" s="1" t="str">
        <f>"100/100X17-CRIRC"</f>
        <v>100/100X17-CRIRC</v>
      </c>
      <c r="E13487" s="1" t="s">
        <v>4579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</row>
    <row r="13488" spans="1:11" x14ac:dyDescent="0.2">
      <c r="A13488" s="1" t="s">
        <v>3042</v>
      </c>
      <c r="B13488" s="1" t="s">
        <v>3137</v>
      </c>
      <c r="C13488" s="1" t="str">
        <f>"66298911107621"</f>
        <v>66298911107621</v>
      </c>
      <c r="D13488" s="1" t="str">
        <f>"410X18CRDURO"</f>
        <v>410X18CRDURO</v>
      </c>
      <c r="E13488" s="1" t="s">
        <v>4579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</row>
    <row r="13489" spans="1:11" x14ac:dyDescent="0.2">
      <c r="A13489" s="1" t="s">
        <v>3042</v>
      </c>
      <c r="B13489" s="1" t="s">
        <v>4610</v>
      </c>
      <c r="C13489" s="1" t="str">
        <f>"67822289823281"</f>
        <v>67822289823281</v>
      </c>
      <c r="D13489" s="1" t="str">
        <f>"110/100X18-CRIRC"</f>
        <v>110/100X18-CRIRC</v>
      </c>
      <c r="E13489" s="1" t="s">
        <v>4579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</row>
    <row r="13490" spans="1:11" x14ac:dyDescent="0.2">
      <c r="A13490" s="1" t="s">
        <v>3042</v>
      </c>
      <c r="B13490" s="1" t="s">
        <v>4610</v>
      </c>
      <c r="C13490" s="1" t="str">
        <f>"67822289833804"</f>
        <v>67822289833804</v>
      </c>
      <c r="D13490" s="1" t="str">
        <f>"410X18-CRIRC"</f>
        <v>410X18-CRIRC</v>
      </c>
      <c r="E13490" s="1" t="s">
        <v>4579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</row>
    <row r="13491" spans="1:11" x14ac:dyDescent="0.2">
      <c r="A13491" s="1" t="s">
        <v>3042</v>
      </c>
      <c r="B13491" s="1" t="s">
        <v>4610</v>
      </c>
      <c r="C13491" s="1" t="str">
        <f>"67822289849332"</f>
        <v>67822289849332</v>
      </c>
      <c r="D13491" s="1" t="str">
        <f>"510X18-CRIRC"</f>
        <v>510X18-CRIRC</v>
      </c>
      <c r="E13491" s="1" t="s">
        <v>4579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</row>
    <row r="13492" spans="1:11" x14ac:dyDescent="0.2">
      <c r="A13492" s="1" t="s">
        <v>3042</v>
      </c>
      <c r="B13492" s="1" t="s">
        <v>4611</v>
      </c>
      <c r="C13492" s="1" t="str">
        <f>"67822289975052"</f>
        <v>67822289975052</v>
      </c>
      <c r="D13492" s="1" t="str">
        <f>"110/100X18-CRPT"</f>
        <v>110/100X18-CRPT</v>
      </c>
      <c r="E13492" s="1" t="s">
        <v>4579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</row>
    <row r="13493" spans="1:11" x14ac:dyDescent="0.2">
      <c r="A13493" s="1" t="s">
        <v>3042</v>
      </c>
      <c r="B13493" s="1" t="s">
        <v>4612</v>
      </c>
      <c r="C13493" s="1" t="str">
        <f>"67822290184461"</f>
        <v>67822290184461</v>
      </c>
      <c r="D13493" s="1" t="str">
        <f>"460X18-CRWA"</f>
        <v>460X18-CRWA</v>
      </c>
      <c r="E13493" s="1" t="s">
        <v>4579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</row>
    <row r="13494" spans="1:11" x14ac:dyDescent="0.2">
      <c r="A13494" s="1" t="s">
        <v>3042</v>
      </c>
      <c r="B13494" s="1" t="s">
        <v>4612</v>
      </c>
      <c r="C13494" s="1" t="str">
        <f>"67822290198091"</f>
        <v>67822290198091</v>
      </c>
      <c r="D13494" s="1" t="str">
        <f>"510X18-CRWA"</f>
        <v>510X18-CRWA</v>
      </c>
      <c r="E13494" s="1" t="s">
        <v>4579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</row>
    <row r="13495" spans="1:11" x14ac:dyDescent="0.2">
      <c r="A13495" s="1" t="s">
        <v>3042</v>
      </c>
      <c r="B13495" s="1" t="s">
        <v>4613</v>
      </c>
      <c r="C13495" s="1" t="str">
        <f>"67822290192681"</f>
        <v>67822290192681</v>
      </c>
      <c r="D13495" s="1" t="str">
        <f>"110/100X18-CRWA"</f>
        <v>110/100X18-CRWA</v>
      </c>
      <c r="E13495" s="1" t="s">
        <v>4579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</row>
    <row r="13496" spans="1:11" x14ac:dyDescent="0.2">
      <c r="A13496" s="1" t="s">
        <v>3042</v>
      </c>
      <c r="B13496" s="1" t="s">
        <v>4613</v>
      </c>
      <c r="C13496" s="1" t="str">
        <f>"67822290215135"</f>
        <v>67822290215135</v>
      </c>
      <c r="D13496" s="1" t="str">
        <f>"120/100X18-CRWA"</f>
        <v>120/100X18-CRWA</v>
      </c>
      <c r="E13496" s="1" t="s">
        <v>4579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</row>
    <row r="13497" spans="1:11" x14ac:dyDescent="0.2">
      <c r="A13497" s="1" t="s">
        <v>3042</v>
      </c>
      <c r="B13497" s="1" t="s">
        <v>4614</v>
      </c>
      <c r="C13497" s="1" t="str">
        <f>"67822290193854"</f>
        <v>67822290193854</v>
      </c>
      <c r="D13497" s="1" t="str">
        <f>"110/100X18-TTWA"</f>
        <v>110/100X18-TTWA</v>
      </c>
      <c r="E13497" s="1" t="s">
        <v>4579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</row>
    <row r="13498" spans="1:11" x14ac:dyDescent="0.2">
      <c r="A13498" s="1" t="s">
        <v>3042</v>
      </c>
      <c r="B13498" s="1" t="s">
        <v>4615</v>
      </c>
      <c r="C13498" s="1" t="str">
        <f>"67822289826714"</f>
        <v>67822289826714</v>
      </c>
      <c r="D13498" s="1" t="str">
        <f>"70/100X19-CRIRC"</f>
        <v>70/100X19-CRIRC</v>
      </c>
      <c r="E13498" s="1" t="s">
        <v>4579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</row>
    <row r="13499" spans="1:11" x14ac:dyDescent="0.2">
      <c r="A13499" s="1" t="s">
        <v>3042</v>
      </c>
      <c r="B13499" s="1" t="s">
        <v>4616</v>
      </c>
      <c r="C13499" s="1" t="str">
        <f>"67822289817581"</f>
        <v>67822289817581</v>
      </c>
      <c r="D13499" s="1" t="str">
        <f>"110/90X19-CRIRC"</f>
        <v>110/90X19-CRIRC</v>
      </c>
      <c r="E13499" s="1" t="s">
        <v>4579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</row>
    <row r="13500" spans="1:11" x14ac:dyDescent="0.2">
      <c r="A13500" s="1" t="s">
        <v>3042</v>
      </c>
      <c r="B13500" s="1" t="s">
        <v>4617</v>
      </c>
      <c r="C13500" s="1" t="str">
        <f>"67822289817245"</f>
        <v>67822289817245</v>
      </c>
      <c r="D13500" s="1" t="str">
        <f>"110/90-19-CRIRC"</f>
        <v>110/90-19-CRIRC</v>
      </c>
      <c r="E13500" s="1" t="s">
        <v>4579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</row>
    <row r="13501" spans="1:11" x14ac:dyDescent="0.2">
      <c r="A13501" s="1" t="s">
        <v>3042</v>
      </c>
      <c r="B13501" s="1" t="s">
        <v>4618</v>
      </c>
      <c r="C13501" s="1" t="str">
        <f>"67822289993177"</f>
        <v>67822289993177</v>
      </c>
      <c r="D13501" s="1" t="str">
        <f>"110/90X19-CRPT"</f>
        <v>110/90X19-CRPT</v>
      </c>
      <c r="E13501" s="1" t="s">
        <v>4579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</row>
    <row r="13502" spans="1:11" x14ac:dyDescent="0.2">
      <c r="A13502" s="1" t="s">
        <v>3042</v>
      </c>
      <c r="B13502" s="1" t="s">
        <v>3138</v>
      </c>
      <c r="C13502" s="1" t="str">
        <f>"66298911150735"</f>
        <v>66298911150735</v>
      </c>
      <c r="D13502" s="1" t="str">
        <f>"100/90X19CRSK"</f>
        <v>100/90X19CRSK</v>
      </c>
      <c r="E13502" s="1" t="s">
        <v>4579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</row>
    <row r="13503" spans="1:11" x14ac:dyDescent="0.2">
      <c r="A13503" s="1" t="s">
        <v>3042</v>
      </c>
      <c r="B13503" s="1" t="s">
        <v>3139</v>
      </c>
      <c r="C13503" s="1" t="str">
        <f>"66298911201249"</f>
        <v>66298911201249</v>
      </c>
      <c r="D13503" s="1" t="str">
        <f>"90/100X19CRSR"</f>
        <v>90/100X19CRSR</v>
      </c>
      <c r="E13503" s="1" t="s">
        <v>4579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</row>
    <row r="13504" spans="1:11" x14ac:dyDescent="0.2">
      <c r="A13504" s="1" t="s">
        <v>3042</v>
      </c>
      <c r="B13504" s="1" t="s">
        <v>4619</v>
      </c>
      <c r="C13504" s="1" t="str">
        <f>"67822290229421"</f>
        <v>67822290229421</v>
      </c>
      <c r="D13504" s="1" t="str">
        <f>"110/90X19-CRWA"</f>
        <v>110/90X19-CRWA</v>
      </c>
      <c r="E13504" s="1" t="s">
        <v>4579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</row>
    <row r="13505" spans="1:11" x14ac:dyDescent="0.2">
      <c r="A13505" s="1" t="s">
        <v>3042</v>
      </c>
      <c r="B13505" s="1" t="s">
        <v>4620</v>
      </c>
      <c r="C13505" s="1" t="str">
        <f>"67822290227786"</f>
        <v>67822290227786</v>
      </c>
      <c r="D13505" s="1" t="str">
        <f>"110/90-19-CRWA"</f>
        <v>110/90-19-CRWA</v>
      </c>
      <c r="E13505" s="1" t="s">
        <v>4579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</row>
    <row r="13506" spans="1:11" x14ac:dyDescent="0.2">
      <c r="A13506" s="1" t="s">
        <v>3042</v>
      </c>
      <c r="B13506" s="1" t="s">
        <v>4621</v>
      </c>
      <c r="C13506" s="1" t="str">
        <f>"67822290601813"</f>
        <v>67822290601813</v>
      </c>
      <c r="D13506" s="1" t="str">
        <f>"110/100X19-CRWA"</f>
        <v>110/100X19-CRWA</v>
      </c>
      <c r="E13506" s="1" t="s">
        <v>4579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</row>
    <row r="13507" spans="1:11" x14ac:dyDescent="0.2">
      <c r="A13507" s="1" t="s">
        <v>3042</v>
      </c>
      <c r="B13507" s="1" t="s">
        <v>4622</v>
      </c>
      <c r="C13507" s="1" t="str">
        <f>"67822289844894"</f>
        <v>67822289844894</v>
      </c>
      <c r="D13507" s="1" t="str">
        <f>"80/100X21-CRIRC"</f>
        <v>80/100X21-CRIRC</v>
      </c>
      <c r="E13507" s="1" t="s">
        <v>4579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</row>
    <row r="13508" spans="1:11" x14ac:dyDescent="0.2">
      <c r="A13508" s="1" t="s">
        <v>3042</v>
      </c>
      <c r="B13508" s="1" t="s">
        <v>4623</v>
      </c>
      <c r="C13508" s="1" t="str">
        <f>"67822290112400"</f>
        <v>67822290112400</v>
      </c>
      <c r="D13508" s="1" t="str">
        <f>"80/100X21-CRPT"</f>
        <v>80/100X21-CRPT</v>
      </c>
      <c r="E13508" s="1" t="s">
        <v>4579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</row>
    <row r="13509" spans="1:11" x14ac:dyDescent="0.2">
      <c r="A13509" s="1" t="s">
        <v>3042</v>
      </c>
      <c r="B13509" s="1" t="s">
        <v>4624</v>
      </c>
      <c r="C13509" s="1" t="str">
        <f>"67822342888152"</f>
        <v>67822342888152</v>
      </c>
      <c r="D13509" s="1" t="str">
        <f>"80/100X21-CRWA"</f>
        <v>80/100X21-CRWA</v>
      </c>
      <c r="E13509" s="1" t="s">
        <v>4579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</row>
    <row r="13510" spans="1:11" x14ac:dyDescent="0.2">
      <c r="A13510" s="1" t="s">
        <v>3042</v>
      </c>
      <c r="B13510" s="1" t="s">
        <v>4625</v>
      </c>
      <c r="C13510" s="1" t="str">
        <f>"67822290345289"</f>
        <v>67822290345289</v>
      </c>
      <c r="D13510" s="1" t="str">
        <f>"90/90X21-CRWA"</f>
        <v>90/90X21-CRWA</v>
      </c>
      <c r="E13510" s="1" t="s">
        <v>4579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</row>
    <row r="13511" spans="1:11" x14ac:dyDescent="0.2">
      <c r="A13511" s="1" t="s">
        <v>3042</v>
      </c>
      <c r="B13511" s="1" t="s">
        <v>4625</v>
      </c>
      <c r="C13511" s="1" t="str">
        <f>"67822342901774"</f>
        <v>67822342901774</v>
      </c>
      <c r="D13511" s="1" t="str">
        <f>"80/100-21-CRWA"</f>
        <v>80/100-21-CRWA</v>
      </c>
      <c r="E13511" s="1" t="s">
        <v>4579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</row>
    <row r="13512" spans="1:11" x14ac:dyDescent="0.2">
      <c r="A13512" s="1" t="s">
        <v>3042</v>
      </c>
      <c r="B13512" s="1" t="s">
        <v>3140</v>
      </c>
      <c r="C13512" s="1" t="str">
        <f>"275X18DEDURO"</f>
        <v>275X18DEDURO</v>
      </c>
      <c r="D13512" s="1" t="str">
        <f>"275X18DEDURO"</f>
        <v>275X18DEDURO</v>
      </c>
      <c r="E13512" s="1" t="s">
        <v>4579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</row>
    <row r="13513" spans="1:11" x14ac:dyDescent="0.2">
      <c r="A13513" s="1" t="s">
        <v>3042</v>
      </c>
      <c r="B13513" s="1" t="s">
        <v>3141</v>
      </c>
      <c r="C13513" s="1" t="str">
        <f>"110/80-17TLDURO"</f>
        <v>110/80-17TLDURO</v>
      </c>
      <c r="D13513" s="1" t="str">
        <f>"110/80-17TLDURO"</f>
        <v>110/80-17TLDURO</v>
      </c>
      <c r="E13513" s="1" t="s">
        <v>4579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</row>
    <row r="13514" spans="1:11" ht="30" x14ac:dyDescent="0.2">
      <c r="A13514" s="1" t="s">
        <v>3042</v>
      </c>
      <c r="B13514" s="1" t="s">
        <v>3142</v>
      </c>
      <c r="C13514" s="1" t="str">
        <f>"66298911243901"</f>
        <v>66298911243901</v>
      </c>
      <c r="D13514" s="1" t="str">
        <f>"350X10DSSR"</f>
        <v>350X10DSSR</v>
      </c>
      <c r="E13514" s="1" t="s">
        <v>4579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</row>
    <row r="13515" spans="1:11" x14ac:dyDescent="0.2">
      <c r="A13515" s="1" t="s">
        <v>3042</v>
      </c>
      <c r="B13515" s="1" t="s">
        <v>3143</v>
      </c>
      <c r="C13515" s="1" t="str">
        <f>"120/70ZR-17/K-66"</f>
        <v>120/70ZR-17/K-66</v>
      </c>
      <c r="D13515" s="1" t="str">
        <f>"120/70ZR-17/K-66"</f>
        <v>120/70ZR-17/K-66</v>
      </c>
      <c r="E13515" s="1" t="s">
        <v>4579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</row>
    <row r="13516" spans="1:11" x14ac:dyDescent="0.2">
      <c r="A13516" s="1" t="s">
        <v>3042</v>
      </c>
      <c r="B13516" s="1" t="s">
        <v>3143</v>
      </c>
      <c r="C13516" s="1" t="str">
        <f>"150/70R-17/K-66"</f>
        <v>150/70R-17/K-66</v>
      </c>
      <c r="D13516" s="1" t="str">
        <f>"150/70R-17/K-66"</f>
        <v>150/70R-17/K-66</v>
      </c>
      <c r="E13516" s="1" t="s">
        <v>4579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</row>
    <row r="13517" spans="1:11" x14ac:dyDescent="0.2">
      <c r="A13517" s="1" t="s">
        <v>3042</v>
      </c>
      <c r="B13517" s="1" t="s">
        <v>3143</v>
      </c>
      <c r="C13517" s="1" t="str">
        <f>"160/60R-17/K-66"</f>
        <v>160/60R-17/K-66</v>
      </c>
      <c r="D13517" s="1" t="str">
        <f>"160/60R-17/K-66"</f>
        <v>160/60R-17/K-66</v>
      </c>
      <c r="E13517" s="1" t="s">
        <v>4579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</row>
    <row r="13518" spans="1:11" ht="30" x14ac:dyDescent="0.2">
      <c r="A13518" s="1" t="s">
        <v>3042</v>
      </c>
      <c r="B13518" s="1" t="s">
        <v>3144</v>
      </c>
      <c r="C13518" s="1" t="str">
        <f>"67822290066342"</f>
        <v>67822290066342</v>
      </c>
      <c r="D13518" s="1" t="str">
        <f>"150/70-17-DSPT"</f>
        <v>150/70-17-DSPT</v>
      </c>
      <c r="E13518" s="1" t="s">
        <v>4579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</row>
    <row r="13519" spans="1:11" x14ac:dyDescent="0.2">
      <c r="A13519" s="1" t="s">
        <v>3042</v>
      </c>
      <c r="B13519" s="1" t="s">
        <v>3145</v>
      </c>
      <c r="C13519" s="1" t="str">
        <f>"66298911288147"</f>
        <v>66298911288147</v>
      </c>
      <c r="D13519" s="1" t="str">
        <f>"90/90-17TLSR"</f>
        <v>90/90-17TLSR</v>
      </c>
      <c r="E13519" s="1" t="s">
        <v>4579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</row>
    <row r="13520" spans="1:11" x14ac:dyDescent="0.2">
      <c r="A13520" s="1" t="s">
        <v>3042</v>
      </c>
      <c r="B13520" s="1" t="s">
        <v>3146</v>
      </c>
      <c r="C13520" s="1" t="str">
        <f>"150/70R-18/K-66"</f>
        <v>150/70R-18/K-66</v>
      </c>
      <c r="D13520" s="1" t="str">
        <f>"150/70R-18/K-66"</f>
        <v>150/70R-18/K-66</v>
      </c>
      <c r="E13520" s="1" t="s">
        <v>4579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</row>
    <row r="13521" spans="1:11" ht="30" x14ac:dyDescent="0.2">
      <c r="A13521" s="1" t="s">
        <v>3042</v>
      </c>
      <c r="B13521" s="1" t="s">
        <v>4626</v>
      </c>
      <c r="C13521" s="1" t="str">
        <f>"67822290059894"</f>
        <v>67822290059894</v>
      </c>
      <c r="D13521" s="1" t="str">
        <f>"120/80X18-DSPT"</f>
        <v>120/80X18-DSPT</v>
      </c>
      <c r="E13521" s="1" t="s">
        <v>4579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</row>
    <row r="13522" spans="1:11" x14ac:dyDescent="0.2">
      <c r="A13522" s="1" t="s">
        <v>3042</v>
      </c>
      <c r="B13522" s="1" t="s">
        <v>3147</v>
      </c>
      <c r="C13522" s="1" t="str">
        <f>"66298911330781"</f>
        <v>66298911330781</v>
      </c>
      <c r="D13522" s="1" t="str">
        <f>"150/70-18DSSK"</f>
        <v>150/70-18DSSK</v>
      </c>
      <c r="E13522" s="1" t="s">
        <v>4579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</row>
    <row r="13523" spans="1:11" x14ac:dyDescent="0.2">
      <c r="A13523" s="1" t="s">
        <v>3042</v>
      </c>
      <c r="B13523" s="1" t="s">
        <v>3148</v>
      </c>
      <c r="C13523" s="1" t="str">
        <f>"66298911373202"</f>
        <v>66298911373202</v>
      </c>
      <c r="D13523" s="1" t="str">
        <f>"150/70X18DSSK"</f>
        <v>150/70X18DSSK</v>
      </c>
      <c r="E13523" s="1" t="s">
        <v>4579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</row>
    <row r="13524" spans="1:11" x14ac:dyDescent="0.2">
      <c r="A13524" s="1" t="s">
        <v>3042</v>
      </c>
      <c r="B13524" s="1" t="s">
        <v>3149</v>
      </c>
      <c r="C13524" s="1" t="str">
        <f>"460X18DSSR"</f>
        <v>460X18DSSR</v>
      </c>
      <c r="D13524" s="1" t="str">
        <f>"460X18DSSR"</f>
        <v>460X18DSSR</v>
      </c>
      <c r="E13524" s="1" t="s">
        <v>4579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</row>
    <row r="13525" spans="1:11" x14ac:dyDescent="0.2">
      <c r="A13525" s="1" t="s">
        <v>3042</v>
      </c>
      <c r="B13525" s="1" t="s">
        <v>3150</v>
      </c>
      <c r="C13525" s="1" t="str">
        <f>"66298911417448"</f>
        <v>66298911417448</v>
      </c>
      <c r="D13525" s="1" t="str">
        <f>"90/90-18TLDUAL"</f>
        <v>90/90-18TLDUAL</v>
      </c>
      <c r="E13525" s="1" t="s">
        <v>4579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</row>
    <row r="13526" spans="1:11" x14ac:dyDescent="0.2">
      <c r="A13526" s="1" t="s">
        <v>3042</v>
      </c>
      <c r="B13526" s="1" t="s">
        <v>3151</v>
      </c>
      <c r="C13526" s="1" t="str">
        <f>"66298911458778"</f>
        <v>66298911458778</v>
      </c>
      <c r="D13526" s="1" t="str">
        <f>"460-18DSSR"</f>
        <v>460-18DSSR</v>
      </c>
      <c r="E13526" s="1" t="s">
        <v>4579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</row>
    <row r="13527" spans="1:11" x14ac:dyDescent="0.2">
      <c r="A13527" s="1" t="s">
        <v>3042</v>
      </c>
      <c r="B13527" s="1" t="s">
        <v>3152</v>
      </c>
      <c r="C13527" s="1" t="str">
        <f>"90/90-18DSSR"</f>
        <v>90/90-18DSSR</v>
      </c>
      <c r="D13527" s="1" t="str">
        <f>"90/90-18DSSR"</f>
        <v>90/90-18DSSR</v>
      </c>
      <c r="E13527" s="1" t="s">
        <v>4579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</row>
    <row r="13528" spans="1:11" x14ac:dyDescent="0.2">
      <c r="A13528" s="1" t="s">
        <v>3042</v>
      </c>
      <c r="B13528" s="1" t="s">
        <v>3152</v>
      </c>
      <c r="C13528" s="1" t="str">
        <f>"300-18DSSR"</f>
        <v>300-18DSSR</v>
      </c>
      <c r="D13528" s="1" t="str">
        <f>"300-18DSSR"</f>
        <v>300-18DSSR</v>
      </c>
      <c r="E13528" s="1" t="s">
        <v>4579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</row>
    <row r="13529" spans="1:11" x14ac:dyDescent="0.2">
      <c r="A13529" s="1" t="s">
        <v>3042</v>
      </c>
      <c r="B13529" s="1" t="s">
        <v>3153</v>
      </c>
      <c r="C13529" s="1" t="str">
        <f>"66298911503121"</f>
        <v>66298911503121</v>
      </c>
      <c r="D13529" s="1" t="str">
        <f>"100/90-18TLDUAL"</f>
        <v>100/90-18TLDUAL</v>
      </c>
      <c r="E13529" s="1" t="s">
        <v>4579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</row>
    <row r="13530" spans="1:11" x14ac:dyDescent="0.2">
      <c r="A13530" s="1" t="s">
        <v>3042</v>
      </c>
      <c r="B13530" s="1" t="s">
        <v>3154</v>
      </c>
      <c r="C13530" s="1" t="str">
        <f>"66298911540568"</f>
        <v>66298911540568</v>
      </c>
      <c r="D13530" s="1" t="str">
        <f>"300X18DSSR"</f>
        <v>300X18DSSR</v>
      </c>
      <c r="E13530" s="1" t="s">
        <v>4579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</row>
    <row r="13531" spans="1:11" x14ac:dyDescent="0.2">
      <c r="A13531" s="1" t="s">
        <v>3042</v>
      </c>
      <c r="B13531" s="1" t="s">
        <v>3155</v>
      </c>
      <c r="C13531" s="1" t="str">
        <f>"110/80R-19/K-66"</f>
        <v>110/80R-19/K-66</v>
      </c>
      <c r="D13531" s="1" t="str">
        <f>"110/80R-19/K-66"</f>
        <v>110/80R-19/K-66</v>
      </c>
      <c r="E13531" s="1" t="s">
        <v>4579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</row>
    <row r="13532" spans="1:11" ht="30" x14ac:dyDescent="0.2">
      <c r="A13532" s="1" t="s">
        <v>3042</v>
      </c>
      <c r="B13532" s="1" t="s">
        <v>3156</v>
      </c>
      <c r="C13532" s="1" t="str">
        <f>"67822290134665"</f>
        <v>67822290134665</v>
      </c>
      <c r="D13532" s="1" t="str">
        <f>"90/90X19-DSPT"</f>
        <v>90/90X19-DSPT</v>
      </c>
      <c r="E13532" s="1" t="s">
        <v>4579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</row>
    <row r="13533" spans="1:11" ht="30" x14ac:dyDescent="0.2">
      <c r="A13533" s="1" t="s">
        <v>3042</v>
      </c>
      <c r="B13533" s="1" t="s">
        <v>4627</v>
      </c>
      <c r="C13533" s="1" t="str">
        <f>"67822289983214"</f>
        <v>67822289983214</v>
      </c>
      <c r="D13533" s="1" t="str">
        <f>"110/80X19-DSPT"</f>
        <v>110/80X19-DSPT</v>
      </c>
      <c r="E13533" s="1" t="s">
        <v>4579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</row>
    <row r="13534" spans="1:11" x14ac:dyDescent="0.2">
      <c r="A13534" s="1" t="s">
        <v>3042</v>
      </c>
      <c r="B13534" s="1" t="s">
        <v>3157</v>
      </c>
      <c r="C13534" s="1" t="str">
        <f>"66298911581182"</f>
        <v>66298911581182</v>
      </c>
      <c r="D13534" s="1" t="str">
        <f>"120/70R-19DSSK"</f>
        <v>120/70R-19DSSK</v>
      </c>
      <c r="E13534" s="1" t="s">
        <v>4579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</row>
    <row r="13535" spans="1:11" x14ac:dyDescent="0.2">
      <c r="A13535" s="1" t="s">
        <v>3042</v>
      </c>
      <c r="B13535" s="1" t="s">
        <v>3158</v>
      </c>
      <c r="C13535" s="1" t="str">
        <f>"66298911619445"</f>
        <v>66298911619445</v>
      </c>
      <c r="D13535" s="1" t="str">
        <f>"275-19DSSR"</f>
        <v>275-19DSSR</v>
      </c>
      <c r="E13535" s="1" t="s">
        <v>4579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</row>
    <row r="13536" spans="1:11" x14ac:dyDescent="0.2">
      <c r="A13536" s="1" t="s">
        <v>3042</v>
      </c>
      <c r="B13536" s="1" t="s">
        <v>3159</v>
      </c>
      <c r="C13536" s="1" t="str">
        <f>"66298911662731"</f>
        <v>66298911662731</v>
      </c>
      <c r="D13536" s="1" t="str">
        <f>"90/90-19DSSR"</f>
        <v>90/90-19DSSR</v>
      </c>
      <c r="E13536" s="1" t="s">
        <v>4579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</row>
    <row r="13537" spans="1:11" x14ac:dyDescent="0.2">
      <c r="A13537" s="1" t="s">
        <v>3042</v>
      </c>
      <c r="B13537" s="1" t="s">
        <v>3160</v>
      </c>
      <c r="C13537" s="1" t="str">
        <f>"66298911702937"</f>
        <v>66298911702937</v>
      </c>
      <c r="D13537" s="1" t="str">
        <f>"90/90-21TTCEAT"</f>
        <v>90/90-21TTCEAT</v>
      </c>
      <c r="E13537" s="1" t="s">
        <v>4579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</row>
    <row r="13538" spans="1:11" x14ac:dyDescent="0.2">
      <c r="A13538" s="1" t="s">
        <v>3042</v>
      </c>
      <c r="B13538" s="1" t="s">
        <v>3161</v>
      </c>
      <c r="C13538" s="1" t="str">
        <f>"90/90R-21/K-66"</f>
        <v>90/90R-21/K-66</v>
      </c>
      <c r="D13538" s="1" t="str">
        <f>"90/90R-21/K-66"</f>
        <v>90/90R-21/K-66</v>
      </c>
      <c r="E13538" s="1" t="s">
        <v>4579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</row>
    <row r="13539" spans="1:11" x14ac:dyDescent="0.2">
      <c r="A13539" s="1" t="s">
        <v>3042</v>
      </c>
      <c r="B13539" s="1" t="s">
        <v>3162</v>
      </c>
      <c r="C13539" s="1" t="str">
        <f>"66298911746542"</f>
        <v>66298911746542</v>
      </c>
      <c r="D13539" s="1" t="str">
        <f>"80/100-21DSMI"</f>
        <v>80/100-21DSMI</v>
      </c>
      <c r="E13539" s="1" t="s">
        <v>4579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</row>
    <row r="13540" spans="1:11" ht="30" x14ac:dyDescent="0.2">
      <c r="A13540" s="1" t="s">
        <v>3042</v>
      </c>
      <c r="B13540" s="1" t="s">
        <v>3163</v>
      </c>
      <c r="C13540" s="1" t="str">
        <f>"67822342681505"</f>
        <v>67822342681505</v>
      </c>
      <c r="D13540" s="1" t="str">
        <f>"90/90X21-DSPT"</f>
        <v>90/90X21-DSPT</v>
      </c>
      <c r="E13540" s="1" t="s">
        <v>4579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</row>
    <row r="13541" spans="1:11" ht="30" x14ac:dyDescent="0.2">
      <c r="A13541" s="1" t="s">
        <v>3042</v>
      </c>
      <c r="B13541" s="1" t="s">
        <v>4628</v>
      </c>
      <c r="C13541" s="1" t="str">
        <f>"67822342705066"</f>
        <v>67822342705066</v>
      </c>
      <c r="D13541" s="1" t="str">
        <f>"90/90-21-DSPT"</f>
        <v>90/90-21-DSPT</v>
      </c>
      <c r="E13541" s="1" t="s">
        <v>4579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</row>
    <row r="13542" spans="1:11" x14ac:dyDescent="0.2">
      <c r="A13542" s="1" t="s">
        <v>3042</v>
      </c>
      <c r="B13542" s="1" t="s">
        <v>3164</v>
      </c>
      <c r="C13542" s="1" t="str">
        <f>"90/90*21-DSPT"</f>
        <v>90/90*21-DSPT</v>
      </c>
      <c r="D13542" s="1" t="str">
        <f>"90/90*21-DSPT"</f>
        <v>90/90*21-DSPT</v>
      </c>
      <c r="E13542" s="1" t="s">
        <v>4579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</row>
    <row r="13543" spans="1:11" x14ac:dyDescent="0.2">
      <c r="A13543" s="1" t="s">
        <v>3042</v>
      </c>
      <c r="B13543" s="1" t="s">
        <v>3165</v>
      </c>
      <c r="C13543" s="1" t="str">
        <f>"66298911788186"</f>
        <v>66298911788186</v>
      </c>
      <c r="D13543" s="1" t="str">
        <f>"300-21TLDUAL"</f>
        <v>300-21TLDUAL</v>
      </c>
      <c r="E13543" s="1" t="s">
        <v>4579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</row>
    <row r="13544" spans="1:11" x14ac:dyDescent="0.2">
      <c r="A13544" s="1" t="s">
        <v>3042</v>
      </c>
      <c r="B13544" s="1" t="s">
        <v>4629</v>
      </c>
      <c r="C13544" s="1" t="str">
        <f>"67822289918135"</f>
        <v>67822289918135</v>
      </c>
      <c r="D13544" s="1" t="str">
        <f>"100/90X17-TRPT"</f>
        <v>100/90X17-TRPT</v>
      </c>
      <c r="E13544" s="1" t="s">
        <v>4579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</row>
    <row r="13545" spans="1:11" x14ac:dyDescent="0.2">
      <c r="A13545" s="1" t="s">
        <v>3042</v>
      </c>
      <c r="B13545" s="1" t="s">
        <v>3166</v>
      </c>
      <c r="C13545" s="1" t="str">
        <f>"66298911827170"</f>
        <v>66298911827170</v>
      </c>
      <c r="D13545" s="1" t="str">
        <f>"100/80X17TRSR"</f>
        <v>100/80X17TRSR</v>
      </c>
      <c r="E13545" s="1" t="s">
        <v>4579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</row>
    <row r="13546" spans="1:11" x14ac:dyDescent="0.2">
      <c r="A13546" s="1" t="s">
        <v>3042</v>
      </c>
      <c r="B13546" s="1" t="s">
        <v>4630</v>
      </c>
      <c r="C13546" s="1" t="str">
        <f>"67822290118383"</f>
        <v>67822290118383</v>
      </c>
      <c r="D13546" s="1" t="str">
        <f>"300-18TRPT"</f>
        <v>300-18TRPT</v>
      </c>
      <c r="E13546" s="1" t="s">
        <v>4579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</row>
    <row r="13547" spans="1:11" x14ac:dyDescent="0.2">
      <c r="A13547" s="1" t="s">
        <v>3042</v>
      </c>
      <c r="B13547" s="1" t="s">
        <v>4630</v>
      </c>
      <c r="C13547" s="1" t="str">
        <f>"67822290132097"</f>
        <v>67822290132097</v>
      </c>
      <c r="D13547" s="1" t="str">
        <f>"400X18-TRPT"</f>
        <v>400X18-TRPT</v>
      </c>
      <c r="E13547" s="1" t="s">
        <v>4579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</row>
    <row r="13548" spans="1:11" x14ac:dyDescent="0.2">
      <c r="A13548" s="1" t="s">
        <v>3042</v>
      </c>
      <c r="B13548" s="1" t="s">
        <v>4631</v>
      </c>
      <c r="C13548" s="1" t="str">
        <f>"67822290125020"</f>
        <v>67822290125020</v>
      </c>
      <c r="D13548" s="1" t="str">
        <f>"90/90X18-TRPT"</f>
        <v>90/90X18-TRPT</v>
      </c>
      <c r="E13548" s="1" t="s">
        <v>4579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</row>
    <row r="13549" spans="1:11" x14ac:dyDescent="0.2">
      <c r="A13549" s="1" t="s">
        <v>3042</v>
      </c>
      <c r="B13549" s="1" t="s">
        <v>4632</v>
      </c>
      <c r="C13549" s="1" t="str">
        <f>"67822290305674"</f>
        <v>67822290305674</v>
      </c>
      <c r="D13549" s="1" t="str">
        <f>"410X18-TLWA"</f>
        <v>410X18-TLWA</v>
      </c>
      <c r="E13549" s="1" t="s">
        <v>4579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</row>
    <row r="13550" spans="1:11" x14ac:dyDescent="0.2">
      <c r="A13550" s="1" t="s">
        <v>3042</v>
      </c>
      <c r="B13550" s="1" t="s">
        <v>4633</v>
      </c>
      <c r="C13550" s="1" t="str">
        <f>"67822290604631"</f>
        <v>67822290604631</v>
      </c>
      <c r="D13550" s="1" t="str">
        <f>"300X18-TRWA"</f>
        <v>300X18-TRWA</v>
      </c>
      <c r="E13550" s="1" t="s">
        <v>4579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</row>
    <row r="13551" spans="1:11" x14ac:dyDescent="0.2">
      <c r="A13551" s="1" t="s">
        <v>3042</v>
      </c>
      <c r="B13551" s="1" t="s">
        <v>4634</v>
      </c>
      <c r="C13551" s="1" t="str">
        <f>"67822290155104"</f>
        <v>67822290155104</v>
      </c>
      <c r="D13551" s="1" t="str">
        <f>"90/90X19-TRPT"</f>
        <v>90/90X19-TRPT</v>
      </c>
      <c r="E13551" s="1" t="s">
        <v>4579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</row>
    <row r="13552" spans="1:11" x14ac:dyDescent="0.2">
      <c r="A13552" s="1" t="s">
        <v>3042</v>
      </c>
      <c r="B13552" s="1" t="s">
        <v>4635</v>
      </c>
      <c r="C13552" s="1" t="str">
        <f>"67822290174902"</f>
        <v>67822290174902</v>
      </c>
      <c r="D13552" s="1" t="str">
        <f>"90/90X21-TRPT"</f>
        <v>90/90X21-TRPT</v>
      </c>
      <c r="E13552" s="1" t="s">
        <v>4579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</row>
    <row r="13553" spans="1:11" x14ac:dyDescent="0.2">
      <c r="A13553" s="1" t="s">
        <v>3042</v>
      </c>
      <c r="B13553" s="1" t="s">
        <v>3167</v>
      </c>
      <c r="C13553" s="1" t="str">
        <f>"66298911869297"</f>
        <v>66298911869297</v>
      </c>
      <c r="D13553" s="1" t="str">
        <f>"300X21TRSR"</f>
        <v>300X21TRSR</v>
      </c>
      <c r="E13553" s="1" t="s">
        <v>4579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</row>
    <row r="13554" spans="1:11" x14ac:dyDescent="0.2">
      <c r="A13554" s="1" t="s">
        <v>1567</v>
      </c>
      <c r="B13554" s="1" t="s">
        <v>3168</v>
      </c>
      <c r="C13554" s="1" t="str">
        <f>"RO-3121"</f>
        <v>RO-3121</v>
      </c>
      <c r="D13554" s="1" t="str">
        <f>"RO-3121"</f>
        <v>RO-3121</v>
      </c>
      <c r="E13554" s="1" t="s">
        <v>4579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</row>
    <row r="13555" spans="1:11" x14ac:dyDescent="0.2">
      <c r="B13555" s="1" t="s">
        <v>1569</v>
      </c>
    </row>
    <row r="13556" spans="1:11" x14ac:dyDescent="0.2">
      <c r="B13556" s="1" t="s">
        <v>3169</v>
      </c>
    </row>
    <row r="13557" spans="1:11" x14ac:dyDescent="0.2">
      <c r="B13557" s="1" t="s">
        <v>2544</v>
      </c>
    </row>
    <row r="13558" spans="1:11" x14ac:dyDescent="0.2">
      <c r="B13558" s="1" t="s">
        <v>4570</v>
      </c>
    </row>
    <row r="13559" spans="1:11" x14ac:dyDescent="0.2">
      <c r="B13559" s="1" t="s">
        <v>1573</v>
      </c>
    </row>
    <row r="13560" spans="1:11" x14ac:dyDescent="0.2">
      <c r="B13560" s="1" t="s">
        <v>1574</v>
      </c>
    </row>
    <row r="13561" spans="1:11" x14ac:dyDescent="0.2">
      <c r="B13561" s="1" t="s">
        <v>1575</v>
      </c>
    </row>
    <row r="13562" spans="1:11" x14ac:dyDescent="0.2">
      <c r="B13562" s="1" t="s">
        <v>4571</v>
      </c>
    </row>
    <row r="13563" spans="1:11" x14ac:dyDescent="0.2">
      <c r="B13563" s="1" t="s">
        <v>4572</v>
      </c>
    </row>
    <row r="13564" spans="1:11" x14ac:dyDescent="0.2">
      <c r="A13564" s="1" t="s">
        <v>1567</v>
      </c>
      <c r="B13564" s="1" t="s">
        <v>3168</v>
      </c>
      <c r="C13564" s="1" t="str">
        <f>"RO-3130"</f>
        <v>RO-3130</v>
      </c>
      <c r="D13564" s="1" t="str">
        <f>"RO-3130"</f>
        <v>RO-3130</v>
      </c>
      <c r="E13564" s="1" t="s">
        <v>4579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</row>
    <row r="13565" spans="1:11" x14ac:dyDescent="0.2">
      <c r="B13565" s="1" t="s">
        <v>1569</v>
      </c>
    </row>
    <row r="13566" spans="1:11" x14ac:dyDescent="0.2">
      <c r="B13566" s="1" t="s">
        <v>3169</v>
      </c>
    </row>
    <row r="13567" spans="1:11" x14ac:dyDescent="0.2">
      <c r="B13567" s="1" t="s">
        <v>2544</v>
      </c>
    </row>
    <row r="13568" spans="1:11" x14ac:dyDescent="0.2">
      <c r="B13568" s="1" t="s">
        <v>2545</v>
      </c>
    </row>
    <row r="13569" spans="1:11" x14ac:dyDescent="0.2">
      <c r="B13569" s="1" t="s">
        <v>1573</v>
      </c>
    </row>
    <row r="13570" spans="1:11" x14ac:dyDescent="0.2">
      <c r="B13570" s="1" t="s">
        <v>1574</v>
      </c>
    </row>
    <row r="13571" spans="1:11" x14ac:dyDescent="0.2">
      <c r="B13571" s="1" t="s">
        <v>1575</v>
      </c>
    </row>
    <row r="13572" spans="1:11" x14ac:dyDescent="0.2">
      <c r="B13572" s="1" t="s">
        <v>4573</v>
      </c>
    </row>
    <row r="13573" spans="1:11" x14ac:dyDescent="0.2">
      <c r="B13573" s="1" t="s">
        <v>4574</v>
      </c>
    </row>
    <row r="13574" spans="1:11" x14ac:dyDescent="0.2">
      <c r="A13574" s="1" t="s">
        <v>1567</v>
      </c>
      <c r="B13574" s="1" t="s">
        <v>3168</v>
      </c>
      <c r="C13574" s="1" t="str">
        <f>"RO-3129"</f>
        <v>RO-3129</v>
      </c>
      <c r="D13574" s="1" t="str">
        <f>"RO-3129"</f>
        <v>RO-3129</v>
      </c>
      <c r="E13574" s="1" t="s">
        <v>4579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</row>
    <row r="13575" spans="1:11" x14ac:dyDescent="0.2">
      <c r="B13575" s="1" t="s">
        <v>1569</v>
      </c>
    </row>
    <row r="13576" spans="1:11" x14ac:dyDescent="0.2">
      <c r="B13576" s="1" t="s">
        <v>3169</v>
      </c>
    </row>
    <row r="13577" spans="1:11" x14ac:dyDescent="0.2">
      <c r="B13577" s="1" t="s">
        <v>1571</v>
      </c>
    </row>
    <row r="13578" spans="1:11" x14ac:dyDescent="0.2">
      <c r="B13578" s="1" t="s">
        <v>2545</v>
      </c>
    </row>
    <row r="13579" spans="1:11" x14ac:dyDescent="0.2">
      <c r="B13579" s="1" t="s">
        <v>1573</v>
      </c>
    </row>
    <row r="13580" spans="1:11" x14ac:dyDescent="0.2">
      <c r="B13580" s="1" t="s">
        <v>1574</v>
      </c>
    </row>
    <row r="13581" spans="1:11" x14ac:dyDescent="0.2">
      <c r="B13581" s="1" t="s">
        <v>1575</v>
      </c>
    </row>
    <row r="13582" spans="1:11" x14ac:dyDescent="0.2">
      <c r="B13582" s="1" t="s">
        <v>3170</v>
      </c>
    </row>
    <row r="13583" spans="1:11" x14ac:dyDescent="0.2">
      <c r="B13583" s="1" t="s">
        <v>3171</v>
      </c>
    </row>
    <row r="13584" spans="1:11" x14ac:dyDescent="0.2">
      <c r="A13584" s="1" t="s">
        <v>98</v>
      </c>
      <c r="B13584" s="1" t="s">
        <v>3172</v>
      </c>
      <c r="C13584" s="1" t="str">
        <f>"66298911910871"</f>
        <v>66298911910871</v>
      </c>
      <c r="D13584" s="1" t="str">
        <f>"O-MBA-COMB"</f>
        <v>O-MBA-COMB</v>
      </c>
      <c r="E13584" s="1" t="s">
        <v>4579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</row>
    <row r="13585" spans="1:11" x14ac:dyDescent="0.2">
      <c r="A13585" s="1" t="s">
        <v>98</v>
      </c>
      <c r="B13585" s="1" t="s">
        <v>3173</v>
      </c>
      <c r="C13585" s="1" t="str">
        <f>"66298911952024"</f>
        <v>66298911952024</v>
      </c>
      <c r="D13585" s="1" t="str">
        <f>"753"</f>
        <v>753</v>
      </c>
      <c r="E13585" s="1" t="s">
        <v>4579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</row>
    <row r="13586" spans="1:11" x14ac:dyDescent="0.2">
      <c r="A13586" s="1" t="s">
        <v>98</v>
      </c>
      <c r="B13586" s="1" t="s">
        <v>3174</v>
      </c>
      <c r="C13586" s="1" t="str">
        <f>"66298911993284"</f>
        <v>66298911993284</v>
      </c>
      <c r="D13586" s="1" t="str">
        <f>"B124"</f>
        <v>B124</v>
      </c>
      <c r="E13586" s="1" t="s">
        <v>4579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</row>
    <row r="13587" spans="1:11" x14ac:dyDescent="0.2">
      <c r="A13587" s="1" t="s">
        <v>98</v>
      </c>
      <c r="B13587" s="1" t="s">
        <v>3175</v>
      </c>
      <c r="C13587" s="1" t="str">
        <f>"66298912034570"</f>
        <v>66298912034570</v>
      </c>
      <c r="D13587" s="1" t="str">
        <f>"192190002-0001"</f>
        <v>192190002-0001</v>
      </c>
      <c r="E13587" s="1" t="s">
        <v>4579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</row>
    <row r="13588" spans="1:11" x14ac:dyDescent="0.2">
      <c r="A13588" s="1" t="s">
        <v>98</v>
      </c>
      <c r="B13588" s="1" t="s">
        <v>3176</v>
      </c>
      <c r="C13588" s="1" t="str">
        <f>"66298912073096"</f>
        <v>66298912073096</v>
      </c>
      <c r="D13588" s="1" t="str">
        <f>"PB001"</f>
        <v>PB001</v>
      </c>
      <c r="E13588" s="1" t="s">
        <v>4579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</row>
    <row r="13589" spans="1:11" x14ac:dyDescent="0.2">
      <c r="A13589" s="1" t="s">
        <v>18</v>
      </c>
      <c r="B13589" s="1" t="s">
        <v>3177</v>
      </c>
      <c r="C13589" s="1" t="str">
        <f>"OVEROL-LM"</f>
        <v>OVEROL-LM</v>
      </c>
      <c r="D13589" s="1" t="str">
        <f>"OVEROL-LM"</f>
        <v>OVEROL-LM</v>
      </c>
      <c r="E13589" s="1" t="s">
        <v>4579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</row>
    <row r="13590" spans="1:11" x14ac:dyDescent="0.2">
      <c r="A13590" s="1" t="s">
        <v>18</v>
      </c>
      <c r="B13590" s="1" t="s">
        <v>3178</v>
      </c>
      <c r="C13590" s="1" t="str">
        <f>"OVEROL-LUBRAX"</f>
        <v>OVEROL-LUBRAX</v>
      </c>
      <c r="D13590" s="1" t="str">
        <f>"OVEROL-LUBRAX"</f>
        <v>OVEROL-LUBRAX</v>
      </c>
      <c r="E13590" s="1" t="s">
        <v>4579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</row>
    <row r="13591" spans="1:11" x14ac:dyDescent="0.2">
      <c r="A13591" s="1" t="s">
        <v>18</v>
      </c>
      <c r="B13591" s="1" t="s">
        <v>3179</v>
      </c>
      <c r="C13591" s="1" t="str">
        <f>"RP-OVEROL"</f>
        <v>RP-OVEROL</v>
      </c>
      <c r="D13591" s="1" t="str">
        <f>"RP-OVEROL"</f>
        <v>RP-OVEROL</v>
      </c>
      <c r="E13591" s="1" t="s">
        <v>4579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</row>
    <row r="13592" spans="1:11" x14ac:dyDescent="0.2">
      <c r="A13592" s="1" t="s">
        <v>18</v>
      </c>
      <c r="B13592" s="1" t="s">
        <v>3180</v>
      </c>
      <c r="C13592" s="1" t="str">
        <f>"49CC78"</f>
        <v>49CC78</v>
      </c>
      <c r="D13592" s="1" t="str">
        <f>"49CC78"</f>
        <v>49CC78</v>
      </c>
      <c r="E13592" s="1" t="s">
        <v>4579</v>
      </c>
      <c r="F13592" s="1">
        <v>1</v>
      </c>
      <c r="G13592" s="1">
        <v>3120</v>
      </c>
      <c r="H13592" s="1">
        <v>3120</v>
      </c>
      <c r="I13592" s="1">
        <v>0</v>
      </c>
      <c r="J13592" s="1">
        <v>1</v>
      </c>
      <c r="K13592" s="1">
        <v>0</v>
      </c>
    </row>
    <row r="13593" spans="1:11" x14ac:dyDescent="0.2">
      <c r="A13593" s="1" t="s">
        <v>98</v>
      </c>
      <c r="B13593" s="1" t="s">
        <v>3181</v>
      </c>
      <c r="C13593" s="1" t="str">
        <f>"66298912113695"</f>
        <v>66298912113695</v>
      </c>
      <c r="D13593" s="1" t="str">
        <f>"C206"</f>
        <v>C206</v>
      </c>
      <c r="E13593" s="1" t="s">
        <v>4579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</row>
    <row r="13594" spans="1:11" x14ac:dyDescent="0.2">
      <c r="A13594" s="1" t="s">
        <v>98</v>
      </c>
      <c r="B13594" s="1" t="s">
        <v>3182</v>
      </c>
      <c r="C13594" s="1" t="str">
        <f>"66298912202430"</f>
        <v>66298912202430</v>
      </c>
      <c r="D13594" s="1" t="str">
        <f>"49CC53"</f>
        <v>49CC53</v>
      </c>
      <c r="E13594" s="1" t="s">
        <v>4579</v>
      </c>
      <c r="F13594" s="1">
        <v>2</v>
      </c>
      <c r="G13594" s="1">
        <v>1470</v>
      </c>
      <c r="H13594" s="1">
        <v>2940</v>
      </c>
      <c r="I13594" s="1">
        <v>0</v>
      </c>
      <c r="J13594" s="1">
        <v>2</v>
      </c>
      <c r="K13594" s="1">
        <v>0</v>
      </c>
    </row>
    <row r="13595" spans="1:11" x14ac:dyDescent="0.2">
      <c r="A13595" s="1" t="s">
        <v>3183</v>
      </c>
      <c r="B13595" s="1" t="s">
        <v>3184</v>
      </c>
      <c r="C13595" s="1" t="str">
        <f>"425005"</f>
        <v>425005</v>
      </c>
      <c r="D13595" s="1" t="str">
        <f>"425005"</f>
        <v>425005</v>
      </c>
      <c r="E13595" s="1" t="s">
        <v>4579</v>
      </c>
      <c r="F13595" s="1">
        <v>1</v>
      </c>
      <c r="G13595" s="1">
        <v>1050</v>
      </c>
      <c r="H13595" s="1">
        <v>1050</v>
      </c>
      <c r="I13595" s="1">
        <v>0</v>
      </c>
      <c r="J13595" s="1">
        <v>1</v>
      </c>
      <c r="K13595" s="1">
        <v>0</v>
      </c>
    </row>
    <row r="13596" spans="1:11" x14ac:dyDescent="0.2">
      <c r="A13596" s="1" t="s">
        <v>98</v>
      </c>
      <c r="B13596" s="1" t="s">
        <v>3185</v>
      </c>
      <c r="C13596" s="1" t="str">
        <f>"66298912155152"</f>
        <v>66298912155152</v>
      </c>
      <c r="D13596" s="1" t="str">
        <f>"425011"</f>
        <v>425011</v>
      </c>
      <c r="E13596" s="1" t="s">
        <v>4579</v>
      </c>
      <c r="F13596" s="1">
        <v>1</v>
      </c>
      <c r="G13596" s="1">
        <v>1110</v>
      </c>
      <c r="H13596" s="1">
        <v>1110</v>
      </c>
      <c r="I13596" s="1">
        <v>0</v>
      </c>
      <c r="J13596" s="1">
        <v>1</v>
      </c>
      <c r="K13596" s="1">
        <v>0</v>
      </c>
    </row>
    <row r="13597" spans="1:11" x14ac:dyDescent="0.2">
      <c r="A13597" s="1" t="s">
        <v>3183</v>
      </c>
      <c r="B13597" s="1" t="s">
        <v>3186</v>
      </c>
      <c r="C13597" s="1" t="str">
        <f>"425009"</f>
        <v>425009</v>
      </c>
      <c r="D13597" s="1" t="str">
        <f>"425009"</f>
        <v>425009</v>
      </c>
      <c r="E13597" s="1" t="s">
        <v>4579</v>
      </c>
      <c r="F13597" s="1">
        <v>1</v>
      </c>
      <c r="G13597" s="1">
        <v>1610</v>
      </c>
      <c r="H13597" s="1">
        <v>1610</v>
      </c>
      <c r="I13597" s="1">
        <v>0</v>
      </c>
      <c r="J13597" s="1">
        <v>1</v>
      </c>
      <c r="K13597" s="1">
        <v>0</v>
      </c>
    </row>
    <row r="13598" spans="1:11" x14ac:dyDescent="0.2">
      <c r="A13598" s="1" t="s">
        <v>3183</v>
      </c>
      <c r="B13598" s="1" t="s">
        <v>3186</v>
      </c>
      <c r="C13598" s="1" t="str">
        <f>"425010"</f>
        <v>425010</v>
      </c>
      <c r="D13598" s="1" t="str">
        <f>"425010"</f>
        <v>425010</v>
      </c>
      <c r="E13598" s="1" t="s">
        <v>4579</v>
      </c>
      <c r="F13598" s="1">
        <v>1</v>
      </c>
      <c r="G13598" s="1">
        <v>1020</v>
      </c>
      <c r="H13598" s="1">
        <v>1020</v>
      </c>
      <c r="I13598" s="1">
        <v>0</v>
      </c>
      <c r="J13598" s="1">
        <v>1</v>
      </c>
      <c r="K13598" s="1">
        <v>0</v>
      </c>
    </row>
    <row r="13599" spans="1:11" x14ac:dyDescent="0.2">
      <c r="A13599" s="1" t="s">
        <v>98</v>
      </c>
      <c r="B13599" s="1" t="s">
        <v>3187</v>
      </c>
      <c r="C13599" s="1" t="str">
        <f>"66298912247257"</f>
        <v>66298912247257</v>
      </c>
      <c r="D13599" s="1" t="str">
        <f>"80514"</f>
        <v>80514</v>
      </c>
      <c r="E13599" s="1" t="s">
        <v>4579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</row>
    <row r="13600" spans="1:11" x14ac:dyDescent="0.2">
      <c r="A13600" s="1" t="s">
        <v>98</v>
      </c>
      <c r="B13600" s="1" t="s">
        <v>3188</v>
      </c>
      <c r="C13600" s="1" t="str">
        <f>"66298912290272"</f>
        <v>66298912290272</v>
      </c>
      <c r="D13600" s="1" t="str">
        <f>"4885"</f>
        <v>4885</v>
      </c>
      <c r="E13600" s="1" t="s">
        <v>4579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</row>
    <row r="13601" spans="1:11" x14ac:dyDescent="0.2">
      <c r="A13601" s="1" t="s">
        <v>18</v>
      </c>
      <c r="B13601" s="1" t="s">
        <v>3189</v>
      </c>
      <c r="C13601" s="1" t="str">
        <f>"101029208"</f>
        <v>101029208</v>
      </c>
      <c r="D13601" s="1" t="str">
        <f>"101029208"</f>
        <v>101029208</v>
      </c>
      <c r="E13601" s="1" t="s">
        <v>4579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</row>
    <row r="13602" spans="1:11" x14ac:dyDescent="0.2">
      <c r="A13602" s="1" t="s">
        <v>98</v>
      </c>
      <c r="B13602" s="1" t="s">
        <v>3190</v>
      </c>
      <c r="C13602" s="1" t="str">
        <f>"66298912335799"</f>
        <v>66298912335799</v>
      </c>
      <c r="D13602" s="1" t="str">
        <f>"GJ017"</f>
        <v>GJ017</v>
      </c>
      <c r="E13602" s="1" t="s">
        <v>4579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</row>
    <row r="13603" spans="1:11" x14ac:dyDescent="0.2">
      <c r="A13603" s="1" t="s">
        <v>98</v>
      </c>
      <c r="B13603" s="1" t="s">
        <v>3191</v>
      </c>
      <c r="C13603" s="1" t="str">
        <f>"66298912378353"</f>
        <v>66298912378353</v>
      </c>
      <c r="D13603" s="1" t="str">
        <f>"83140"</f>
        <v>83140</v>
      </c>
      <c r="E13603" s="1" t="s">
        <v>4579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</row>
    <row r="13604" spans="1:11" x14ac:dyDescent="0.2">
      <c r="A13604" s="1" t="s">
        <v>3192</v>
      </c>
      <c r="B13604" s="1" t="s">
        <v>3193</v>
      </c>
      <c r="C13604" s="1" t="str">
        <f>"66298912423753"</f>
        <v>66298912423753</v>
      </c>
      <c r="D13604" s="1" t="str">
        <f>"LMP112"</f>
        <v>LMP112</v>
      </c>
      <c r="E13604" s="1" t="s">
        <v>4579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</row>
    <row r="13605" spans="1:11" x14ac:dyDescent="0.2">
      <c r="A13605" s="1" t="s">
        <v>3192</v>
      </c>
      <c r="B13605" s="1" t="s">
        <v>3194</v>
      </c>
      <c r="C13605" s="1" t="str">
        <f>"66298912467813"</f>
        <v>66298912467813</v>
      </c>
      <c r="D13605" s="1" t="str">
        <f>"59300-39821JP"</f>
        <v>59300-39821JP</v>
      </c>
      <c r="E13605" s="1" t="s">
        <v>4579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</row>
    <row r="13606" spans="1:11" x14ac:dyDescent="0.2">
      <c r="A13606" s="1" t="s">
        <v>3192</v>
      </c>
      <c r="B13606" s="1" t="s">
        <v>3195</v>
      </c>
      <c r="C13606" s="1" t="str">
        <f>"66298912546539"</f>
        <v>66298912546539</v>
      </c>
      <c r="D13606" s="1" t="str">
        <f>"06455-KGA-940JP"</f>
        <v>06455-KGA-940JP</v>
      </c>
      <c r="E13606" s="1" t="s">
        <v>4579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</row>
    <row r="13607" spans="1:11" x14ac:dyDescent="0.2">
      <c r="A13607" s="1" t="s">
        <v>3192</v>
      </c>
      <c r="B13607" s="1" t="s">
        <v>3196</v>
      </c>
      <c r="C13607" s="1" t="str">
        <f>"66298912506516"</f>
        <v>66298912506516</v>
      </c>
      <c r="D13607" s="1" t="str">
        <f>"U010-A"</f>
        <v>U010-A</v>
      </c>
      <c r="E13607" s="1" t="s">
        <v>4579</v>
      </c>
      <c r="F13607" s="1">
        <v>2</v>
      </c>
      <c r="G13607" s="1">
        <v>1593</v>
      </c>
      <c r="H13607" s="1">
        <v>3186</v>
      </c>
      <c r="I13607" s="1">
        <v>0</v>
      </c>
      <c r="J13607" s="1">
        <v>2</v>
      </c>
      <c r="K13607" s="1">
        <v>0</v>
      </c>
    </row>
    <row r="13608" spans="1:11" x14ac:dyDescent="0.2">
      <c r="A13608" s="1" t="s">
        <v>3192</v>
      </c>
      <c r="B13608" s="1" t="s">
        <v>3197</v>
      </c>
      <c r="C13608" s="1" t="str">
        <f>"66298912588212"</f>
        <v>66298912588212</v>
      </c>
      <c r="D13608" s="1" t="str">
        <f>"LMP142"</f>
        <v>LMP142</v>
      </c>
      <c r="E13608" s="1" t="s">
        <v>4579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</row>
    <row r="13609" spans="1:11" x14ac:dyDescent="0.2">
      <c r="A13609" s="1" t="s">
        <v>3192</v>
      </c>
      <c r="B13609" s="1" t="s">
        <v>3198</v>
      </c>
      <c r="C13609" s="1" t="str">
        <f>"66298912631280"</f>
        <v>66298912631280</v>
      </c>
      <c r="D13609" s="1" t="str">
        <f>"400273"</f>
        <v>400273</v>
      </c>
      <c r="E13609" s="1" t="s">
        <v>4579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</row>
    <row r="13610" spans="1:11" x14ac:dyDescent="0.2">
      <c r="A13610" s="1" t="s">
        <v>3192</v>
      </c>
      <c r="B13610" s="1" t="s">
        <v>3199</v>
      </c>
      <c r="C13610" s="1" t="str">
        <f>"66298912671196"</f>
        <v>66298912671196</v>
      </c>
      <c r="D13610" s="1" t="str">
        <f>"43082-1070JP"</f>
        <v>43082-1070JP</v>
      </c>
      <c r="E13610" s="1" t="s">
        <v>4579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</row>
    <row r="13611" spans="1:11" x14ac:dyDescent="0.2">
      <c r="A13611" s="1" t="s">
        <v>3192</v>
      </c>
      <c r="B13611" s="1" t="s">
        <v>3200</v>
      </c>
      <c r="C13611" s="1" t="str">
        <f>"66298912713396"</f>
        <v>66298912713396</v>
      </c>
      <c r="D13611" s="1" t="str">
        <f>"11L-W0045-00JP"</f>
        <v>11L-W0045-00JP</v>
      </c>
      <c r="E13611" s="1" t="s">
        <v>4579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</row>
    <row r="13612" spans="1:11" x14ac:dyDescent="0.2">
      <c r="A13612" s="1" t="s">
        <v>3192</v>
      </c>
      <c r="B13612" s="1" t="s">
        <v>3201</v>
      </c>
      <c r="C13612" s="1" t="str">
        <f>"66298912770223"</f>
        <v>66298912770223</v>
      </c>
      <c r="D13612" s="1" t="str">
        <f>"400275"</f>
        <v>400275</v>
      </c>
      <c r="E13612" s="1" t="s">
        <v>4579</v>
      </c>
      <c r="F13612" s="1">
        <v>1</v>
      </c>
      <c r="G13612" s="1">
        <v>833</v>
      </c>
      <c r="H13612" s="1">
        <v>833</v>
      </c>
      <c r="I13612" s="1">
        <v>0</v>
      </c>
      <c r="J13612" s="1">
        <v>1</v>
      </c>
      <c r="K13612" s="1">
        <v>0</v>
      </c>
    </row>
    <row r="13613" spans="1:11" ht="30" x14ac:dyDescent="0.2">
      <c r="A13613" s="1" t="s">
        <v>3192</v>
      </c>
      <c r="B13613" s="1" t="s">
        <v>3202</v>
      </c>
      <c r="C13613" s="1" t="str">
        <f>"66298912812165"</f>
        <v>66298912812165</v>
      </c>
      <c r="D13613" s="1" t="str">
        <f>"P10012"</f>
        <v>P10012</v>
      </c>
      <c r="E13613" s="1" t="s">
        <v>4579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</row>
    <row r="13614" spans="1:11" x14ac:dyDescent="0.2">
      <c r="A13614" s="1" t="s">
        <v>3192</v>
      </c>
      <c r="B13614" s="1" t="s">
        <v>3203</v>
      </c>
      <c r="C13614" s="1" t="str">
        <f>"2662"</f>
        <v>2662</v>
      </c>
      <c r="D13614" s="1" t="str">
        <f>"2662"</f>
        <v>2662</v>
      </c>
      <c r="E13614" s="1" t="s">
        <v>4579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</row>
    <row r="13615" spans="1:11" x14ac:dyDescent="0.2">
      <c r="A13615" s="1" t="s">
        <v>3192</v>
      </c>
      <c r="B13615" s="1" t="s">
        <v>3204</v>
      </c>
      <c r="C13615" s="1" t="str">
        <f>"66298912851833"</f>
        <v>66298912851833</v>
      </c>
      <c r="D13615" s="1" t="str">
        <f>"06455-KSY-881JP"</f>
        <v>06455-KSY-881JP</v>
      </c>
      <c r="E13615" s="1" t="s">
        <v>4579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</row>
    <row r="13616" spans="1:11" x14ac:dyDescent="0.2">
      <c r="A13616" s="1" t="s">
        <v>3192</v>
      </c>
      <c r="B13616" s="1" t="s">
        <v>3205</v>
      </c>
      <c r="C13616" s="1" t="str">
        <f>"66298912896209"</f>
        <v>66298912896209</v>
      </c>
      <c r="D13616" s="1" t="str">
        <f>"400276"</f>
        <v>400276</v>
      </c>
      <c r="E13616" s="1" t="s">
        <v>4579</v>
      </c>
      <c r="F13616" s="1">
        <v>2</v>
      </c>
      <c r="G13616" s="1">
        <v>939</v>
      </c>
      <c r="H13616" s="1">
        <v>1878</v>
      </c>
      <c r="I13616" s="1">
        <v>0</v>
      </c>
      <c r="J13616" s="1">
        <v>2</v>
      </c>
      <c r="K13616" s="1">
        <v>0</v>
      </c>
    </row>
    <row r="13617" spans="1:11" x14ac:dyDescent="0.2">
      <c r="A13617" s="1" t="s">
        <v>3192</v>
      </c>
      <c r="B13617" s="1" t="s">
        <v>3206</v>
      </c>
      <c r="C13617" s="1" t="str">
        <f>"66298912939753"</f>
        <v>66298912939753</v>
      </c>
      <c r="D13617" s="1" t="str">
        <f>"P10029"</f>
        <v>P10029</v>
      </c>
      <c r="E13617" s="1" t="s">
        <v>4579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</row>
    <row r="13618" spans="1:11" x14ac:dyDescent="0.2">
      <c r="A13618" s="1" t="s">
        <v>3192</v>
      </c>
      <c r="B13618" s="1" t="s">
        <v>3207</v>
      </c>
      <c r="C13618" s="1" t="str">
        <f>"66298912981274"</f>
        <v>66298912981274</v>
      </c>
      <c r="D13618" s="1" t="str">
        <f>"LMP172"</f>
        <v>LMP172</v>
      </c>
      <c r="E13618" s="1" t="s">
        <v>4579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</row>
    <row r="13619" spans="1:11" ht="30" x14ac:dyDescent="0.2">
      <c r="A13619" s="1" t="s">
        <v>3192</v>
      </c>
      <c r="B13619" s="1" t="s">
        <v>3208</v>
      </c>
      <c r="C13619" s="1" t="str">
        <f>"66298913027856"</f>
        <v>66298913027856</v>
      </c>
      <c r="D13619" s="1" t="str">
        <f>"P10008"</f>
        <v>P10008</v>
      </c>
      <c r="E13619" s="1" t="s">
        <v>4579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</row>
    <row r="13620" spans="1:11" ht="30" x14ac:dyDescent="0.2">
      <c r="A13620" s="1" t="s">
        <v>3192</v>
      </c>
      <c r="B13620" s="1" t="s">
        <v>3209</v>
      </c>
      <c r="C13620" s="1" t="str">
        <f>"U032P"</f>
        <v>U032P</v>
      </c>
      <c r="D13620" s="1" t="str">
        <f>"U032P"</f>
        <v>U032P</v>
      </c>
      <c r="E13620" s="1" t="s">
        <v>4579</v>
      </c>
      <c r="F13620" s="1">
        <v>1</v>
      </c>
      <c r="G13620" s="1">
        <v>990</v>
      </c>
      <c r="H13620" s="1">
        <v>990</v>
      </c>
      <c r="I13620" s="1">
        <v>0</v>
      </c>
      <c r="J13620" s="1">
        <v>1</v>
      </c>
      <c r="K13620" s="1">
        <v>0</v>
      </c>
    </row>
    <row r="13621" spans="1:11" x14ac:dyDescent="0.2">
      <c r="A13621" s="1" t="s">
        <v>3192</v>
      </c>
      <c r="B13621" s="1" t="s">
        <v>3210</v>
      </c>
      <c r="C13621" s="1" t="str">
        <f>"66298913074043"</f>
        <v>66298913074043</v>
      </c>
      <c r="D13621" s="1" t="str">
        <f>"LMP184"</f>
        <v>LMP184</v>
      </c>
      <c r="E13621" s="1" t="s">
        <v>4579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</row>
    <row r="13622" spans="1:11" ht="30" x14ac:dyDescent="0.2">
      <c r="A13622" s="1" t="s">
        <v>3192</v>
      </c>
      <c r="B13622" s="1" t="s">
        <v>3211</v>
      </c>
      <c r="C13622" s="1" t="str">
        <f>"66298913116267"</f>
        <v>66298913116267</v>
      </c>
      <c r="D13622" s="1" t="str">
        <f>"59300-H338-12JP"</f>
        <v>59300-H338-12JP</v>
      </c>
      <c r="E13622" s="1" t="s">
        <v>4579</v>
      </c>
      <c r="F13622" s="1">
        <v>2</v>
      </c>
      <c r="G13622" s="1">
        <v>1775</v>
      </c>
      <c r="H13622" s="1">
        <v>3550</v>
      </c>
      <c r="I13622" s="1">
        <v>0</v>
      </c>
      <c r="J13622" s="1">
        <v>2</v>
      </c>
      <c r="K13622" s="1">
        <v>0</v>
      </c>
    </row>
    <row r="13623" spans="1:11" x14ac:dyDescent="0.2">
      <c r="A13623" s="1" t="s">
        <v>3192</v>
      </c>
      <c r="B13623" s="1" t="s">
        <v>3212</v>
      </c>
      <c r="C13623" s="1" t="str">
        <f>"66298913159763"</f>
        <v>66298913159763</v>
      </c>
      <c r="D13623" s="1" t="str">
        <f>"400277"</f>
        <v>400277</v>
      </c>
      <c r="E13623" s="1" t="s">
        <v>4579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</row>
    <row r="13624" spans="1:11" x14ac:dyDescent="0.2">
      <c r="A13624" s="1" t="s">
        <v>3192</v>
      </c>
      <c r="B13624" s="1" t="s">
        <v>3213</v>
      </c>
      <c r="C13624" s="1" t="str">
        <f>"U018P"</f>
        <v>U018P</v>
      </c>
      <c r="D13624" s="1" t="str">
        <f>"U018P"</f>
        <v>U018P</v>
      </c>
      <c r="E13624" s="1" t="s">
        <v>4579</v>
      </c>
      <c r="F13624" s="1">
        <v>2</v>
      </c>
      <c r="G13624" s="1">
        <v>1050</v>
      </c>
      <c r="H13624" s="1">
        <v>2100</v>
      </c>
      <c r="I13624" s="1">
        <v>0</v>
      </c>
      <c r="J13624" s="1">
        <v>2</v>
      </c>
      <c r="K13624" s="1">
        <v>0</v>
      </c>
    </row>
    <row r="13625" spans="1:11" x14ac:dyDescent="0.2">
      <c r="A13625" s="1" t="s">
        <v>3192</v>
      </c>
      <c r="B13625" s="1" t="s">
        <v>3214</v>
      </c>
      <c r="C13625" s="1" t="str">
        <f>"66298913200656"</f>
        <v>66298913200656</v>
      </c>
      <c r="D13625" s="1" t="str">
        <f>"LMP193"</f>
        <v>LMP193</v>
      </c>
      <c r="E13625" s="1" t="s">
        <v>4579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</row>
    <row r="13626" spans="1:11" x14ac:dyDescent="0.2">
      <c r="A13626" s="1" t="s">
        <v>3192</v>
      </c>
      <c r="B13626" s="1" t="s">
        <v>3215</v>
      </c>
      <c r="C13626" s="1" t="str">
        <f>"66298913243045"</f>
        <v>66298913243045</v>
      </c>
      <c r="D13626" s="1" t="str">
        <f>"P203"</f>
        <v>P203</v>
      </c>
      <c r="E13626" s="1" t="s">
        <v>4579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</row>
    <row r="13627" spans="1:11" x14ac:dyDescent="0.2">
      <c r="A13627" s="1" t="s">
        <v>3192</v>
      </c>
      <c r="B13627" s="1" t="s">
        <v>3216</v>
      </c>
      <c r="C13627" s="1" t="str">
        <f>"66298913290440"</f>
        <v>66298913290440</v>
      </c>
      <c r="D13627" s="1" t="str">
        <f>"P10013"</f>
        <v>P10013</v>
      </c>
      <c r="E13627" s="1" t="s">
        <v>4579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</row>
    <row r="13628" spans="1:11" x14ac:dyDescent="0.2">
      <c r="A13628" s="1" t="s">
        <v>3192</v>
      </c>
      <c r="B13628" s="1" t="s">
        <v>3217</v>
      </c>
      <c r="C13628" s="1" t="str">
        <f>"66298913344177"</f>
        <v>66298913344177</v>
      </c>
      <c r="D13628" s="1" t="str">
        <f>"U017HQ"</f>
        <v>U017HQ</v>
      </c>
      <c r="E13628" s="1" t="s">
        <v>4579</v>
      </c>
      <c r="F13628" s="1">
        <v>2</v>
      </c>
      <c r="G13628" s="1">
        <v>990</v>
      </c>
      <c r="H13628" s="1">
        <v>1980</v>
      </c>
      <c r="I13628" s="1">
        <v>0</v>
      </c>
      <c r="J13628" s="1">
        <v>2</v>
      </c>
      <c r="K13628" s="1">
        <v>0</v>
      </c>
    </row>
    <row r="13629" spans="1:11" ht="30" x14ac:dyDescent="0.2">
      <c r="A13629" s="1" t="s">
        <v>3192</v>
      </c>
      <c r="B13629" s="1" t="s">
        <v>3218</v>
      </c>
      <c r="C13629" s="1" t="str">
        <f>"66298913336132"</f>
        <v>66298913336132</v>
      </c>
      <c r="D13629" s="1" t="str">
        <f>"P204"</f>
        <v>P204</v>
      </c>
      <c r="E13629" s="1" t="s">
        <v>4579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</row>
    <row r="13630" spans="1:11" x14ac:dyDescent="0.2">
      <c r="A13630" s="1" t="s">
        <v>3192</v>
      </c>
      <c r="B13630" s="1" t="s">
        <v>3219</v>
      </c>
      <c r="C13630" s="1" t="str">
        <f>"66298913401418"</f>
        <v>66298913401418</v>
      </c>
      <c r="D13630" s="1" t="str">
        <f>"P10010"</f>
        <v>P10010</v>
      </c>
      <c r="E13630" s="1" t="s">
        <v>4579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</row>
    <row r="13631" spans="1:11" x14ac:dyDescent="0.2">
      <c r="A13631" s="1" t="s">
        <v>3192</v>
      </c>
      <c r="B13631" s="1" t="s">
        <v>3220</v>
      </c>
      <c r="C13631" s="1" t="str">
        <f>"66298913443305"</f>
        <v>66298913443305</v>
      </c>
      <c r="D13631" s="1" t="str">
        <f>"400278"</f>
        <v>400278</v>
      </c>
      <c r="E13631" s="1" t="s">
        <v>4579</v>
      </c>
      <c r="F13631" s="1">
        <v>2</v>
      </c>
      <c r="G13631" s="1">
        <v>711</v>
      </c>
      <c r="H13631" s="1">
        <v>1422</v>
      </c>
      <c r="I13631" s="1">
        <v>0</v>
      </c>
      <c r="J13631" s="1">
        <v>2</v>
      </c>
      <c r="K13631" s="1">
        <v>0</v>
      </c>
    </row>
    <row r="13632" spans="1:11" x14ac:dyDescent="0.2">
      <c r="A13632" s="1" t="s">
        <v>3192</v>
      </c>
      <c r="B13632" s="1" t="s">
        <v>3221</v>
      </c>
      <c r="C13632" s="1" t="str">
        <f>"66298913485147"</f>
        <v>66298913485147</v>
      </c>
      <c r="D13632" s="1" t="str">
        <f>"43105-KZ1-415JP"</f>
        <v>43105-KZ1-415JP</v>
      </c>
      <c r="E13632" s="1" t="s">
        <v>4579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</row>
    <row r="13633" spans="1:11" x14ac:dyDescent="0.2">
      <c r="A13633" s="1" t="s">
        <v>3192</v>
      </c>
      <c r="B13633" s="1" t="s">
        <v>3222</v>
      </c>
      <c r="C13633" s="1" t="str">
        <f>"66298913569269"</f>
        <v>66298913569269</v>
      </c>
      <c r="D13633" s="1" t="str">
        <f>"400279"</f>
        <v>400279</v>
      </c>
      <c r="E13633" s="1" t="s">
        <v>4579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</row>
    <row r="13634" spans="1:11" x14ac:dyDescent="0.2">
      <c r="A13634" s="1" t="s">
        <v>3192</v>
      </c>
      <c r="B13634" s="1" t="s">
        <v>3223</v>
      </c>
      <c r="C13634" s="1" t="str">
        <f>"66298913610131"</f>
        <v>66298913610131</v>
      </c>
      <c r="D13634" s="1" t="str">
        <f>"U001"</f>
        <v>U001</v>
      </c>
      <c r="E13634" s="1" t="s">
        <v>4579</v>
      </c>
      <c r="F13634" s="1">
        <v>2</v>
      </c>
      <c r="G13634" s="1">
        <v>990</v>
      </c>
      <c r="H13634" s="1">
        <v>1980</v>
      </c>
      <c r="I13634" s="1">
        <v>0</v>
      </c>
      <c r="J13634" s="1">
        <v>2</v>
      </c>
      <c r="K13634" s="1">
        <v>0</v>
      </c>
    </row>
    <row r="13635" spans="1:11" x14ac:dyDescent="0.2">
      <c r="A13635" s="1" t="s">
        <v>3192</v>
      </c>
      <c r="B13635" s="1" t="s">
        <v>3224</v>
      </c>
      <c r="C13635" s="1" t="str">
        <f>"U004P"</f>
        <v>U004P</v>
      </c>
      <c r="D13635" s="1" t="str">
        <f>"U004P"</f>
        <v>U004P</v>
      </c>
      <c r="E13635" s="1" t="s">
        <v>4579</v>
      </c>
      <c r="F13635" s="1">
        <v>1</v>
      </c>
      <c r="G13635" s="1">
        <v>1080</v>
      </c>
      <c r="H13635" s="1">
        <v>1080</v>
      </c>
      <c r="I13635" s="1">
        <v>0</v>
      </c>
      <c r="J13635" s="1">
        <v>1</v>
      </c>
      <c r="K13635" s="1">
        <v>0</v>
      </c>
    </row>
    <row r="13636" spans="1:11" ht="30" x14ac:dyDescent="0.2">
      <c r="A13636" s="1" t="s">
        <v>3192</v>
      </c>
      <c r="B13636" s="1" t="s">
        <v>3225</v>
      </c>
      <c r="C13636" s="1" t="str">
        <f>"66298913528348"</f>
        <v>66298913528348</v>
      </c>
      <c r="D13636" s="1" t="str">
        <f>"59300-48810CM"</f>
        <v>59300-48810CM</v>
      </c>
      <c r="E13636" s="1" t="s">
        <v>4579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</row>
    <row r="13637" spans="1:11" x14ac:dyDescent="0.2">
      <c r="A13637" s="1" t="s">
        <v>3192</v>
      </c>
      <c r="B13637" s="1" t="s">
        <v>3226</v>
      </c>
      <c r="C13637" s="1" t="str">
        <f>"66298913650028"</f>
        <v>66298913650028</v>
      </c>
      <c r="D13637" s="1" t="str">
        <f>"P10004"</f>
        <v>P10004</v>
      </c>
      <c r="E13637" s="1" t="s">
        <v>4579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</row>
    <row r="13638" spans="1:11" x14ac:dyDescent="0.2">
      <c r="A13638" s="1" t="s">
        <v>3192</v>
      </c>
      <c r="B13638" s="1" t="s">
        <v>3227</v>
      </c>
      <c r="C13638" s="1" t="str">
        <f>"66298913692712"</f>
        <v>66298913692712</v>
      </c>
      <c r="D13638" s="1" t="str">
        <f>"69100-48820JP"</f>
        <v>69100-48820JP</v>
      </c>
      <c r="E13638" s="1" t="s">
        <v>4579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</row>
    <row r="13639" spans="1:11" x14ac:dyDescent="0.2">
      <c r="A13639" s="1" t="s">
        <v>3192</v>
      </c>
      <c r="B13639" s="1" t="s">
        <v>3228</v>
      </c>
      <c r="C13639" s="1" t="str">
        <f>"101858"</f>
        <v>101858</v>
      </c>
      <c r="D13639" s="1" t="str">
        <f>"101858"</f>
        <v>101858</v>
      </c>
      <c r="E13639" s="1" t="s">
        <v>4579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</row>
    <row r="13640" spans="1:11" ht="30" x14ac:dyDescent="0.2">
      <c r="A13640" s="1" t="s">
        <v>3192</v>
      </c>
      <c r="B13640" s="1" t="s">
        <v>3229</v>
      </c>
      <c r="C13640" s="1" t="str">
        <f>"66298913730496"</f>
        <v>66298913730496</v>
      </c>
      <c r="D13640" s="1" t="str">
        <f>"400280"</f>
        <v>400280</v>
      </c>
      <c r="E13640" s="1" t="s">
        <v>4579</v>
      </c>
      <c r="F13640" s="1">
        <v>1</v>
      </c>
      <c r="G13640" s="1">
        <v>873</v>
      </c>
      <c r="H13640" s="1">
        <v>873</v>
      </c>
      <c r="I13640" s="1">
        <v>0</v>
      </c>
      <c r="J13640" s="1">
        <v>1</v>
      </c>
      <c r="K13640" s="1">
        <v>0</v>
      </c>
    </row>
    <row r="13641" spans="1:11" x14ac:dyDescent="0.2">
      <c r="A13641" s="1" t="s">
        <v>3192</v>
      </c>
      <c r="B13641" s="1" t="s">
        <v>3230</v>
      </c>
      <c r="C13641" s="1" t="str">
        <f>"2NA-W0045-00JP"</f>
        <v>2NA-W0045-00JP</v>
      </c>
      <c r="D13641" s="1" t="str">
        <f>"2NA-W0045-00JP"</f>
        <v>2NA-W0045-00JP</v>
      </c>
      <c r="E13641" s="1" t="s">
        <v>4579</v>
      </c>
      <c r="F13641" s="1">
        <v>2</v>
      </c>
      <c r="G13641" s="1">
        <v>1822</v>
      </c>
      <c r="H13641" s="1">
        <v>3644</v>
      </c>
      <c r="I13641" s="1">
        <v>0</v>
      </c>
      <c r="J13641" s="1">
        <v>2</v>
      </c>
      <c r="K13641" s="1">
        <v>0</v>
      </c>
    </row>
    <row r="13642" spans="1:11" x14ac:dyDescent="0.2">
      <c r="A13642" s="1" t="s">
        <v>3192</v>
      </c>
      <c r="B13642" s="1" t="s">
        <v>3231</v>
      </c>
      <c r="C13642" s="1" t="str">
        <f>"66298913772029"</f>
        <v>66298913772029</v>
      </c>
      <c r="D13642" s="1" t="str">
        <f>"LMP222"</f>
        <v>LMP222</v>
      </c>
      <c r="E13642" s="1" t="s">
        <v>4579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</row>
    <row r="13643" spans="1:11" x14ac:dyDescent="0.2">
      <c r="A13643" s="1" t="s">
        <v>3192</v>
      </c>
      <c r="B13643" s="1" t="s">
        <v>3232</v>
      </c>
      <c r="C13643" s="1" t="str">
        <f>"66298913815242"</f>
        <v>66298913815242</v>
      </c>
      <c r="D13643" s="1" t="str">
        <f>"LMP224"</f>
        <v>LMP224</v>
      </c>
      <c r="E13643" s="1" t="s">
        <v>4579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</row>
    <row r="13644" spans="1:11" x14ac:dyDescent="0.2">
      <c r="A13644" s="1" t="s">
        <v>3192</v>
      </c>
      <c r="B13644" s="1" t="s">
        <v>3233</v>
      </c>
      <c r="C13644" s="1" t="str">
        <f>"66298913856941"</f>
        <v>66298913856941</v>
      </c>
      <c r="D13644" s="1" t="str">
        <f>"LMP226"</f>
        <v>LMP226</v>
      </c>
      <c r="E13644" s="1" t="s">
        <v>4579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</row>
    <row r="13645" spans="1:11" ht="30" x14ac:dyDescent="0.2">
      <c r="A13645" s="1" t="s">
        <v>3192</v>
      </c>
      <c r="B13645" s="1" t="s">
        <v>3234</v>
      </c>
      <c r="C13645" s="1" t="str">
        <f>"66298913897668"</f>
        <v>66298913897668</v>
      </c>
      <c r="D13645" s="1" t="str">
        <f>"400281"</f>
        <v>400281</v>
      </c>
      <c r="E13645" s="1" t="s">
        <v>4579</v>
      </c>
      <c r="F13645" s="1">
        <v>1</v>
      </c>
      <c r="G13645" s="1">
        <v>934</v>
      </c>
      <c r="H13645" s="1">
        <v>934</v>
      </c>
      <c r="I13645" s="1">
        <v>0</v>
      </c>
      <c r="J13645" s="1">
        <v>1</v>
      </c>
      <c r="K13645" s="1">
        <v>0</v>
      </c>
    </row>
    <row r="13646" spans="1:11" x14ac:dyDescent="0.2">
      <c r="A13646" s="1" t="s">
        <v>3192</v>
      </c>
      <c r="B13646" s="1" t="s">
        <v>3235</v>
      </c>
      <c r="C13646" s="1" t="str">
        <f>"1769"</f>
        <v>1769</v>
      </c>
      <c r="D13646" s="1" t="str">
        <f>"1769"</f>
        <v>1769</v>
      </c>
      <c r="E13646" s="1" t="s">
        <v>4579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</row>
    <row r="13647" spans="1:11" ht="30" x14ac:dyDescent="0.2">
      <c r="A13647" s="1" t="s">
        <v>3192</v>
      </c>
      <c r="B13647" s="1" t="s">
        <v>3236</v>
      </c>
      <c r="C13647" s="1" t="str">
        <f>"66298913980534"</f>
        <v>66298913980534</v>
      </c>
      <c r="D13647" s="1" t="str">
        <f>"400282"</f>
        <v>400282</v>
      </c>
      <c r="E13647" s="1" t="s">
        <v>4579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</row>
    <row r="13648" spans="1:11" ht="30" x14ac:dyDescent="0.2">
      <c r="A13648" s="1" t="s">
        <v>3192</v>
      </c>
      <c r="B13648" s="1" t="s">
        <v>3237</v>
      </c>
      <c r="C13648" s="1" t="str">
        <f>"66298913937193"</f>
        <v>66298913937193</v>
      </c>
      <c r="D13648" s="1" t="str">
        <f>"69100-15810JP"</f>
        <v>69100-15810JP</v>
      </c>
      <c r="E13648" s="1" t="s">
        <v>4579</v>
      </c>
      <c r="F13648" s="1">
        <v>3</v>
      </c>
      <c r="G13648" s="1">
        <v>1897</v>
      </c>
      <c r="H13648" s="1">
        <v>5691</v>
      </c>
      <c r="I13648" s="1">
        <v>0</v>
      </c>
      <c r="J13648" s="1">
        <v>3</v>
      </c>
      <c r="K13648" s="1">
        <v>0</v>
      </c>
    </row>
    <row r="13649" spans="1:11" ht="30" x14ac:dyDescent="0.2">
      <c r="A13649" s="1" t="s">
        <v>3192</v>
      </c>
      <c r="B13649" s="1" t="s">
        <v>3237</v>
      </c>
      <c r="C13649" s="1" t="str">
        <f>"11412"</f>
        <v>11412</v>
      </c>
      <c r="D13649" s="1" t="str">
        <f>"11412"</f>
        <v>11412</v>
      </c>
      <c r="E13649" s="1" t="s">
        <v>4579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</row>
    <row r="13650" spans="1:11" x14ac:dyDescent="0.2">
      <c r="A13650" s="1" t="s">
        <v>3192</v>
      </c>
      <c r="B13650" s="1" t="s">
        <v>3238</v>
      </c>
      <c r="C13650" s="1" t="str">
        <f>"66298914020025"</f>
        <v>66298914020025</v>
      </c>
      <c r="D13650" s="1" t="str">
        <f>"LMP234"</f>
        <v>LMP234</v>
      </c>
      <c r="E13650" s="1" t="s">
        <v>4579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</row>
    <row r="13651" spans="1:11" ht="30" x14ac:dyDescent="0.2">
      <c r="A13651" s="1" t="s">
        <v>3192</v>
      </c>
      <c r="B13651" s="1" t="s">
        <v>3239</v>
      </c>
      <c r="C13651" s="1" t="str">
        <f>"43082-1128-CM"</f>
        <v>43082-1128-CM</v>
      </c>
      <c r="D13651" s="1" t="str">
        <f>"43082-1128-CM"</f>
        <v>43082-1128-CM</v>
      </c>
      <c r="E13651" s="1" t="s">
        <v>4579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</row>
    <row r="13652" spans="1:11" ht="30" x14ac:dyDescent="0.2">
      <c r="A13652" s="1" t="s">
        <v>3192</v>
      </c>
      <c r="B13652" s="1" t="s">
        <v>3240</v>
      </c>
      <c r="C13652" s="1" t="str">
        <f>"66298914137614"</f>
        <v>66298914137614</v>
      </c>
      <c r="D13652" s="1" t="str">
        <f>"400283"</f>
        <v>400283</v>
      </c>
      <c r="E13652" s="1" t="s">
        <v>4579</v>
      </c>
      <c r="F13652" s="1">
        <v>7</v>
      </c>
      <c r="G13652" s="1">
        <v>689</v>
      </c>
      <c r="H13652" s="1">
        <v>4823</v>
      </c>
      <c r="I13652" s="1">
        <v>0</v>
      </c>
      <c r="J13652" s="1">
        <v>7</v>
      </c>
      <c r="K13652" s="1">
        <v>0</v>
      </c>
    </row>
    <row r="13653" spans="1:11" x14ac:dyDescent="0.2">
      <c r="A13653" s="1" t="s">
        <v>3192</v>
      </c>
      <c r="B13653" s="1" t="s">
        <v>3241</v>
      </c>
      <c r="C13653" s="1" t="str">
        <f>"66298914098998"</f>
        <v>66298914098998</v>
      </c>
      <c r="D13653" s="1" t="str">
        <f>"FA197HH"</f>
        <v>FA197HH</v>
      </c>
      <c r="E13653" s="1" t="s">
        <v>4579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</row>
    <row r="13654" spans="1:11" x14ac:dyDescent="0.2">
      <c r="A13654" s="1" t="s">
        <v>3192</v>
      </c>
      <c r="B13654" s="1" t="s">
        <v>3242</v>
      </c>
      <c r="C13654" s="1" t="str">
        <f>"66298914057523"</f>
        <v>66298914057523</v>
      </c>
      <c r="D13654" s="1" t="str">
        <f>"MN146"</f>
        <v>MN146</v>
      </c>
      <c r="E13654" s="1" t="s">
        <v>4579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</row>
    <row r="13655" spans="1:11" x14ac:dyDescent="0.2">
      <c r="A13655" s="1" t="s">
        <v>3192</v>
      </c>
      <c r="B13655" s="1" t="s">
        <v>3243</v>
      </c>
      <c r="C13655" s="1" t="str">
        <f>"66298914177319"</f>
        <v>66298914177319</v>
      </c>
      <c r="D13655" s="1" t="str">
        <f>"VD248KEVLA"</f>
        <v>VD248KEVLA</v>
      </c>
      <c r="E13655" s="1" t="s">
        <v>4579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</row>
    <row r="13656" spans="1:11" x14ac:dyDescent="0.2">
      <c r="A13656" s="1" t="s">
        <v>3192</v>
      </c>
      <c r="B13656" s="1" t="s">
        <v>3244</v>
      </c>
      <c r="C13656" s="1" t="str">
        <f>"66298914216389"</f>
        <v>66298914216389</v>
      </c>
      <c r="D13656" s="1" t="str">
        <f>"FA174HH"</f>
        <v>FA174HH</v>
      </c>
      <c r="E13656" s="1" t="s">
        <v>4579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</row>
    <row r="13657" spans="1:11" x14ac:dyDescent="0.2">
      <c r="A13657" s="1" t="s">
        <v>3192</v>
      </c>
      <c r="B13657" s="1" t="s">
        <v>3245</v>
      </c>
      <c r="C13657" s="1" t="str">
        <f>"66298914254445"</f>
        <v>66298914254445</v>
      </c>
      <c r="D13657" s="1" t="str">
        <f>"400284"</f>
        <v>400284</v>
      </c>
      <c r="E13657" s="1" t="s">
        <v>4579</v>
      </c>
      <c r="F13657" s="1">
        <v>1</v>
      </c>
      <c r="G13657" s="1">
        <v>882</v>
      </c>
      <c r="H13657" s="1">
        <v>882</v>
      </c>
      <c r="I13657" s="1">
        <v>0</v>
      </c>
      <c r="J13657" s="1">
        <v>1</v>
      </c>
      <c r="K13657" s="1">
        <v>0</v>
      </c>
    </row>
    <row r="13658" spans="1:11" ht="30" x14ac:dyDescent="0.2">
      <c r="A13658" s="1" t="s">
        <v>3192</v>
      </c>
      <c r="B13658" s="1" t="s">
        <v>3246</v>
      </c>
      <c r="C13658" s="1" t="str">
        <f>"LMP257SR"</f>
        <v>LMP257SR</v>
      </c>
      <c r="D13658" s="1" t="str">
        <f>"LMP257SR"</f>
        <v>LMP257SR</v>
      </c>
      <c r="E13658" s="1" t="s">
        <v>4579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</row>
    <row r="13659" spans="1:11" x14ac:dyDescent="0.2">
      <c r="A13659" s="1" t="s">
        <v>3192</v>
      </c>
      <c r="B13659" s="1" t="s">
        <v>3247</v>
      </c>
      <c r="C13659" s="1" t="str">
        <f>"66298914295058"</f>
        <v>66298914295058</v>
      </c>
      <c r="D13659" s="1" t="str">
        <f>"MBP-980"</f>
        <v>MBP-980</v>
      </c>
      <c r="E13659" s="1" t="s">
        <v>4579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</row>
    <row r="13660" spans="1:11" ht="30" x14ac:dyDescent="0.2">
      <c r="A13660" s="1" t="s">
        <v>3192</v>
      </c>
      <c r="B13660" s="1" t="s">
        <v>3248</v>
      </c>
      <c r="C13660" s="1" t="str">
        <f>"11414"</f>
        <v>11414</v>
      </c>
      <c r="D13660" s="1" t="str">
        <f>"11414"</f>
        <v>11414</v>
      </c>
      <c r="E13660" s="1" t="s">
        <v>4579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</row>
    <row r="13661" spans="1:11" ht="30" x14ac:dyDescent="0.2">
      <c r="A13661" s="1" t="s">
        <v>3192</v>
      </c>
      <c r="B13661" s="1" t="s">
        <v>3249</v>
      </c>
      <c r="C13661" s="1" t="str">
        <f>"66298914337504"</f>
        <v>66298914337504</v>
      </c>
      <c r="D13661" s="1" t="str">
        <f>"DJ-1510-71"</f>
        <v>DJ-1510-71</v>
      </c>
      <c r="E13661" s="1" t="s">
        <v>4579</v>
      </c>
      <c r="F13661" s="1">
        <v>2</v>
      </c>
      <c r="G13661" s="1">
        <v>1950</v>
      </c>
      <c r="H13661" s="1">
        <v>3900</v>
      </c>
      <c r="I13661" s="1">
        <v>0</v>
      </c>
      <c r="J13661" s="1">
        <v>2</v>
      </c>
      <c r="K13661" s="1">
        <v>0</v>
      </c>
    </row>
    <row r="13662" spans="1:11" ht="30" x14ac:dyDescent="0.2">
      <c r="A13662" s="1" t="s">
        <v>3192</v>
      </c>
      <c r="B13662" s="1" t="s">
        <v>3249</v>
      </c>
      <c r="C13662" s="1" t="str">
        <f>"66298914345463"</f>
        <v>66298914345463</v>
      </c>
      <c r="D13662" s="1" t="str">
        <f>"DJ-1510-71CM"</f>
        <v>DJ-1510-71CM</v>
      </c>
      <c r="E13662" s="1" t="s">
        <v>4579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</row>
    <row r="13663" spans="1:11" ht="30" x14ac:dyDescent="0.2">
      <c r="A13663" s="1" t="s">
        <v>3192</v>
      </c>
      <c r="B13663" s="1" t="s">
        <v>3249</v>
      </c>
      <c r="C13663" s="1" t="str">
        <f>"U003"</f>
        <v>U003</v>
      </c>
      <c r="D13663" s="1" t="str">
        <f>"U003"</f>
        <v>U003</v>
      </c>
      <c r="E13663" s="1" t="s">
        <v>4579</v>
      </c>
      <c r="F13663" s="1">
        <v>1</v>
      </c>
      <c r="G13663" s="1">
        <v>1190</v>
      </c>
      <c r="H13663" s="1">
        <v>1190</v>
      </c>
      <c r="I13663" s="1">
        <v>0</v>
      </c>
      <c r="J13663" s="1">
        <v>1</v>
      </c>
      <c r="K13663" s="1">
        <v>0</v>
      </c>
    </row>
    <row r="13664" spans="1:11" x14ac:dyDescent="0.2">
      <c r="A13664" s="1" t="s">
        <v>3192</v>
      </c>
      <c r="B13664" s="1" t="s">
        <v>3250</v>
      </c>
      <c r="C13664" s="1" t="str">
        <f>"LMP274SR"</f>
        <v>LMP274SR</v>
      </c>
      <c r="D13664" s="1" t="str">
        <f>"LMP274SR"</f>
        <v>LMP274SR</v>
      </c>
      <c r="E13664" s="1" t="s">
        <v>4579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</row>
    <row r="13665" spans="1:11" x14ac:dyDescent="0.2">
      <c r="A13665" s="1" t="s">
        <v>3192</v>
      </c>
      <c r="B13665" s="1" t="s">
        <v>3251</v>
      </c>
      <c r="C13665" s="1" t="str">
        <f>"11424"</f>
        <v>11424</v>
      </c>
      <c r="D13665" s="1" t="str">
        <f>"11424"</f>
        <v>11424</v>
      </c>
      <c r="E13665" s="1" t="s">
        <v>4579</v>
      </c>
      <c r="F13665" s="1">
        <v>1</v>
      </c>
      <c r="G13665" s="1">
        <v>4664</v>
      </c>
      <c r="H13665" s="1">
        <v>4664</v>
      </c>
      <c r="I13665" s="1">
        <v>0</v>
      </c>
      <c r="J13665" s="1">
        <v>1</v>
      </c>
      <c r="K13665" s="1">
        <v>0</v>
      </c>
    </row>
    <row r="13666" spans="1:11" x14ac:dyDescent="0.2">
      <c r="A13666" s="1" t="s">
        <v>3192</v>
      </c>
      <c r="B13666" s="1" t="s">
        <v>3252</v>
      </c>
      <c r="C13666" s="1" t="str">
        <f>"66298914399322"</f>
        <v>66298914399322</v>
      </c>
      <c r="D13666" s="1" t="str">
        <f>"400286"</f>
        <v>400286</v>
      </c>
      <c r="E13666" s="1" t="s">
        <v>4579</v>
      </c>
      <c r="F13666" s="1">
        <v>2</v>
      </c>
      <c r="G13666" s="1">
        <v>1153</v>
      </c>
      <c r="H13666" s="1">
        <v>2306</v>
      </c>
      <c r="I13666" s="1">
        <v>0</v>
      </c>
      <c r="J13666" s="1">
        <v>2</v>
      </c>
      <c r="K13666" s="1">
        <v>0</v>
      </c>
    </row>
    <row r="13667" spans="1:11" x14ac:dyDescent="0.2">
      <c r="A13667" s="1" t="s">
        <v>3192</v>
      </c>
      <c r="B13667" s="1" t="s">
        <v>3253</v>
      </c>
      <c r="C13667" s="1" t="str">
        <f>"LMP275SR"</f>
        <v>LMP275SR</v>
      </c>
      <c r="D13667" s="1" t="str">
        <f>"LMP275SR"</f>
        <v>LMP275SR</v>
      </c>
      <c r="E13667" s="1" t="s">
        <v>4579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</row>
    <row r="13668" spans="1:11" ht="30" x14ac:dyDescent="0.2">
      <c r="A13668" s="1" t="s">
        <v>3192</v>
      </c>
      <c r="B13668" s="1" t="s">
        <v>3254</v>
      </c>
      <c r="C13668" s="1" t="str">
        <f>"11423"</f>
        <v>11423</v>
      </c>
      <c r="D13668" s="1" t="str">
        <f>"11423"</f>
        <v>11423</v>
      </c>
      <c r="E13668" s="1" t="s">
        <v>4579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</row>
    <row r="13669" spans="1:11" ht="30" x14ac:dyDescent="0.2">
      <c r="A13669" s="1" t="s">
        <v>3192</v>
      </c>
      <c r="B13669" s="1" t="s">
        <v>3255</v>
      </c>
      <c r="C13669" s="1" t="str">
        <f>"66298914439250"</f>
        <v>66298914439250</v>
      </c>
      <c r="D13669" s="1" t="str">
        <f>"400287"</f>
        <v>400287</v>
      </c>
      <c r="E13669" s="1" t="s">
        <v>4579</v>
      </c>
      <c r="F13669" s="1">
        <v>4</v>
      </c>
      <c r="G13669" s="1">
        <v>681</v>
      </c>
      <c r="H13669" s="1">
        <v>2724</v>
      </c>
      <c r="I13669" s="1">
        <v>0</v>
      </c>
      <c r="J13669" s="1">
        <v>4</v>
      </c>
      <c r="K13669" s="1">
        <v>0</v>
      </c>
    </row>
    <row r="13670" spans="1:11" x14ac:dyDescent="0.2">
      <c r="A13670" s="1" t="s">
        <v>3192</v>
      </c>
      <c r="B13670" s="1" t="s">
        <v>3256</v>
      </c>
      <c r="C13670" s="1" t="str">
        <f>"HDR160"</f>
        <v>HDR160</v>
      </c>
      <c r="D13670" s="1" t="str">
        <f>"HDR160"</f>
        <v>HDR160</v>
      </c>
      <c r="E13670" s="1" t="s">
        <v>4579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</row>
    <row r="13671" spans="1:11" x14ac:dyDescent="0.2">
      <c r="A13671" s="1" t="s">
        <v>3192</v>
      </c>
      <c r="B13671" s="1" t="s">
        <v>3257</v>
      </c>
      <c r="C13671" s="1" t="str">
        <f>"66298914476418"</f>
        <v>66298914476418</v>
      </c>
      <c r="D13671" s="1" t="str">
        <f>"FA-188"</f>
        <v>FA-188</v>
      </c>
      <c r="E13671" s="1" t="s">
        <v>4579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</row>
    <row r="13672" spans="1:11" x14ac:dyDescent="0.2">
      <c r="A13672" s="1" t="s">
        <v>3192</v>
      </c>
      <c r="B13672" s="1" t="s">
        <v>3258</v>
      </c>
      <c r="C13672" s="1" t="str">
        <f>"LMP287SR"</f>
        <v>LMP287SR</v>
      </c>
      <c r="D13672" s="1" t="str">
        <f>"LMP287SR"</f>
        <v>LMP287SR</v>
      </c>
      <c r="E13672" s="1" t="s">
        <v>4579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</row>
    <row r="13673" spans="1:11" x14ac:dyDescent="0.2">
      <c r="A13673" s="1" t="s">
        <v>3192</v>
      </c>
      <c r="B13673" s="1" t="s">
        <v>3259</v>
      </c>
      <c r="C13673" s="1" t="str">
        <f>"66298914516878"</f>
        <v>66298914516878</v>
      </c>
      <c r="D13673" s="1" t="str">
        <f>"4FU-W0045-00JP"</f>
        <v>4FU-W0045-00JP</v>
      </c>
      <c r="E13673" s="1" t="s">
        <v>4579</v>
      </c>
      <c r="F13673" s="1">
        <v>1</v>
      </c>
      <c r="G13673" s="1">
        <v>1853</v>
      </c>
      <c r="H13673" s="1">
        <v>1853</v>
      </c>
      <c r="I13673" s="1">
        <v>0</v>
      </c>
      <c r="J13673" s="1">
        <v>1</v>
      </c>
      <c r="K13673" s="1">
        <v>0</v>
      </c>
    </row>
    <row r="13674" spans="1:11" x14ac:dyDescent="0.2">
      <c r="A13674" s="1" t="s">
        <v>3192</v>
      </c>
      <c r="B13674" s="1" t="s">
        <v>3260</v>
      </c>
      <c r="C13674" s="1" t="str">
        <f>"66298914561445"</f>
        <v>66298914561445</v>
      </c>
      <c r="D13674" s="1" t="str">
        <f>"400288"</f>
        <v>400288</v>
      </c>
      <c r="E13674" s="1" t="s">
        <v>4579</v>
      </c>
      <c r="F13674" s="1">
        <v>1</v>
      </c>
      <c r="G13674" s="1">
        <v>821</v>
      </c>
      <c r="H13674" s="1">
        <v>821</v>
      </c>
      <c r="I13674" s="1">
        <v>0</v>
      </c>
      <c r="J13674" s="1">
        <v>1</v>
      </c>
      <c r="K13674" s="1">
        <v>0</v>
      </c>
    </row>
    <row r="13675" spans="1:11" ht="30" x14ac:dyDescent="0.2">
      <c r="A13675" s="1" t="s">
        <v>3192</v>
      </c>
      <c r="B13675" s="1" t="s">
        <v>3261</v>
      </c>
      <c r="C13675" s="1" t="str">
        <f>"66298914608534"</f>
        <v>66298914608534</v>
      </c>
      <c r="D13675" s="1" t="str">
        <f>"P10037"</f>
        <v>P10037</v>
      </c>
      <c r="E13675" s="1" t="s">
        <v>4579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</row>
    <row r="13676" spans="1:11" x14ac:dyDescent="0.2">
      <c r="A13676" s="1" t="s">
        <v>3192</v>
      </c>
      <c r="B13676" s="1" t="s">
        <v>3262</v>
      </c>
      <c r="C13676" s="1" t="str">
        <f>"66298914656942"</f>
        <v>66298914656942</v>
      </c>
      <c r="D13676" s="1" t="str">
        <f>"U035"</f>
        <v>U035</v>
      </c>
      <c r="E13676" s="1" t="s">
        <v>4579</v>
      </c>
      <c r="F13676" s="1">
        <v>2</v>
      </c>
      <c r="G13676" s="1">
        <v>1030</v>
      </c>
      <c r="H13676" s="1">
        <v>2060</v>
      </c>
      <c r="I13676" s="1">
        <v>0</v>
      </c>
      <c r="J13676" s="1">
        <v>2</v>
      </c>
      <c r="K13676" s="1">
        <v>0</v>
      </c>
    </row>
    <row r="13677" spans="1:11" x14ac:dyDescent="0.2">
      <c r="A13677" s="1" t="s">
        <v>3192</v>
      </c>
      <c r="B13677" s="1" t="s">
        <v>3263</v>
      </c>
      <c r="C13677" s="1" t="str">
        <f>"66298914700103"</f>
        <v>66298914700103</v>
      </c>
      <c r="D13677" s="1" t="str">
        <f>"82096"</f>
        <v>82096</v>
      </c>
      <c r="E13677" s="1" t="s">
        <v>4579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</row>
    <row r="13678" spans="1:11" x14ac:dyDescent="0.2">
      <c r="A13678" s="1" t="s">
        <v>3192</v>
      </c>
      <c r="B13678" s="1" t="s">
        <v>3264</v>
      </c>
      <c r="C13678" s="1" t="str">
        <f>"LMP300SF"</f>
        <v>LMP300SF</v>
      </c>
      <c r="D13678" s="1" t="str">
        <f>"LMP300SF"</f>
        <v>LMP300SF</v>
      </c>
      <c r="E13678" s="1" t="s">
        <v>4579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</row>
    <row r="13679" spans="1:11" x14ac:dyDescent="0.2">
      <c r="A13679" s="1" t="s">
        <v>3192</v>
      </c>
      <c r="B13679" s="1" t="s">
        <v>3265</v>
      </c>
      <c r="C13679" s="1" t="str">
        <f>"66298914746730"</f>
        <v>66298914746730</v>
      </c>
      <c r="D13679" s="1" t="str">
        <f>"400289"</f>
        <v>400289</v>
      </c>
      <c r="E13679" s="1" t="s">
        <v>4579</v>
      </c>
      <c r="F13679" s="1">
        <v>2</v>
      </c>
      <c r="G13679" s="1">
        <v>597</v>
      </c>
      <c r="H13679" s="1">
        <v>1194</v>
      </c>
      <c r="I13679" s="1">
        <v>0</v>
      </c>
      <c r="J13679" s="1">
        <v>2</v>
      </c>
      <c r="K13679" s="1">
        <v>0</v>
      </c>
    </row>
    <row r="13680" spans="1:11" x14ac:dyDescent="0.2">
      <c r="A13680" s="1" t="s">
        <v>3192</v>
      </c>
      <c r="B13680" s="1" t="s">
        <v>3266</v>
      </c>
      <c r="C13680" s="1" t="str">
        <f>"66298914791179"</f>
        <v>66298914791179</v>
      </c>
      <c r="D13680" s="1" t="str">
        <f>"59100-33880JP"</f>
        <v>59100-33880JP</v>
      </c>
      <c r="E13680" s="1" t="s">
        <v>4579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</row>
    <row r="13681" spans="1:11" x14ac:dyDescent="0.2">
      <c r="A13681" s="1" t="s">
        <v>3192</v>
      </c>
      <c r="B13681" s="1" t="s">
        <v>3267</v>
      </c>
      <c r="C13681" s="1" t="str">
        <f>"66298914836465"</f>
        <v>66298914836465</v>
      </c>
      <c r="D13681" s="1" t="str">
        <f>"FA229HH"</f>
        <v>FA229HH</v>
      </c>
      <c r="E13681" s="1" t="s">
        <v>4579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</row>
    <row r="13682" spans="1:11" x14ac:dyDescent="0.2">
      <c r="A13682" s="1" t="s">
        <v>3192</v>
      </c>
      <c r="B13682" s="1" t="s">
        <v>3268</v>
      </c>
      <c r="C13682" s="1" t="str">
        <f>"66298914879951"</f>
        <v>66298914879951</v>
      </c>
      <c r="D13682" s="1" t="str">
        <f>"45105-OSC-9000JP"</f>
        <v>45105-OSC-9000JP</v>
      </c>
      <c r="E13682" s="1" t="s">
        <v>4579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</row>
    <row r="13683" spans="1:11" x14ac:dyDescent="0.2">
      <c r="A13683" s="1" t="s">
        <v>3192</v>
      </c>
      <c r="B13683" s="1" t="s">
        <v>3269</v>
      </c>
      <c r="C13683" s="1" t="str">
        <f>"66298914922159"</f>
        <v>66298914922159</v>
      </c>
      <c r="D13683" s="1" t="str">
        <f>"LMP316"</f>
        <v>LMP316</v>
      </c>
      <c r="E13683" s="1" t="s">
        <v>4579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</row>
    <row r="13684" spans="1:11" x14ac:dyDescent="0.2">
      <c r="A13684" s="1" t="s">
        <v>3192</v>
      </c>
      <c r="B13684" s="1" t="s">
        <v>3270</v>
      </c>
      <c r="C13684" s="1" t="str">
        <f>"66298914966416"</f>
        <v>66298914966416</v>
      </c>
      <c r="D13684" s="1" t="str">
        <f>"PF-U011"</f>
        <v>PF-U011</v>
      </c>
      <c r="E13684" s="1" t="s">
        <v>4579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</row>
    <row r="13685" spans="1:11" x14ac:dyDescent="0.2">
      <c r="A13685" s="1" t="s">
        <v>3192</v>
      </c>
      <c r="B13685" s="1" t="s">
        <v>3271</v>
      </c>
      <c r="C13685" s="1" t="str">
        <f>"66298915011486"</f>
        <v>66298915011486</v>
      </c>
      <c r="D13685" s="1" t="str">
        <f>"4JG-W0045-00-CM"</f>
        <v>4JG-W0045-00-CM</v>
      </c>
      <c r="E13685" s="1" t="s">
        <v>4579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</row>
    <row r="13686" spans="1:11" ht="30" x14ac:dyDescent="0.2">
      <c r="A13686" s="1" t="s">
        <v>3192</v>
      </c>
      <c r="B13686" s="1" t="s">
        <v>3272</v>
      </c>
      <c r="C13686" s="1" t="str">
        <f>"66298915051887"</f>
        <v>66298915051887</v>
      </c>
      <c r="D13686" s="1" t="str">
        <f>"400290"</f>
        <v>400290</v>
      </c>
      <c r="E13686" s="1" t="s">
        <v>4579</v>
      </c>
      <c r="F13686" s="1">
        <v>3</v>
      </c>
      <c r="G13686" s="1">
        <v>806</v>
      </c>
      <c r="H13686" s="1">
        <v>2418</v>
      </c>
      <c r="I13686" s="1">
        <v>0</v>
      </c>
      <c r="J13686" s="1">
        <v>3</v>
      </c>
      <c r="K13686" s="1">
        <v>0</v>
      </c>
    </row>
    <row r="13687" spans="1:11" x14ac:dyDescent="0.2">
      <c r="A13687" s="1" t="s">
        <v>3192</v>
      </c>
      <c r="B13687" s="1" t="s">
        <v>3273</v>
      </c>
      <c r="C13687" s="1" t="str">
        <f>"66298915096959"</f>
        <v>66298915096959</v>
      </c>
      <c r="D13687" s="1" t="str">
        <f>"JL-1318-05"</f>
        <v>JL-1318-05</v>
      </c>
      <c r="E13687" s="1" t="s">
        <v>4579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</row>
    <row r="13688" spans="1:11" x14ac:dyDescent="0.2">
      <c r="A13688" s="1" t="s">
        <v>3192</v>
      </c>
      <c r="B13688" s="1" t="s">
        <v>3274</v>
      </c>
      <c r="C13688" s="1" t="str">
        <f>"66298915141568"</f>
        <v>66298915141568</v>
      </c>
      <c r="D13688" s="1" t="str">
        <f>"FA-294"</f>
        <v>FA-294</v>
      </c>
      <c r="E13688" s="1" t="s">
        <v>4579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</row>
    <row r="13689" spans="1:11" x14ac:dyDescent="0.2">
      <c r="A13689" s="1" t="s">
        <v>3192</v>
      </c>
      <c r="B13689" s="1" t="s">
        <v>3275</v>
      </c>
      <c r="C13689" s="1" t="str">
        <f>"66298915181812"</f>
        <v>66298915181812</v>
      </c>
      <c r="D13689" s="1" t="str">
        <f>"P10057"</f>
        <v>P10057</v>
      </c>
      <c r="E13689" s="1" t="s">
        <v>4579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</row>
    <row r="13690" spans="1:11" x14ac:dyDescent="0.2">
      <c r="A13690" s="1" t="s">
        <v>3192</v>
      </c>
      <c r="B13690" s="1" t="s">
        <v>3276</v>
      </c>
      <c r="C13690" s="1" t="str">
        <f>"66298915269984"</f>
        <v>66298915269984</v>
      </c>
      <c r="D13690" s="1" t="str">
        <f>"U039"</f>
        <v>U039</v>
      </c>
      <c r="E13690" s="1" t="s">
        <v>4579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</row>
    <row r="13691" spans="1:11" ht="30" x14ac:dyDescent="0.2">
      <c r="A13691" s="1" t="s">
        <v>3192</v>
      </c>
      <c r="B13691" s="1" t="s">
        <v>3277</v>
      </c>
      <c r="C13691" s="1" t="str">
        <f>"66298915226162"</f>
        <v>66298915226162</v>
      </c>
      <c r="D13691" s="1" t="str">
        <f>"400291"</f>
        <v>400291</v>
      </c>
      <c r="E13691" s="1" t="s">
        <v>4579</v>
      </c>
      <c r="F13691" s="1">
        <v>2</v>
      </c>
      <c r="G13691" s="1">
        <v>866</v>
      </c>
      <c r="H13691" s="1">
        <v>1732</v>
      </c>
      <c r="I13691" s="1">
        <v>0</v>
      </c>
      <c r="J13691" s="1">
        <v>2</v>
      </c>
      <c r="K13691" s="1">
        <v>0</v>
      </c>
    </row>
    <row r="13692" spans="1:11" x14ac:dyDescent="0.2">
      <c r="A13692" s="1" t="s">
        <v>3192</v>
      </c>
      <c r="B13692" s="1" t="s">
        <v>3278</v>
      </c>
      <c r="C13692" s="1" t="str">
        <f>"66298915314371"</f>
        <v>66298915314371</v>
      </c>
      <c r="D13692" s="1" t="str">
        <f>"LMP367OR"</f>
        <v>LMP367OR</v>
      </c>
      <c r="E13692" s="1" t="s">
        <v>4579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</row>
    <row r="13693" spans="1:11" x14ac:dyDescent="0.2">
      <c r="A13693" s="1" t="s">
        <v>3192</v>
      </c>
      <c r="B13693" s="1" t="s">
        <v>3279</v>
      </c>
      <c r="C13693" s="1" t="str">
        <f>"66298915356304"</f>
        <v>66298915356304</v>
      </c>
      <c r="D13693" s="1" t="str">
        <f>"LMP369SR"</f>
        <v>LMP369SR</v>
      </c>
      <c r="E13693" s="1" t="s">
        <v>4579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</row>
    <row r="13694" spans="1:11" x14ac:dyDescent="0.2">
      <c r="A13694" s="1" t="s">
        <v>3192</v>
      </c>
      <c r="B13694" s="1" t="s">
        <v>3280</v>
      </c>
      <c r="C13694" s="1" t="str">
        <f>"66298915398744"</f>
        <v>66298915398744</v>
      </c>
      <c r="D13694" s="1" t="str">
        <f>"LMP377OR"</f>
        <v>LMP377OR</v>
      </c>
      <c r="E13694" s="1" t="s">
        <v>4579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</row>
    <row r="13695" spans="1:11" x14ac:dyDescent="0.2">
      <c r="A13695" s="1" t="s">
        <v>3192</v>
      </c>
      <c r="B13695" s="1" t="s">
        <v>3281</v>
      </c>
      <c r="C13695" s="1" t="str">
        <f>"BR-DFP-40835"</f>
        <v>BR-DFP-40835</v>
      </c>
      <c r="D13695" s="1" t="str">
        <f>"BR-DFP-40835"</f>
        <v>BR-DFP-40835</v>
      </c>
      <c r="E13695" s="1" t="s">
        <v>4579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</row>
    <row r="13696" spans="1:11" x14ac:dyDescent="0.2">
      <c r="A13696" s="1" t="s">
        <v>3192</v>
      </c>
      <c r="B13696" s="1" t="s">
        <v>3282</v>
      </c>
      <c r="C13696" s="1" t="str">
        <f>"66298915445296"</f>
        <v>66298915445296</v>
      </c>
      <c r="D13696" s="1" t="str">
        <f>"P10050"</f>
        <v>P10050</v>
      </c>
      <c r="E13696" s="1" t="s">
        <v>4579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</row>
    <row r="13697" spans="1:11" x14ac:dyDescent="0.2">
      <c r="A13697" s="1" t="s">
        <v>3192</v>
      </c>
      <c r="B13697" s="1" t="s">
        <v>3283</v>
      </c>
      <c r="C13697" s="1" t="str">
        <f>"66298915483180"</f>
        <v>66298915483180</v>
      </c>
      <c r="D13697" s="1" t="str">
        <f>"400292"</f>
        <v>400292</v>
      </c>
      <c r="E13697" s="1" t="s">
        <v>4579</v>
      </c>
      <c r="F13697" s="1">
        <v>5</v>
      </c>
      <c r="G13697" s="1">
        <v>1059</v>
      </c>
      <c r="H13697" s="1">
        <v>5295</v>
      </c>
      <c r="I13697" s="1">
        <v>0</v>
      </c>
      <c r="J13697" s="1">
        <v>5</v>
      </c>
      <c r="K13697" s="1">
        <v>0</v>
      </c>
    </row>
    <row r="13698" spans="1:11" x14ac:dyDescent="0.2">
      <c r="A13698" s="1" t="s">
        <v>3192</v>
      </c>
      <c r="B13698" s="1" t="s">
        <v>3284</v>
      </c>
      <c r="C13698" s="1" t="str">
        <f>"66298915524548"</f>
        <v>66298915524548</v>
      </c>
      <c r="D13698" s="1" t="str">
        <f>"82416"</f>
        <v>82416</v>
      </c>
      <c r="E13698" s="1" t="s">
        <v>4579</v>
      </c>
      <c r="F13698" s="1">
        <v>2</v>
      </c>
      <c r="G13698" s="1">
        <v>1015</v>
      </c>
      <c r="H13698" s="1">
        <v>2030</v>
      </c>
      <c r="I13698" s="1">
        <v>0</v>
      </c>
      <c r="J13698" s="1">
        <v>2</v>
      </c>
      <c r="K13698" s="1">
        <v>0</v>
      </c>
    </row>
    <row r="13699" spans="1:11" x14ac:dyDescent="0.2">
      <c r="A13699" s="1" t="s">
        <v>3192</v>
      </c>
      <c r="B13699" s="1" t="s">
        <v>3285</v>
      </c>
      <c r="C13699" s="1" t="str">
        <f>"66298915568509"</f>
        <v>66298915568509</v>
      </c>
      <c r="D13699" s="1" t="str">
        <f>"P10028"</f>
        <v>P10028</v>
      </c>
      <c r="E13699" s="1" t="s">
        <v>4579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</row>
    <row r="13700" spans="1:11" x14ac:dyDescent="0.2">
      <c r="A13700" s="1" t="s">
        <v>3192</v>
      </c>
      <c r="B13700" s="1" t="s">
        <v>3286</v>
      </c>
      <c r="C13700" s="1" t="str">
        <f>"66298915608224"</f>
        <v>66298915608224</v>
      </c>
      <c r="D13700" s="1" t="str">
        <f>"LMP396"</f>
        <v>LMP396</v>
      </c>
      <c r="E13700" s="1" t="s">
        <v>4579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</row>
    <row r="13701" spans="1:11" ht="30" x14ac:dyDescent="0.2">
      <c r="A13701" s="1" t="s">
        <v>3192</v>
      </c>
      <c r="B13701" s="1" t="s">
        <v>3287</v>
      </c>
      <c r="C13701" s="1" t="str">
        <f>"66298915648409"</f>
        <v>66298915648409</v>
      </c>
      <c r="D13701" s="1" t="str">
        <f>"29173-000W-0001"</f>
        <v>29173-000W-0001</v>
      </c>
      <c r="E13701" s="1" t="s">
        <v>4579</v>
      </c>
      <c r="F13701" s="1">
        <v>2</v>
      </c>
      <c r="G13701" s="1">
        <v>1634</v>
      </c>
      <c r="H13701" s="1">
        <v>3268</v>
      </c>
      <c r="I13701" s="1">
        <v>0</v>
      </c>
      <c r="J13701" s="1">
        <v>2</v>
      </c>
      <c r="K13701" s="1">
        <v>0</v>
      </c>
    </row>
    <row r="13702" spans="1:11" ht="30" x14ac:dyDescent="0.2">
      <c r="A13702" s="1" t="s">
        <v>3192</v>
      </c>
      <c r="B13702" s="1" t="s">
        <v>3288</v>
      </c>
      <c r="C13702" s="1" t="str">
        <f>"66298915686527"</f>
        <v>66298915686527</v>
      </c>
      <c r="D13702" s="1" t="str">
        <f>"P10047"</f>
        <v>P10047</v>
      </c>
      <c r="E13702" s="1" t="s">
        <v>4579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</row>
    <row r="13703" spans="1:11" x14ac:dyDescent="0.2">
      <c r="A13703" s="1" t="s">
        <v>3192</v>
      </c>
      <c r="B13703" s="1" t="s">
        <v>3289</v>
      </c>
      <c r="C13703" s="1" t="str">
        <f>"66298915730032"</f>
        <v>66298915730032</v>
      </c>
      <c r="D13703" s="1" t="str">
        <f>"VD170HCERAM"</f>
        <v>VD170HCERAM</v>
      </c>
      <c r="E13703" s="1" t="s">
        <v>4579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</row>
    <row r="13704" spans="1:11" x14ac:dyDescent="0.2">
      <c r="A13704" s="1" t="s">
        <v>3192</v>
      </c>
      <c r="B13704" s="1" t="s">
        <v>3290</v>
      </c>
      <c r="C13704" s="1" t="str">
        <f>"U002"</f>
        <v>U002</v>
      </c>
      <c r="D13704" s="1" t="str">
        <f>"U002"</f>
        <v>U002</v>
      </c>
      <c r="E13704" s="1" t="s">
        <v>4579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</row>
    <row r="13705" spans="1:11" x14ac:dyDescent="0.2">
      <c r="A13705" s="1" t="s">
        <v>3192</v>
      </c>
      <c r="B13705" s="1" t="s">
        <v>3291</v>
      </c>
      <c r="C13705" s="1" t="str">
        <f>"66298915766926"</f>
        <v>66298915766926</v>
      </c>
      <c r="D13705" s="1" t="str">
        <f>"400295"</f>
        <v>400295</v>
      </c>
      <c r="E13705" s="1" t="s">
        <v>4579</v>
      </c>
      <c r="F13705" s="1">
        <v>2</v>
      </c>
      <c r="G13705" s="1">
        <v>1032</v>
      </c>
      <c r="H13705" s="1">
        <v>2064</v>
      </c>
      <c r="I13705" s="1">
        <v>0</v>
      </c>
      <c r="J13705" s="1">
        <v>2</v>
      </c>
      <c r="K13705" s="1">
        <v>0</v>
      </c>
    </row>
    <row r="13706" spans="1:11" x14ac:dyDescent="0.2">
      <c r="A13706" s="1" t="s">
        <v>3192</v>
      </c>
      <c r="B13706" s="1" t="s">
        <v>3292</v>
      </c>
      <c r="C13706" s="1" t="str">
        <f>"66298915806674"</f>
        <v>66298915806674</v>
      </c>
      <c r="D13706" s="1" t="str">
        <f>"FA436HH"</f>
        <v>FA436HH</v>
      </c>
      <c r="E13706" s="1" t="s">
        <v>4579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</row>
    <row r="13707" spans="1:11" x14ac:dyDescent="0.2">
      <c r="A13707" s="1" t="s">
        <v>3192</v>
      </c>
      <c r="B13707" s="1" t="s">
        <v>3293</v>
      </c>
      <c r="C13707" s="1" t="str">
        <f>"66298915846194"</f>
        <v>66298915846194</v>
      </c>
      <c r="D13707" s="1" t="str">
        <f>"FA-447"</f>
        <v>FA-447</v>
      </c>
      <c r="E13707" s="1" t="s">
        <v>4579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</row>
    <row r="13708" spans="1:11" ht="30" x14ac:dyDescent="0.2">
      <c r="A13708" s="1" t="s">
        <v>3192</v>
      </c>
      <c r="B13708" s="1" t="s">
        <v>3294</v>
      </c>
      <c r="C13708" s="1" t="str">
        <f>"4C9-W0045-00-CM"</f>
        <v>4C9-W0045-00-CM</v>
      </c>
      <c r="D13708" s="1" t="str">
        <f>"4C9-W0045-00-CM"</f>
        <v>4C9-W0045-00-CM</v>
      </c>
      <c r="E13708" s="1" t="s">
        <v>4579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</row>
    <row r="13709" spans="1:11" ht="30" x14ac:dyDescent="0.2">
      <c r="A13709" s="1" t="s">
        <v>3192</v>
      </c>
      <c r="B13709" s="1" t="s">
        <v>3295</v>
      </c>
      <c r="C13709" s="1" t="str">
        <f>"4C9-W0045-00JP"</f>
        <v>4C9-W0045-00JP</v>
      </c>
      <c r="D13709" s="1" t="str">
        <f>"4C9-W0045-00JP"</f>
        <v>4C9-W0045-00JP</v>
      </c>
      <c r="E13709" s="1" t="s">
        <v>4579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</row>
    <row r="13710" spans="1:11" ht="30" x14ac:dyDescent="0.2">
      <c r="A13710" s="1" t="s">
        <v>3192</v>
      </c>
      <c r="B13710" s="1" t="s">
        <v>3296</v>
      </c>
      <c r="C13710" s="1" t="str">
        <f>"66298915936038"</f>
        <v>66298915936038</v>
      </c>
      <c r="D13710" s="1" t="str">
        <f>"400296"</f>
        <v>400296</v>
      </c>
      <c r="E13710" s="1" t="s">
        <v>4579</v>
      </c>
      <c r="F13710" s="1">
        <v>5</v>
      </c>
      <c r="G13710" s="1">
        <v>871</v>
      </c>
      <c r="H13710" s="1">
        <v>4355</v>
      </c>
      <c r="I13710" s="1">
        <v>0</v>
      </c>
      <c r="J13710" s="1">
        <v>5</v>
      </c>
      <c r="K13710" s="1">
        <v>0</v>
      </c>
    </row>
    <row r="13711" spans="1:11" ht="30" x14ac:dyDescent="0.2">
      <c r="A13711" s="1" t="s">
        <v>3192</v>
      </c>
      <c r="B13711" s="1" t="s">
        <v>3297</v>
      </c>
      <c r="C13711" s="1" t="str">
        <f>"U020"</f>
        <v>U020</v>
      </c>
      <c r="D13711" s="1" t="str">
        <f>"U020"</f>
        <v>U020</v>
      </c>
      <c r="E13711" s="1" t="s">
        <v>4579</v>
      </c>
      <c r="F13711" s="1">
        <v>1</v>
      </c>
      <c r="G13711" s="1">
        <v>1380</v>
      </c>
      <c r="H13711" s="1">
        <v>1380</v>
      </c>
      <c r="I13711" s="1">
        <v>0</v>
      </c>
      <c r="J13711" s="1">
        <v>1</v>
      </c>
      <c r="K13711" s="1">
        <v>0</v>
      </c>
    </row>
    <row r="13712" spans="1:11" x14ac:dyDescent="0.2">
      <c r="A13712" s="1" t="s">
        <v>3192</v>
      </c>
      <c r="B13712" s="1" t="s">
        <v>3298</v>
      </c>
      <c r="C13712" s="1" t="str">
        <f>"11417"</f>
        <v>11417</v>
      </c>
      <c r="D13712" s="1" t="str">
        <f>"11417"</f>
        <v>11417</v>
      </c>
      <c r="E13712" s="1" t="s">
        <v>4579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</row>
    <row r="13713" spans="1:11" x14ac:dyDescent="0.2">
      <c r="A13713" s="1" t="s">
        <v>3192</v>
      </c>
      <c r="B13713" s="1" t="s">
        <v>3299</v>
      </c>
      <c r="C13713" s="1" t="str">
        <f>"66298915981957"</f>
        <v>66298915981957</v>
      </c>
      <c r="D13713" s="1" t="str">
        <f>"LMP462SR"</f>
        <v>LMP462SR</v>
      </c>
      <c r="E13713" s="1" t="s">
        <v>4579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</row>
    <row r="13714" spans="1:11" x14ac:dyDescent="0.2">
      <c r="A13714" s="1" t="s">
        <v>3192</v>
      </c>
      <c r="B13714" s="1" t="s">
        <v>3300</v>
      </c>
      <c r="C13714" s="1" t="str">
        <f>"66298916029498"</f>
        <v>66298916029498</v>
      </c>
      <c r="D13714" s="1" t="str">
        <f>"17C-W0045-00JP"</f>
        <v>17C-W0045-00JP</v>
      </c>
      <c r="E13714" s="1" t="s">
        <v>4579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</row>
    <row r="13715" spans="1:11" x14ac:dyDescent="0.2">
      <c r="A13715" s="1" t="s">
        <v>3192</v>
      </c>
      <c r="B13715" s="1" t="s">
        <v>3301</v>
      </c>
      <c r="C13715" s="1" t="str">
        <f>"66298916073071"</f>
        <v>66298916073071</v>
      </c>
      <c r="D13715" s="1" t="str">
        <f>"5S9-W0045-00JP"</f>
        <v>5S9-W0045-00JP</v>
      </c>
      <c r="E13715" s="1" t="s">
        <v>4579</v>
      </c>
      <c r="F13715" s="1">
        <v>2</v>
      </c>
      <c r="G13715" s="1">
        <v>1772</v>
      </c>
      <c r="H13715" s="1">
        <v>3544</v>
      </c>
      <c r="I13715" s="1">
        <v>0</v>
      </c>
      <c r="J13715" s="1">
        <v>2</v>
      </c>
      <c r="K13715" s="1">
        <v>0</v>
      </c>
    </row>
    <row r="13716" spans="1:11" ht="30" x14ac:dyDescent="0.2">
      <c r="A13716" s="1" t="s">
        <v>3192</v>
      </c>
      <c r="B13716" s="1" t="s">
        <v>3302</v>
      </c>
      <c r="C13716" s="1" t="str">
        <f>"66298916174695"</f>
        <v>66298916174695</v>
      </c>
      <c r="D13716" s="1" t="str">
        <f>"FA606HH"</f>
        <v>FA606HH</v>
      </c>
      <c r="E13716" s="1" t="s">
        <v>4579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</row>
    <row r="13717" spans="1:11" ht="30" x14ac:dyDescent="0.2">
      <c r="A13717" s="1" t="s">
        <v>3192</v>
      </c>
      <c r="B13717" s="1" t="s">
        <v>3303</v>
      </c>
      <c r="C13717" s="1" t="str">
        <f>"66298916115251"</f>
        <v>66298916115251</v>
      </c>
      <c r="D13717" s="1" t="str">
        <f>"MBP-606HH"</f>
        <v>MBP-606HH</v>
      </c>
      <c r="E13717" s="1" t="s">
        <v>4579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</row>
    <row r="13718" spans="1:11" x14ac:dyDescent="0.2">
      <c r="A13718" s="1" t="s">
        <v>3192</v>
      </c>
      <c r="B13718" s="1" t="s">
        <v>3304</v>
      </c>
      <c r="C13718" s="1" t="str">
        <f>"LMP481SR"</f>
        <v>LMP481SR</v>
      </c>
      <c r="D13718" s="1" t="str">
        <f>"LMP481SR"</f>
        <v>LMP481SR</v>
      </c>
      <c r="E13718" s="1" t="s">
        <v>4579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</row>
    <row r="13719" spans="1:11" ht="30" x14ac:dyDescent="0.2">
      <c r="A13719" s="1" t="s">
        <v>3192</v>
      </c>
      <c r="B13719" s="1" t="s">
        <v>3305</v>
      </c>
      <c r="C13719" s="1" t="str">
        <f>"69100-04830-CM"</f>
        <v>69100-04830-CM</v>
      </c>
      <c r="D13719" s="1" t="str">
        <f>"69100-04830-CM"</f>
        <v>69100-04830-CM</v>
      </c>
      <c r="E13719" s="1" t="s">
        <v>4579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</row>
    <row r="13720" spans="1:11" x14ac:dyDescent="0.2">
      <c r="A13720" s="1" t="s">
        <v>3192</v>
      </c>
      <c r="B13720" s="1" t="s">
        <v>3306</v>
      </c>
      <c r="C13720" s="1" t="str">
        <f>"LMP500SF"</f>
        <v>LMP500SF</v>
      </c>
      <c r="D13720" s="1" t="str">
        <f>"LMP500SF"</f>
        <v>LMP500SF</v>
      </c>
      <c r="E13720" s="1" t="s">
        <v>4579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</row>
    <row r="13721" spans="1:11" x14ac:dyDescent="0.2">
      <c r="A13721" s="1" t="s">
        <v>3192</v>
      </c>
      <c r="B13721" s="1" t="s">
        <v>3307</v>
      </c>
      <c r="C13721" s="1" t="str">
        <f>"66298916226472"</f>
        <v>66298916226472</v>
      </c>
      <c r="D13721" s="1" t="str">
        <f>"FA630HH"</f>
        <v>FA630HH</v>
      </c>
      <c r="E13721" s="1" t="s">
        <v>4579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</row>
    <row r="13722" spans="1:11" x14ac:dyDescent="0.2">
      <c r="A13722" s="1" t="s">
        <v>3192</v>
      </c>
      <c r="B13722" s="1" t="s">
        <v>3308</v>
      </c>
      <c r="C13722" s="1" t="str">
        <f>"66298916279409"</f>
        <v>66298916279409</v>
      </c>
      <c r="D13722" s="1" t="str">
        <f>"59301-30810-000"</f>
        <v>59301-30810-000</v>
      </c>
      <c r="E13722" s="1" t="s">
        <v>4579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</row>
    <row r="13723" spans="1:11" ht="30" x14ac:dyDescent="0.2">
      <c r="A13723" s="1" t="s">
        <v>3192</v>
      </c>
      <c r="B13723" s="1" t="s">
        <v>3309</v>
      </c>
      <c r="C13723" s="1" t="str">
        <f>"66298916321472"</f>
        <v>66298916321472</v>
      </c>
      <c r="D13723" s="1" t="str">
        <f>"P10052"</f>
        <v>P10052</v>
      </c>
      <c r="E13723" s="1" t="s">
        <v>4579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</row>
    <row r="13724" spans="1:11" x14ac:dyDescent="0.2">
      <c r="A13724" s="1" t="s">
        <v>3192</v>
      </c>
      <c r="B13724" s="1" t="s">
        <v>3310</v>
      </c>
      <c r="C13724" s="1" t="str">
        <f>"66298916366391"</f>
        <v>66298916366391</v>
      </c>
      <c r="D13724" s="1" t="str">
        <f>"06455-KCC-841CM"</f>
        <v>06455-KCC-841CM</v>
      </c>
      <c r="E13724" s="1" t="s">
        <v>4579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</row>
    <row r="13725" spans="1:11" x14ac:dyDescent="0.2">
      <c r="A13725" s="1" t="s">
        <v>3192</v>
      </c>
      <c r="B13725" s="1" t="s">
        <v>3311</v>
      </c>
      <c r="C13725" s="1" t="str">
        <f>"59100-34880CM"</f>
        <v>59100-34880CM</v>
      </c>
      <c r="D13725" s="1" t="str">
        <f>"59100-34880CM"</f>
        <v>59100-34880CM</v>
      </c>
      <c r="E13725" s="1" t="s">
        <v>4579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</row>
    <row r="13726" spans="1:11" x14ac:dyDescent="0.2">
      <c r="A13726" s="1" t="s">
        <v>3192</v>
      </c>
      <c r="B13726" s="1" t="s">
        <v>3311</v>
      </c>
      <c r="C13726" s="1" t="str">
        <f>"06455-KCC-841SEMI"</f>
        <v>06455-KCC-841SEMI</v>
      </c>
      <c r="D13726" s="1" t="str">
        <f>"06455-KCC-841SEMI"</f>
        <v>06455-KCC-841SEMI</v>
      </c>
      <c r="E13726" s="1" t="s">
        <v>4579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</row>
    <row r="13727" spans="1:11" ht="30" x14ac:dyDescent="0.2">
      <c r="A13727" s="1" t="s">
        <v>3192</v>
      </c>
      <c r="B13727" s="1" t="s">
        <v>3312</v>
      </c>
      <c r="C13727" s="1" t="str">
        <f>"66298916411768"</f>
        <v>66298916411768</v>
      </c>
      <c r="D13727" s="1" t="str">
        <f>"400298"</f>
        <v>400298</v>
      </c>
      <c r="E13727" s="1" t="s">
        <v>4579</v>
      </c>
      <c r="F13727" s="1">
        <v>5</v>
      </c>
      <c r="G13727" s="1">
        <v>970</v>
      </c>
      <c r="H13727" s="1">
        <v>4850</v>
      </c>
      <c r="I13727" s="1">
        <v>0</v>
      </c>
      <c r="J13727" s="1">
        <v>5</v>
      </c>
      <c r="K13727" s="1">
        <v>0</v>
      </c>
    </row>
    <row r="13728" spans="1:11" ht="30" x14ac:dyDescent="0.2">
      <c r="A13728" s="1" t="s">
        <v>3192</v>
      </c>
      <c r="B13728" s="1" t="s">
        <v>3313</v>
      </c>
      <c r="C13728" s="1" t="str">
        <f>"06435-KSP-B01-CM"</f>
        <v>06435-KSP-B01-CM</v>
      </c>
      <c r="D13728" s="1" t="str">
        <f>"06435-KSP-B01-CM"</f>
        <v>06435-KSP-B01-CM</v>
      </c>
      <c r="E13728" s="1" t="s">
        <v>4579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</row>
    <row r="13729" spans="1:11" ht="30" x14ac:dyDescent="0.2">
      <c r="A13729" s="1" t="s">
        <v>3192</v>
      </c>
      <c r="B13729" s="1" t="s">
        <v>3313</v>
      </c>
      <c r="C13729" s="1" t="str">
        <f>"U040"</f>
        <v>U040</v>
      </c>
      <c r="D13729" s="1" t="str">
        <f>"U040"</f>
        <v>U040</v>
      </c>
      <c r="E13729" s="1" t="s">
        <v>4579</v>
      </c>
      <c r="F13729" s="1">
        <v>2</v>
      </c>
      <c r="G13729" s="1">
        <v>1020</v>
      </c>
      <c r="H13729" s="1">
        <v>2040</v>
      </c>
      <c r="I13729" s="1">
        <v>0</v>
      </c>
      <c r="J13729" s="1">
        <v>2</v>
      </c>
      <c r="K13729" s="1">
        <v>0</v>
      </c>
    </row>
    <row r="13730" spans="1:11" ht="30" x14ac:dyDescent="0.2">
      <c r="A13730" s="1" t="s">
        <v>3192</v>
      </c>
      <c r="B13730" s="1" t="s">
        <v>3314</v>
      </c>
      <c r="C13730" s="1" t="str">
        <f>"66298917121260"</f>
        <v>66298917121260</v>
      </c>
      <c r="D13730" s="1" t="str">
        <f>"59100-41HAOJP"</f>
        <v>59100-41HAOJP</v>
      </c>
      <c r="E13730" s="1" t="s">
        <v>4579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</row>
    <row r="13731" spans="1:11" ht="30" x14ac:dyDescent="0.2">
      <c r="A13731" s="1" t="s">
        <v>3192</v>
      </c>
      <c r="B13731" s="1" t="s">
        <v>3314</v>
      </c>
      <c r="C13731" s="1" t="str">
        <f>"12889"</f>
        <v>12889</v>
      </c>
      <c r="D13731" s="1" t="str">
        <f>"12889"</f>
        <v>12889</v>
      </c>
      <c r="E13731" s="1" t="s">
        <v>4579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</row>
    <row r="13732" spans="1:11" x14ac:dyDescent="0.2">
      <c r="A13732" s="1" t="s">
        <v>3192</v>
      </c>
      <c r="B13732" s="1" t="s">
        <v>3315</v>
      </c>
      <c r="C13732" s="1" t="str">
        <f>"U045"</f>
        <v>U045</v>
      </c>
      <c r="D13732" s="1" t="str">
        <f>"U045"</f>
        <v>U045</v>
      </c>
      <c r="E13732" s="1" t="s">
        <v>4579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</row>
    <row r="13733" spans="1:11" ht="30" x14ac:dyDescent="0.2">
      <c r="A13733" s="1" t="s">
        <v>3192</v>
      </c>
      <c r="B13733" s="1" t="s">
        <v>3316</v>
      </c>
      <c r="C13733" s="1" t="str">
        <f>"66298916451659"</f>
        <v>66298916451659</v>
      </c>
      <c r="D13733" s="1" t="str">
        <f>"400299"</f>
        <v>400299</v>
      </c>
      <c r="E13733" s="1" t="s">
        <v>4579</v>
      </c>
      <c r="F13733" s="1">
        <v>2</v>
      </c>
      <c r="G13733" s="1">
        <v>953</v>
      </c>
      <c r="H13733" s="1">
        <v>1906</v>
      </c>
      <c r="I13733" s="1">
        <v>0</v>
      </c>
      <c r="J13733" s="1">
        <v>2</v>
      </c>
      <c r="K13733" s="1">
        <v>0</v>
      </c>
    </row>
    <row r="13734" spans="1:11" x14ac:dyDescent="0.2">
      <c r="A13734" s="1" t="s">
        <v>3192</v>
      </c>
      <c r="B13734" s="1" t="s">
        <v>3317</v>
      </c>
      <c r="C13734" s="1" t="str">
        <f>"3509"</f>
        <v>3509</v>
      </c>
      <c r="D13734" s="1" t="str">
        <f>"3509"</f>
        <v>3509</v>
      </c>
      <c r="E13734" s="1" t="s">
        <v>4579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</row>
    <row r="13735" spans="1:11" x14ac:dyDescent="0.2">
      <c r="A13735" s="1" t="s">
        <v>3192</v>
      </c>
      <c r="B13735" s="1" t="s">
        <v>3317</v>
      </c>
      <c r="C13735" s="1" t="str">
        <f>"12890"</f>
        <v>12890</v>
      </c>
      <c r="D13735" s="1" t="str">
        <f>"12890"</f>
        <v>12890</v>
      </c>
      <c r="E13735" s="1" t="s">
        <v>4579</v>
      </c>
      <c r="F13735" s="1">
        <v>1</v>
      </c>
      <c r="G13735" s="1">
        <v>3983.19</v>
      </c>
      <c r="H13735" s="1">
        <v>3983</v>
      </c>
      <c r="I13735" s="1">
        <v>0</v>
      </c>
      <c r="J13735" s="1">
        <v>1</v>
      </c>
      <c r="K13735" s="1">
        <v>0</v>
      </c>
    </row>
    <row r="13736" spans="1:11" x14ac:dyDescent="0.2">
      <c r="A13736" s="1" t="s">
        <v>3192</v>
      </c>
      <c r="B13736" s="1" t="s">
        <v>3318</v>
      </c>
      <c r="C13736" s="1" t="str">
        <f>"12350"</f>
        <v>12350</v>
      </c>
      <c r="D13736" s="1" t="str">
        <f>"12350"</f>
        <v>12350</v>
      </c>
      <c r="E13736" s="1" t="s">
        <v>4579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</row>
    <row r="13737" spans="1:11" x14ac:dyDescent="0.2">
      <c r="A13737" s="1" t="s">
        <v>3192</v>
      </c>
      <c r="B13737" s="1" t="s">
        <v>3319</v>
      </c>
      <c r="C13737" s="1" t="str">
        <f>"66298916489440"</f>
        <v>66298916489440</v>
      </c>
      <c r="D13737" s="1" t="str">
        <f>"MBP-63HH"</f>
        <v>MBP-63HH</v>
      </c>
      <c r="E13737" s="1" t="s">
        <v>4579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</row>
    <row r="13738" spans="1:11" x14ac:dyDescent="0.2">
      <c r="A13738" s="1" t="s">
        <v>3192</v>
      </c>
      <c r="B13738" s="1" t="s">
        <v>3320</v>
      </c>
      <c r="C13738" s="1" t="str">
        <f>"66298916532785"</f>
        <v>66298916532785</v>
      </c>
      <c r="D13738" s="1" t="str">
        <f>"MBP-67HH"</f>
        <v>MBP-67HH</v>
      </c>
      <c r="E13738" s="1" t="s">
        <v>4579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</row>
    <row r="13739" spans="1:11" ht="30" x14ac:dyDescent="0.2">
      <c r="A13739" s="1" t="s">
        <v>3192</v>
      </c>
      <c r="B13739" s="1" t="s">
        <v>3321</v>
      </c>
      <c r="C13739" s="1" t="str">
        <f>"66298916573933"</f>
        <v>66298916573933</v>
      </c>
      <c r="D13739" s="1" t="str">
        <f>"MBP-228HH"</f>
        <v>MBP-228HH</v>
      </c>
      <c r="E13739" s="1" t="s">
        <v>4579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</row>
    <row r="13740" spans="1:11" x14ac:dyDescent="0.2">
      <c r="A13740" s="1" t="s">
        <v>3192</v>
      </c>
      <c r="B13740" s="1" t="s">
        <v>3322</v>
      </c>
      <c r="C13740" s="1" t="str">
        <f>"MBP-140HH"</f>
        <v>MBP-140HH</v>
      </c>
      <c r="D13740" s="1" t="str">
        <f>"MBP-140HH"</f>
        <v>MBP-140HH</v>
      </c>
      <c r="E13740" s="1" t="s">
        <v>4579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</row>
    <row r="13741" spans="1:11" x14ac:dyDescent="0.2">
      <c r="A13741" s="1" t="s">
        <v>3192</v>
      </c>
      <c r="B13741" s="1" t="s">
        <v>3323</v>
      </c>
      <c r="C13741" s="1" t="str">
        <f>"66298916616919"</f>
        <v>66298916616919</v>
      </c>
      <c r="D13741" s="1" t="str">
        <f>"MBP-158HH"</f>
        <v>MBP-158HH</v>
      </c>
      <c r="E13741" s="1" t="s">
        <v>4579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</row>
    <row r="13742" spans="1:11" x14ac:dyDescent="0.2">
      <c r="A13742" s="1" t="s">
        <v>3192</v>
      </c>
      <c r="B13742" s="1" t="s">
        <v>3324</v>
      </c>
      <c r="C13742" s="1" t="str">
        <f>"MBP-152HH"</f>
        <v>MBP-152HH</v>
      </c>
      <c r="D13742" s="1" t="str">
        <f>"MBP-152HH"</f>
        <v>MBP-152HH</v>
      </c>
      <c r="E13742" s="1" t="s">
        <v>4579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</row>
    <row r="13743" spans="1:11" x14ac:dyDescent="0.2">
      <c r="A13743" s="1" t="s">
        <v>3192</v>
      </c>
      <c r="B13743" s="1" t="s">
        <v>3325</v>
      </c>
      <c r="C13743" s="1" t="str">
        <f>"MBP-252HH"</f>
        <v>MBP-252HH</v>
      </c>
      <c r="D13743" s="1" t="str">
        <f>"MBP-252HH"</f>
        <v>MBP-252HH</v>
      </c>
      <c r="E13743" s="1" t="s">
        <v>4579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</row>
    <row r="13744" spans="1:11" ht="30" x14ac:dyDescent="0.2">
      <c r="A13744" s="1" t="s">
        <v>3192</v>
      </c>
      <c r="B13744" s="1" t="s">
        <v>3326</v>
      </c>
      <c r="C13744" s="1" t="str">
        <f>"66298916658253"</f>
        <v>66298916658253</v>
      </c>
      <c r="D13744" s="1" t="str">
        <f>"MBP-197HH"</f>
        <v>MBP-197HH</v>
      </c>
      <c r="E13744" s="1" t="s">
        <v>4579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</row>
    <row r="13745" spans="1:11" ht="30" x14ac:dyDescent="0.2">
      <c r="A13745" s="1" t="s">
        <v>3192</v>
      </c>
      <c r="B13745" s="1" t="s">
        <v>3327</v>
      </c>
      <c r="C13745" s="1" t="str">
        <f>"66298916697329"</f>
        <v>66298916697329</v>
      </c>
      <c r="D13745" s="1" t="str">
        <f>"MBP-165HH"</f>
        <v>MBP-165HH</v>
      </c>
      <c r="E13745" s="1" t="s">
        <v>4579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</row>
    <row r="13746" spans="1:11" ht="45" x14ac:dyDescent="0.2">
      <c r="A13746" s="1" t="s">
        <v>3192</v>
      </c>
      <c r="B13746" s="1" t="s">
        <v>3328</v>
      </c>
      <c r="C13746" s="1" t="str">
        <f>"66298916739928"</f>
        <v>66298916739928</v>
      </c>
      <c r="D13746" s="1" t="str">
        <f>"MBP-181HH"</f>
        <v>MBP-181HH</v>
      </c>
      <c r="E13746" s="1" t="s">
        <v>4579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</row>
    <row r="13747" spans="1:11" x14ac:dyDescent="0.2">
      <c r="A13747" s="1" t="s">
        <v>3192</v>
      </c>
      <c r="B13747" s="1" t="s">
        <v>3329</v>
      </c>
      <c r="C13747" s="1" t="str">
        <f>"66298916779919"</f>
        <v>66298916779919</v>
      </c>
      <c r="D13747" s="1" t="str">
        <f>"MBP-209HH"</f>
        <v>MBP-209HH</v>
      </c>
      <c r="E13747" s="1" t="s">
        <v>4579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</row>
    <row r="13748" spans="1:11" x14ac:dyDescent="0.2">
      <c r="A13748" s="1" t="s">
        <v>3192</v>
      </c>
      <c r="B13748" s="1" t="s">
        <v>3330</v>
      </c>
      <c r="C13748" s="1" t="str">
        <f>"66298916821775"</f>
        <v>66298916821775</v>
      </c>
      <c r="D13748" s="1" t="str">
        <f>"MBP-185HH"</f>
        <v>MBP-185HH</v>
      </c>
      <c r="E13748" s="1" t="s">
        <v>4579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</row>
    <row r="13749" spans="1:11" x14ac:dyDescent="0.2">
      <c r="A13749" s="1" t="s">
        <v>3192</v>
      </c>
      <c r="B13749" s="1" t="s">
        <v>3331</v>
      </c>
      <c r="C13749" s="1" t="str">
        <f>"66298916865961"</f>
        <v>66298916865961</v>
      </c>
      <c r="D13749" s="1" t="str">
        <f>"MBP-231HH"</f>
        <v>MBP-231HH</v>
      </c>
      <c r="E13749" s="1" t="s">
        <v>4579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</row>
    <row r="13750" spans="1:11" x14ac:dyDescent="0.2">
      <c r="A13750" s="1" t="s">
        <v>3192</v>
      </c>
      <c r="B13750" s="1" t="s">
        <v>3332</v>
      </c>
      <c r="C13750" s="1" t="str">
        <f>"66298916910960"</f>
        <v>66298916910960</v>
      </c>
      <c r="D13750" s="1" t="str">
        <f>"MBP-229HH"</f>
        <v>MBP-229HH</v>
      </c>
      <c r="E13750" s="1" t="s">
        <v>4579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</row>
    <row r="13751" spans="1:11" x14ac:dyDescent="0.2">
      <c r="A13751" s="1" t="s">
        <v>3192</v>
      </c>
      <c r="B13751" s="1" t="s">
        <v>3333</v>
      </c>
      <c r="C13751" s="1" t="str">
        <f>"66298916950787"</f>
        <v>66298916950787</v>
      </c>
      <c r="D13751" s="1" t="str">
        <f>"MBP-335HH"</f>
        <v>MBP-335HH</v>
      </c>
      <c r="E13751" s="1" t="s">
        <v>4579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</row>
    <row r="13752" spans="1:11" ht="30" x14ac:dyDescent="0.2">
      <c r="A13752" s="1" t="s">
        <v>3192</v>
      </c>
      <c r="B13752" s="1" t="s">
        <v>3334</v>
      </c>
      <c r="C13752" s="1" t="str">
        <f>"66298916991673"</f>
        <v>66298916991673</v>
      </c>
      <c r="D13752" s="1" t="str">
        <f>"MBP-388HH"</f>
        <v>MBP-388HH</v>
      </c>
      <c r="E13752" s="1" t="s">
        <v>4579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</row>
    <row r="13753" spans="1:11" x14ac:dyDescent="0.2">
      <c r="A13753" s="1" t="s">
        <v>3192</v>
      </c>
      <c r="B13753" s="1" t="s">
        <v>3335</v>
      </c>
      <c r="C13753" s="1" t="str">
        <f>"66298917035044"</f>
        <v>66298917035044</v>
      </c>
      <c r="D13753" s="1" t="str">
        <f>"MBP-419HH"</f>
        <v>MBP-419HH</v>
      </c>
      <c r="E13753" s="1" t="s">
        <v>4579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</row>
    <row r="13754" spans="1:11" ht="30" x14ac:dyDescent="0.2">
      <c r="A13754" s="1" t="s">
        <v>3192</v>
      </c>
      <c r="B13754" s="1" t="s">
        <v>3336</v>
      </c>
      <c r="C13754" s="1" t="str">
        <f>"MBP-629HH"</f>
        <v>MBP-629HH</v>
      </c>
      <c r="D13754" s="1" t="str">
        <f>"MBP-629HH"</f>
        <v>MBP-629HH</v>
      </c>
      <c r="E13754" s="1" t="s">
        <v>4579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</row>
    <row r="13755" spans="1:11" ht="30" x14ac:dyDescent="0.2">
      <c r="A13755" s="1" t="s">
        <v>3192</v>
      </c>
      <c r="B13755" s="1" t="s">
        <v>3337</v>
      </c>
      <c r="C13755" s="1" t="str">
        <f>"MBP-663HH"</f>
        <v>MBP-663HH</v>
      </c>
      <c r="D13755" s="1" t="str">
        <f>"MBP-663HH"</f>
        <v>MBP-663HH</v>
      </c>
      <c r="E13755" s="1" t="s">
        <v>4579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</row>
    <row r="13756" spans="1:11" ht="30" x14ac:dyDescent="0.2">
      <c r="A13756" s="1" t="s">
        <v>3192</v>
      </c>
      <c r="B13756" s="1" t="s">
        <v>3338</v>
      </c>
      <c r="C13756" s="1" t="str">
        <f>"MBP-662HH"</f>
        <v>MBP-662HH</v>
      </c>
      <c r="D13756" s="1" t="str">
        <f>"MBP-662HH"</f>
        <v>MBP-662HH</v>
      </c>
      <c r="E13756" s="1" t="s">
        <v>4579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</row>
    <row r="13757" spans="1:11" x14ac:dyDescent="0.2">
      <c r="A13757" s="1" t="s">
        <v>3192</v>
      </c>
      <c r="B13757" s="1" t="s">
        <v>3339</v>
      </c>
      <c r="C13757" s="1" t="str">
        <f>"10177100"</f>
        <v>10177100</v>
      </c>
      <c r="D13757" s="1" t="str">
        <f>"10177100"</f>
        <v>10177100</v>
      </c>
      <c r="E13757" s="1" t="s">
        <v>4579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</row>
    <row r="13758" spans="1:11" ht="30" x14ac:dyDescent="0.2">
      <c r="A13758" s="1" t="s">
        <v>3192</v>
      </c>
      <c r="B13758" s="1" t="s">
        <v>3340</v>
      </c>
      <c r="C13758" s="1" t="str">
        <f>"06455-KRF-H60JP"</f>
        <v>06455-KRF-H60JP</v>
      </c>
      <c r="D13758" s="1" t="str">
        <f>"06455-KRF-H60JP"</f>
        <v>06455-KRF-H60JP</v>
      </c>
      <c r="E13758" s="1" t="s">
        <v>4579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</row>
    <row r="13759" spans="1:11" ht="30" x14ac:dyDescent="0.2">
      <c r="A13759" s="1" t="s">
        <v>3192</v>
      </c>
      <c r="B13759" s="1" t="s">
        <v>3341</v>
      </c>
      <c r="C13759" s="1" t="str">
        <f>"66298917080486"</f>
        <v>66298917080486</v>
      </c>
      <c r="D13759" s="1" t="str">
        <f>"N9322240"</f>
        <v>N9322240</v>
      </c>
      <c r="E13759" s="1" t="s">
        <v>4579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</row>
    <row r="13760" spans="1:11" x14ac:dyDescent="0.2">
      <c r="A13760" s="1" t="s">
        <v>3192</v>
      </c>
      <c r="B13760" s="1" t="s">
        <v>3342</v>
      </c>
      <c r="C13760" s="1" t="str">
        <f>"3521"</f>
        <v>3521</v>
      </c>
      <c r="D13760" s="1" t="str">
        <f>"3521"</f>
        <v>3521</v>
      </c>
      <c r="E13760" s="1" t="s">
        <v>4579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</row>
    <row r="13761" spans="1:11" x14ac:dyDescent="0.2">
      <c r="A13761" s="1" t="s">
        <v>3192</v>
      </c>
      <c r="B13761" s="1" t="s">
        <v>3343</v>
      </c>
      <c r="C13761" s="1" t="str">
        <f>"3516"</f>
        <v>3516</v>
      </c>
      <c r="D13761" s="1" t="str">
        <f>"3516"</f>
        <v>3516</v>
      </c>
      <c r="E13761" s="1" t="s">
        <v>4579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</row>
    <row r="13762" spans="1:11" x14ac:dyDescent="0.2">
      <c r="A13762" s="1" t="s">
        <v>3192</v>
      </c>
      <c r="B13762" s="1" t="s">
        <v>3344</v>
      </c>
      <c r="C13762" s="1" t="str">
        <f>"66298917166806"</f>
        <v>66298917166806</v>
      </c>
      <c r="D13762" s="1" t="str">
        <f>"MBP-920"</f>
        <v>MBP-920</v>
      </c>
      <c r="E13762" s="1" t="s">
        <v>4579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</row>
    <row r="13763" spans="1:11" x14ac:dyDescent="0.2">
      <c r="A13763" s="1" t="s">
        <v>3192</v>
      </c>
      <c r="B13763" s="1" t="s">
        <v>3344</v>
      </c>
      <c r="C13763" s="1" t="str">
        <f>"U020P"</f>
        <v>U020P</v>
      </c>
      <c r="D13763" s="1" t="str">
        <f>"U020P"</f>
        <v>U020P</v>
      </c>
      <c r="E13763" s="1" t="s">
        <v>4579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</row>
    <row r="13764" spans="1:11" x14ac:dyDescent="0.2">
      <c r="A13764" s="1" t="s">
        <v>3192</v>
      </c>
      <c r="B13764" s="1" t="s">
        <v>3345</v>
      </c>
      <c r="C13764" s="1" t="str">
        <f>"66298917208977"</f>
        <v>66298917208977</v>
      </c>
      <c r="D13764" s="1" t="str">
        <f>"B06070002"</f>
        <v>B06070002</v>
      </c>
      <c r="E13764" s="1" t="s">
        <v>4579</v>
      </c>
      <c r="F13764" s="1">
        <v>2</v>
      </c>
      <c r="G13764" s="1">
        <v>1723</v>
      </c>
      <c r="H13764" s="1">
        <v>3446</v>
      </c>
      <c r="I13764" s="1">
        <v>0</v>
      </c>
      <c r="J13764" s="1">
        <v>2</v>
      </c>
      <c r="K13764" s="1">
        <v>0</v>
      </c>
    </row>
    <row r="13765" spans="1:11" x14ac:dyDescent="0.2">
      <c r="A13765" s="1" t="s">
        <v>3192</v>
      </c>
      <c r="B13765" s="1" t="s">
        <v>3345</v>
      </c>
      <c r="C13765" s="1" t="str">
        <f>"U030P"</f>
        <v>U030P</v>
      </c>
      <c r="D13765" s="1" t="str">
        <f>"U030P"</f>
        <v>U030P</v>
      </c>
      <c r="E13765" s="1" t="s">
        <v>4579</v>
      </c>
      <c r="F13765" s="1">
        <v>2</v>
      </c>
      <c r="G13765" s="1">
        <v>1820</v>
      </c>
      <c r="H13765" s="1">
        <v>3640</v>
      </c>
      <c r="I13765" s="1">
        <v>0</v>
      </c>
      <c r="J13765" s="1">
        <v>2</v>
      </c>
      <c r="K13765" s="1">
        <v>0</v>
      </c>
    </row>
    <row r="13766" spans="1:11" x14ac:dyDescent="0.2">
      <c r="A13766" s="1" t="s">
        <v>3192</v>
      </c>
      <c r="B13766" s="1" t="s">
        <v>3346</v>
      </c>
      <c r="C13766" s="1" t="str">
        <f>"66298917251809"</f>
        <v>66298917251809</v>
      </c>
      <c r="D13766" s="1" t="str">
        <f>"TK250-F8-15"</f>
        <v>TK250-F8-15</v>
      </c>
      <c r="E13766" s="1" t="s">
        <v>4579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</row>
    <row r="13767" spans="1:11" x14ac:dyDescent="0.2">
      <c r="A13767" s="1" t="s">
        <v>3192</v>
      </c>
      <c r="B13767" s="1" t="s">
        <v>3347</v>
      </c>
      <c r="C13767" s="1" t="str">
        <f>"66298917296300"</f>
        <v>66298917296300</v>
      </c>
      <c r="D13767" s="1" t="str">
        <f>"DSR2"</f>
        <v>DSR2</v>
      </c>
      <c r="E13767" s="1" t="s">
        <v>4579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</row>
    <row r="13768" spans="1:11" x14ac:dyDescent="0.2">
      <c r="A13768" s="1" t="s">
        <v>3348</v>
      </c>
      <c r="B13768" s="1" t="s">
        <v>3349</v>
      </c>
      <c r="C13768" s="1" t="str">
        <f>"42100H2C000H000"</f>
        <v>42100H2C000H000</v>
      </c>
      <c r="D13768" s="1" t="str">
        <f>"42100H2C000H000"</f>
        <v>42100H2C000H000</v>
      </c>
      <c r="E13768" s="1" t="s">
        <v>4579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</row>
    <row r="13769" spans="1:11" x14ac:dyDescent="0.2">
      <c r="A13769" s="1" t="s">
        <v>3348</v>
      </c>
      <c r="B13769" s="1" t="s">
        <v>3350</v>
      </c>
      <c r="C13769" s="1" t="str">
        <f>"G202"</f>
        <v>G202</v>
      </c>
      <c r="D13769" s="1" t="str">
        <f>"G202"</f>
        <v>G202</v>
      </c>
      <c r="E13769" s="1" t="s">
        <v>4579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</row>
    <row r="13770" spans="1:11" x14ac:dyDescent="0.2">
      <c r="A13770" s="1" t="s">
        <v>3348</v>
      </c>
      <c r="B13770" s="1" t="s">
        <v>3351</v>
      </c>
      <c r="C13770" s="1" t="str">
        <f>"G201"</f>
        <v>G201</v>
      </c>
      <c r="D13770" s="1" t="str">
        <f>"G201"</f>
        <v>G201</v>
      </c>
      <c r="E13770" s="1" t="s">
        <v>4579</v>
      </c>
      <c r="F13770" s="1">
        <v>1</v>
      </c>
      <c r="G13770" s="1">
        <v>1990</v>
      </c>
      <c r="H13770" s="1">
        <v>1990</v>
      </c>
      <c r="I13770" s="1">
        <v>0</v>
      </c>
      <c r="J13770" s="1">
        <v>1</v>
      </c>
      <c r="K13770" s="1">
        <v>0</v>
      </c>
    </row>
    <row r="13771" spans="1:11" x14ac:dyDescent="0.2">
      <c r="A13771" s="1" t="s">
        <v>3348</v>
      </c>
      <c r="B13771" s="1" t="s">
        <v>3351</v>
      </c>
      <c r="C13771" s="1" t="str">
        <f>"PATA-LATERAL"</f>
        <v>PATA-LATERAL</v>
      </c>
      <c r="D13771" s="1" t="str">
        <f>"PATA-LATERAL"</f>
        <v>PATA-LATERAL</v>
      </c>
      <c r="E13771" s="1" t="s">
        <v>4579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</row>
    <row r="13772" spans="1:11" x14ac:dyDescent="0.2">
      <c r="A13772" s="1" t="s">
        <v>3348</v>
      </c>
      <c r="B13772" s="1" t="s">
        <v>3352</v>
      </c>
      <c r="C13772" s="1" t="str">
        <f>"21C-F7311-00"</f>
        <v>21C-F7311-00</v>
      </c>
      <c r="D13772" s="1" t="str">
        <f>"21C-F7311-00"</f>
        <v>21C-F7311-00</v>
      </c>
      <c r="E13772" s="1" t="s">
        <v>4579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</row>
    <row r="13773" spans="1:11" x14ac:dyDescent="0.2">
      <c r="A13773" s="1" t="s">
        <v>3348</v>
      </c>
      <c r="B13773" s="1" t="s">
        <v>3353</v>
      </c>
      <c r="C13773" s="1" t="str">
        <f>"66298917338655"</f>
        <v>66298917338655</v>
      </c>
      <c r="D13773" s="1" t="str">
        <f>"JC090-DORADO"</f>
        <v>JC090-DORADO</v>
      </c>
      <c r="E13773" s="1" t="s">
        <v>4579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</row>
    <row r="13774" spans="1:11" x14ac:dyDescent="0.2">
      <c r="A13774" s="1" t="s">
        <v>3348</v>
      </c>
      <c r="B13774" s="1" t="s">
        <v>3354</v>
      </c>
      <c r="C13774" s="1" t="str">
        <f>"66298917378434"</f>
        <v>66298917378434</v>
      </c>
      <c r="D13774" s="1" t="str">
        <f>"JC090-ROJO"</f>
        <v>JC090-ROJO</v>
      </c>
      <c r="E13774" s="1" t="s">
        <v>4579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</row>
    <row r="13775" spans="1:11" x14ac:dyDescent="0.2">
      <c r="A13775" s="1" t="s">
        <v>3348</v>
      </c>
      <c r="B13775" s="1" t="s">
        <v>3355</v>
      </c>
      <c r="C13775" s="1" t="str">
        <f>"BRCA62HP"</f>
        <v>BRCA62HP</v>
      </c>
      <c r="D13775" s="1" t="str">
        <f>"BRCA62HP"</f>
        <v>BRCA62HP</v>
      </c>
      <c r="E13775" s="1" t="s">
        <v>4579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</row>
    <row r="13776" spans="1:11" x14ac:dyDescent="0.2">
      <c r="A13776" s="1" t="s">
        <v>98</v>
      </c>
      <c r="B13776" s="1" t="s">
        <v>3356</v>
      </c>
      <c r="C13776" s="1" t="str">
        <f>"66298917418373"</f>
        <v>66298917418373</v>
      </c>
      <c r="D13776" s="1" t="str">
        <f>"22350-HKE-000"</f>
        <v>22350-HKE-000</v>
      </c>
      <c r="E13776" s="1" t="s">
        <v>4579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</row>
    <row r="13777" spans="1:11" x14ac:dyDescent="0.2">
      <c r="A13777" s="1" t="s">
        <v>3357</v>
      </c>
      <c r="B13777" s="1" t="s">
        <v>3358</v>
      </c>
      <c r="C13777" s="1" t="str">
        <f>"66298917457810"</f>
        <v>66298917457810</v>
      </c>
      <c r="D13777" s="1" t="str">
        <f>"3KG-W253E-00JP"</f>
        <v>3KG-W253E-00JP</v>
      </c>
      <c r="E13777" s="1" t="s">
        <v>4579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</row>
    <row r="13778" spans="1:11" x14ac:dyDescent="0.2">
      <c r="A13778" s="1" t="s">
        <v>3357</v>
      </c>
      <c r="B13778" s="1" t="s">
        <v>3359</v>
      </c>
      <c r="C13778" s="1" t="str">
        <f>"66298917495381"</f>
        <v>66298917495381</v>
      </c>
      <c r="D13778" s="1" t="str">
        <f>"843-AN125"</f>
        <v>843-AN125</v>
      </c>
      <c r="E13778" s="1" t="s">
        <v>4579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</row>
    <row r="13779" spans="1:11" x14ac:dyDescent="0.2">
      <c r="A13779" s="1" t="s">
        <v>3357</v>
      </c>
      <c r="B13779" s="1" t="s">
        <v>3360</v>
      </c>
      <c r="C13779" s="1" t="str">
        <f>"66298917536417"</f>
        <v>66298917536417</v>
      </c>
      <c r="D13779" s="1" t="str">
        <f>"400214"</f>
        <v>400214</v>
      </c>
      <c r="E13779" s="1" t="s">
        <v>4579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</row>
    <row r="13780" spans="1:11" x14ac:dyDescent="0.2">
      <c r="A13780" s="1" t="s">
        <v>3357</v>
      </c>
      <c r="B13780" s="1" t="s">
        <v>3361</v>
      </c>
      <c r="C13780" s="1" t="str">
        <f>"66298917575278"</f>
        <v>66298917575278</v>
      </c>
      <c r="D13780" s="1" t="str">
        <f>"41048-017JP"</f>
        <v>41048-017JP</v>
      </c>
      <c r="E13780" s="1" t="s">
        <v>4579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</row>
    <row r="13781" spans="1:11" x14ac:dyDescent="0.2">
      <c r="A13781" s="1" t="s">
        <v>3357</v>
      </c>
      <c r="B13781" s="1" t="s">
        <v>3362</v>
      </c>
      <c r="C13781" s="1" t="str">
        <f>"66298917615489"</f>
        <v>66298917615489</v>
      </c>
      <c r="D13781" s="1" t="str">
        <f>"31-1510-60-HT"</f>
        <v>31-1510-60-HT</v>
      </c>
      <c r="E13781" s="1" t="s">
        <v>4579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</row>
    <row r="13782" spans="1:11" x14ac:dyDescent="0.2">
      <c r="A13782" s="1" t="s">
        <v>3357</v>
      </c>
      <c r="B13782" s="1" t="s">
        <v>3363</v>
      </c>
      <c r="C13782" s="1" t="str">
        <f>"49CC50"</f>
        <v>49CC50</v>
      </c>
      <c r="D13782" s="1" t="str">
        <f>"49CC50"</f>
        <v>49CC50</v>
      </c>
      <c r="E13782" s="1" t="s">
        <v>4579</v>
      </c>
      <c r="F13782" s="1">
        <v>4</v>
      </c>
      <c r="G13782" s="1">
        <v>2780</v>
      </c>
      <c r="H13782" s="1">
        <v>11120</v>
      </c>
      <c r="I13782" s="1">
        <v>0</v>
      </c>
      <c r="J13782" s="1">
        <v>4</v>
      </c>
      <c r="K13782" s="1">
        <v>0</v>
      </c>
    </row>
    <row r="13783" spans="1:11" x14ac:dyDescent="0.2">
      <c r="A13783" s="1" t="s">
        <v>3357</v>
      </c>
      <c r="B13783" s="1" t="s">
        <v>3364</v>
      </c>
      <c r="C13783" s="1" t="str">
        <f>"66298917655846"</f>
        <v>66298917655846</v>
      </c>
      <c r="D13783" s="1" t="str">
        <f>"U043"</f>
        <v>U043</v>
      </c>
      <c r="E13783" s="1" t="s">
        <v>4579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</row>
    <row r="13784" spans="1:11" ht="30" x14ac:dyDescent="0.2">
      <c r="A13784" s="1" t="s">
        <v>3357</v>
      </c>
      <c r="B13784" s="1" t="s">
        <v>3365</v>
      </c>
      <c r="C13784" s="1" t="str">
        <f>"66298917696223"</f>
        <v>66298917696223</v>
      </c>
      <c r="D13784" s="1" t="str">
        <f>"45125-KCC-900JP"</f>
        <v>45125-KCC-900JP</v>
      </c>
      <c r="E13784" s="1" t="s">
        <v>4579</v>
      </c>
      <c r="F13784" s="1">
        <v>5</v>
      </c>
      <c r="G13784" s="1">
        <v>3935</v>
      </c>
      <c r="H13784" s="1">
        <v>19675</v>
      </c>
      <c r="I13784" s="1">
        <v>0</v>
      </c>
      <c r="J13784" s="1">
        <v>5</v>
      </c>
      <c r="K13784" s="1">
        <v>0</v>
      </c>
    </row>
    <row r="13785" spans="1:11" x14ac:dyDescent="0.2">
      <c r="A13785" s="1" t="s">
        <v>3357</v>
      </c>
      <c r="B13785" s="1" t="s">
        <v>3366</v>
      </c>
      <c r="C13785" s="1" t="str">
        <f>"66298917736483"</f>
        <v>66298917736483</v>
      </c>
      <c r="D13785" s="1" t="str">
        <f>"45120-096-652JP"</f>
        <v>45120-096-652JP</v>
      </c>
      <c r="E13785" s="1" t="s">
        <v>4579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</row>
    <row r="13786" spans="1:11" x14ac:dyDescent="0.2">
      <c r="A13786" s="1" t="s">
        <v>3357</v>
      </c>
      <c r="B13786" s="1" t="s">
        <v>3367</v>
      </c>
      <c r="C13786" s="1" t="str">
        <f>"9632"</f>
        <v>9632</v>
      </c>
      <c r="D13786" s="1" t="str">
        <f>"9632"</f>
        <v>9632</v>
      </c>
      <c r="E13786" s="1" t="s">
        <v>4579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</row>
    <row r="13787" spans="1:11" x14ac:dyDescent="0.2">
      <c r="A13787" s="1" t="s">
        <v>3357</v>
      </c>
      <c r="B13787" s="1" t="s">
        <v>3368</v>
      </c>
      <c r="C13787" s="1" t="str">
        <f>"U023"</f>
        <v>U023</v>
      </c>
      <c r="D13787" s="1" t="str">
        <f>"U023"</f>
        <v>U023</v>
      </c>
      <c r="E13787" s="1" t="s">
        <v>4579</v>
      </c>
      <c r="F13787" s="1">
        <v>3</v>
      </c>
      <c r="G13787" s="1">
        <v>3724</v>
      </c>
      <c r="H13787" s="1">
        <v>11172</v>
      </c>
      <c r="I13787" s="1">
        <v>0</v>
      </c>
      <c r="J13787" s="1">
        <v>3</v>
      </c>
      <c r="K13787" s="1">
        <v>0</v>
      </c>
    </row>
    <row r="13788" spans="1:11" ht="30" x14ac:dyDescent="0.2">
      <c r="A13788" s="1" t="s">
        <v>3357</v>
      </c>
      <c r="B13788" s="1" t="s">
        <v>3369</v>
      </c>
      <c r="C13788" s="1" t="str">
        <f>"183-25330-00JP"</f>
        <v>183-25330-00JP</v>
      </c>
      <c r="D13788" s="1" t="str">
        <f>"183-25330-00JP"</f>
        <v>183-25330-00JP</v>
      </c>
      <c r="E13788" s="1" t="s">
        <v>4579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</row>
    <row r="13789" spans="1:11" x14ac:dyDescent="0.2">
      <c r="A13789" s="1" t="s">
        <v>3357</v>
      </c>
      <c r="B13789" s="1" t="s">
        <v>3370</v>
      </c>
      <c r="C13789" s="1" t="str">
        <f>"6380"</f>
        <v>6380</v>
      </c>
      <c r="D13789" s="1" t="str">
        <f>"6380"</f>
        <v>6380</v>
      </c>
      <c r="E13789" s="1" t="s">
        <v>4579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</row>
    <row r="13790" spans="1:11" x14ac:dyDescent="0.2">
      <c r="A13790" s="1" t="s">
        <v>3357</v>
      </c>
      <c r="B13790" s="1" t="s">
        <v>3371</v>
      </c>
      <c r="C13790" s="1" t="str">
        <f>"66298917777558"</f>
        <v>66298917777558</v>
      </c>
      <c r="D13790" s="1" t="str">
        <f>"54410-02410JP"</f>
        <v>54410-02410JP</v>
      </c>
      <c r="E13790" s="1" t="s">
        <v>4579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</row>
    <row r="13791" spans="1:11" x14ac:dyDescent="0.2">
      <c r="A13791" s="1" t="s">
        <v>3357</v>
      </c>
      <c r="B13791" s="1" t="s">
        <v>3372</v>
      </c>
      <c r="C13791" s="1" t="str">
        <f>"U026"</f>
        <v>U026</v>
      </c>
      <c r="D13791" s="1" t="str">
        <f>"U026"</f>
        <v>U026</v>
      </c>
      <c r="E13791" s="1" t="s">
        <v>4579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</row>
    <row r="13792" spans="1:11" ht="30" x14ac:dyDescent="0.2">
      <c r="A13792" s="1" t="s">
        <v>3357</v>
      </c>
      <c r="B13792" s="1" t="s">
        <v>3373</v>
      </c>
      <c r="C13792" s="1" t="str">
        <f>"66298917834645"</f>
        <v>66298917834645</v>
      </c>
      <c r="D13792" s="1" t="str">
        <f>"54400-07880JP"</f>
        <v>54400-07880JP</v>
      </c>
      <c r="E13792" s="1" t="s">
        <v>4579</v>
      </c>
      <c r="F13792" s="1">
        <v>4</v>
      </c>
      <c r="G13792" s="1">
        <v>4314</v>
      </c>
      <c r="H13792" s="1">
        <v>17256</v>
      </c>
      <c r="I13792" s="1">
        <v>0</v>
      </c>
      <c r="J13792" s="1">
        <v>4</v>
      </c>
      <c r="K13792" s="1">
        <v>0</v>
      </c>
    </row>
    <row r="13793" spans="1:11" ht="30" x14ac:dyDescent="0.2">
      <c r="A13793" s="1" t="s">
        <v>3357</v>
      </c>
      <c r="B13793" s="1" t="s">
        <v>3373</v>
      </c>
      <c r="C13793" s="1" t="str">
        <f>"20905"</f>
        <v>20905</v>
      </c>
      <c r="D13793" s="1" t="str">
        <f>"20905"</f>
        <v>20905</v>
      </c>
      <c r="E13793" s="1" t="s">
        <v>4579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</row>
    <row r="13794" spans="1:11" ht="30" x14ac:dyDescent="0.2">
      <c r="A13794" s="1" t="s">
        <v>3357</v>
      </c>
      <c r="B13794" s="1" t="s">
        <v>3373</v>
      </c>
      <c r="C13794" s="1" t="str">
        <f>"PAT-GN125H"</f>
        <v>PAT-GN125H</v>
      </c>
      <c r="D13794" s="1" t="str">
        <f>"PAT-GN125H"</f>
        <v>PAT-GN125H</v>
      </c>
      <c r="E13794" s="1" t="s">
        <v>4579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</row>
    <row r="13795" spans="1:11" x14ac:dyDescent="0.2">
      <c r="A13795" s="1" t="s">
        <v>3357</v>
      </c>
      <c r="B13795" s="1" t="s">
        <v>3374</v>
      </c>
      <c r="C13795" s="1" t="str">
        <f>"54400H22Y00H000"</f>
        <v>54400H22Y00H000</v>
      </c>
      <c r="D13795" s="1" t="str">
        <f>"54400H22Y00H000"</f>
        <v>54400H22Y00H000</v>
      </c>
      <c r="E13795" s="1" t="s">
        <v>4579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</row>
    <row r="13796" spans="1:11" ht="30" x14ac:dyDescent="0.2">
      <c r="A13796" s="1" t="s">
        <v>3357</v>
      </c>
      <c r="B13796" s="1" t="s">
        <v>3375</v>
      </c>
      <c r="C13796" s="1" t="str">
        <f>"66298917920238"</f>
        <v>66298917920238</v>
      </c>
      <c r="D13796" s="1" t="str">
        <f>"400387"</f>
        <v>400387</v>
      </c>
      <c r="E13796" s="1" t="s">
        <v>4579</v>
      </c>
      <c r="F13796" s="1">
        <v>2</v>
      </c>
      <c r="G13796" s="1">
        <v>1824</v>
      </c>
      <c r="H13796" s="1">
        <v>3648</v>
      </c>
      <c r="I13796" s="1">
        <v>0</v>
      </c>
      <c r="J13796" s="1">
        <v>2</v>
      </c>
      <c r="K13796" s="1">
        <v>0</v>
      </c>
    </row>
    <row r="13797" spans="1:11" x14ac:dyDescent="0.2">
      <c r="A13797" s="1" t="s">
        <v>3357</v>
      </c>
      <c r="B13797" s="1" t="s">
        <v>3376</v>
      </c>
      <c r="C13797" s="1" t="str">
        <f>"64410H40Y00H000"</f>
        <v>64410H40Y00H000</v>
      </c>
      <c r="D13797" s="1" t="str">
        <f>"64410H40Y00H000"</f>
        <v>64410H40Y00H000</v>
      </c>
      <c r="E13797" s="1" t="s">
        <v>4579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</row>
    <row r="13798" spans="1:11" x14ac:dyDescent="0.2">
      <c r="A13798" s="1" t="s">
        <v>3357</v>
      </c>
      <c r="B13798" s="1" t="s">
        <v>3377</v>
      </c>
      <c r="C13798" s="1" t="str">
        <f>"U021"</f>
        <v>U021</v>
      </c>
      <c r="D13798" s="1" t="str">
        <f>"U021"</f>
        <v>U021</v>
      </c>
      <c r="E13798" s="1" t="s">
        <v>4579</v>
      </c>
      <c r="F13798" s="1">
        <v>2</v>
      </c>
      <c r="G13798" s="1">
        <v>2860</v>
      </c>
      <c r="H13798" s="1">
        <v>5720</v>
      </c>
      <c r="I13798" s="1">
        <v>0</v>
      </c>
      <c r="J13798" s="1">
        <v>2</v>
      </c>
      <c r="K13798" s="1">
        <v>0</v>
      </c>
    </row>
    <row r="13799" spans="1:11" x14ac:dyDescent="0.2">
      <c r="A13799" s="1" t="s">
        <v>3357</v>
      </c>
      <c r="B13799" s="1" t="s">
        <v>3378</v>
      </c>
      <c r="C13799" s="1" t="str">
        <f>"66298917875143"</f>
        <v>66298917875143</v>
      </c>
      <c r="D13799" s="1" t="str">
        <f>"18A-W2534-00JP"</f>
        <v>18A-W2534-00JP</v>
      </c>
      <c r="E13799" s="1" t="s">
        <v>4579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</row>
    <row r="13800" spans="1:11" x14ac:dyDescent="0.2">
      <c r="A13800" s="1" t="s">
        <v>3357</v>
      </c>
      <c r="B13800" s="1" t="s">
        <v>3379</v>
      </c>
      <c r="C13800" s="1" t="str">
        <f>"U027"</f>
        <v>U027</v>
      </c>
      <c r="D13800" s="1" t="str">
        <f>"U027"</f>
        <v>U027</v>
      </c>
      <c r="E13800" s="1" t="s">
        <v>4579</v>
      </c>
      <c r="F13800" s="1">
        <v>2</v>
      </c>
      <c r="G13800" s="1">
        <v>3990</v>
      </c>
      <c r="H13800" s="1">
        <v>7980</v>
      </c>
      <c r="I13800" s="1">
        <v>0</v>
      </c>
      <c r="J13800" s="1">
        <v>2</v>
      </c>
      <c r="K13800" s="1">
        <v>0</v>
      </c>
    </row>
    <row r="13801" spans="1:11" x14ac:dyDescent="0.2">
      <c r="A13801" s="1" t="s">
        <v>3357</v>
      </c>
      <c r="B13801" s="1" t="s">
        <v>3380</v>
      </c>
      <c r="C13801" s="1" t="str">
        <f>"66298917965048"</f>
        <v>66298917965048</v>
      </c>
      <c r="D13801" s="1" t="str">
        <f>"M150"</f>
        <v>M150</v>
      </c>
      <c r="E13801" s="1" t="s">
        <v>4579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</row>
    <row r="13802" spans="1:11" x14ac:dyDescent="0.2">
      <c r="A13802" s="1" t="s">
        <v>3357</v>
      </c>
      <c r="B13802" s="1" t="s">
        <v>3381</v>
      </c>
      <c r="C13802" s="1" t="str">
        <f>"66298918049957"</f>
        <v>66298918049957</v>
      </c>
      <c r="D13802" s="1" t="str">
        <f>"400217"</f>
        <v>400217</v>
      </c>
      <c r="E13802" s="1" t="s">
        <v>4579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</row>
    <row r="13803" spans="1:11" x14ac:dyDescent="0.2">
      <c r="A13803" s="1" t="s">
        <v>3357</v>
      </c>
      <c r="B13803" s="1" t="s">
        <v>3382</v>
      </c>
      <c r="C13803" s="1" t="str">
        <f>"66298918091277"</f>
        <v>66298918091277</v>
      </c>
      <c r="D13803" s="1" t="str">
        <f>"43120-362-000JP"</f>
        <v>43120-362-000JP</v>
      </c>
      <c r="E13803" s="1" t="s">
        <v>4579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0</v>
      </c>
    </row>
    <row r="13804" spans="1:11" x14ac:dyDescent="0.2">
      <c r="A13804" s="1" t="s">
        <v>3357</v>
      </c>
      <c r="B13804" s="1" t="s">
        <v>3383</v>
      </c>
      <c r="C13804" s="1" t="str">
        <f>"66298918010544"</f>
        <v>66298918010544</v>
      </c>
      <c r="D13804" s="1" t="str">
        <f>"06430-KBR-003JP"</f>
        <v>06430-KBR-003JP</v>
      </c>
      <c r="E13804" s="1" t="s">
        <v>4579</v>
      </c>
      <c r="F13804" s="1">
        <v>1</v>
      </c>
      <c r="G13804" s="1">
        <v>3829</v>
      </c>
      <c r="H13804" s="1">
        <v>3829</v>
      </c>
      <c r="I13804" s="1">
        <v>0</v>
      </c>
      <c r="J13804" s="1">
        <v>1</v>
      </c>
      <c r="K13804" s="1">
        <v>0</v>
      </c>
    </row>
    <row r="13805" spans="1:11" x14ac:dyDescent="0.2">
      <c r="A13805" s="1" t="s">
        <v>3357</v>
      </c>
      <c r="B13805" s="1" t="s">
        <v>3384</v>
      </c>
      <c r="C13805" s="1" t="str">
        <f>"66298918133675"</f>
        <v>66298918133675</v>
      </c>
      <c r="D13805" s="1" t="str">
        <f>"400218"</f>
        <v>400218</v>
      </c>
      <c r="E13805" s="1" t="s">
        <v>4579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</row>
    <row r="13806" spans="1:11" x14ac:dyDescent="0.2">
      <c r="A13806" s="1" t="s">
        <v>3357</v>
      </c>
      <c r="B13806" s="1" t="s">
        <v>3385</v>
      </c>
      <c r="C13806" s="1" t="str">
        <f>"66298918176747"</f>
        <v>66298918176747</v>
      </c>
      <c r="D13806" s="1" t="str">
        <f>"5ML-XF533-00"</f>
        <v>5ML-XF533-00</v>
      </c>
      <c r="E13806" s="1" t="s">
        <v>4579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</row>
    <row r="13807" spans="1:11" x14ac:dyDescent="0.2">
      <c r="A13807" s="1" t="s">
        <v>3386</v>
      </c>
      <c r="B13807" s="1" t="s">
        <v>3387</v>
      </c>
      <c r="C13807" s="1" t="str">
        <f>"66298918217029"</f>
        <v>66298918217029</v>
      </c>
      <c r="D13807" s="1" t="str">
        <f>"400548"</f>
        <v>400548</v>
      </c>
      <c r="E13807" s="1" t="s">
        <v>4579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</row>
    <row r="13808" spans="1:11" x14ac:dyDescent="0.2">
      <c r="A13808" s="1" t="s">
        <v>3386</v>
      </c>
      <c r="B13808" s="1" t="s">
        <v>3388</v>
      </c>
      <c r="C13808" s="1" t="str">
        <f>"66298918257659"</f>
        <v>66298918257659</v>
      </c>
      <c r="D13808" s="1" t="str">
        <f>"GB015"</f>
        <v>GB015</v>
      </c>
      <c r="E13808" s="1" t="s">
        <v>4579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</row>
    <row r="13809" spans="1:11" x14ac:dyDescent="0.2">
      <c r="A13809" s="1" t="s">
        <v>3386</v>
      </c>
      <c r="B13809" s="1" t="s">
        <v>3389</v>
      </c>
      <c r="C13809" s="1" t="str">
        <f>"66298918341354"</f>
        <v>66298918341354</v>
      </c>
      <c r="D13809" s="1" t="str">
        <f>"83157"</f>
        <v>83157</v>
      </c>
      <c r="E13809" s="1" t="s">
        <v>4579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</row>
    <row r="13810" spans="1:11" x14ac:dyDescent="0.2">
      <c r="A13810" s="1" t="s">
        <v>3386</v>
      </c>
      <c r="B13810" s="1" t="s">
        <v>3390</v>
      </c>
      <c r="C13810" s="1" t="str">
        <f>"66298918302384"</f>
        <v>66298918302384</v>
      </c>
      <c r="D13810" s="1" t="str">
        <f>"JPC-1801-107"</f>
        <v>JPC-1801-107</v>
      </c>
      <c r="E13810" s="1" t="s">
        <v>4579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</row>
    <row r="13811" spans="1:11" x14ac:dyDescent="0.2">
      <c r="A13811" s="1" t="s">
        <v>3386</v>
      </c>
      <c r="B13811" s="1" t="s">
        <v>3391</v>
      </c>
      <c r="C13811" s="1" t="str">
        <f>"66298918427187"</f>
        <v>66298918427187</v>
      </c>
      <c r="D13811" s="1" t="str">
        <f>"401029"</f>
        <v>401029</v>
      </c>
      <c r="E13811" s="1" t="s">
        <v>4579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</row>
    <row r="13812" spans="1:11" x14ac:dyDescent="0.2">
      <c r="A13812" s="1" t="s">
        <v>3386</v>
      </c>
      <c r="B13812" s="1" t="s">
        <v>3392</v>
      </c>
      <c r="C13812" s="1" t="str">
        <f>"66298918381775"</f>
        <v>66298918381775</v>
      </c>
      <c r="D13812" s="1" t="str">
        <f>"GB002"</f>
        <v>GB002</v>
      </c>
      <c r="E13812" s="1" t="s">
        <v>4579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</row>
    <row r="13813" spans="1:11" x14ac:dyDescent="0.2">
      <c r="A13813" s="1" t="s">
        <v>3386</v>
      </c>
      <c r="B13813" s="1" t="s">
        <v>3393</v>
      </c>
      <c r="C13813" s="1" t="str">
        <f>"66298918467729"</f>
        <v>66298918467729</v>
      </c>
      <c r="D13813" s="1" t="str">
        <f>"24653"</f>
        <v>24653</v>
      </c>
      <c r="E13813" s="1" t="s">
        <v>4579</v>
      </c>
      <c r="F13813" s="1">
        <v>1</v>
      </c>
      <c r="G13813" s="1">
        <v>2910</v>
      </c>
      <c r="H13813" s="1">
        <v>2910</v>
      </c>
      <c r="I13813" s="1">
        <v>0</v>
      </c>
      <c r="J13813" s="1">
        <v>1</v>
      </c>
      <c r="K13813" s="1">
        <v>0</v>
      </c>
    </row>
    <row r="13814" spans="1:11" x14ac:dyDescent="0.2">
      <c r="A13814" s="1" t="s">
        <v>3386</v>
      </c>
      <c r="B13814" s="1" t="s">
        <v>3394</v>
      </c>
      <c r="C13814" s="1" t="str">
        <f>"66298918510768"</f>
        <v>66298918510768</v>
      </c>
      <c r="D13814" s="1" t="str">
        <f>"GB001"</f>
        <v>GB001</v>
      </c>
      <c r="E13814" s="1" t="s">
        <v>4579</v>
      </c>
      <c r="F13814" s="1">
        <v>2</v>
      </c>
      <c r="G13814" s="1">
        <v>4296</v>
      </c>
      <c r="H13814" s="1">
        <v>8592</v>
      </c>
      <c r="I13814" s="1">
        <v>0</v>
      </c>
      <c r="J13814" s="1">
        <v>2</v>
      </c>
      <c r="K13814" s="1">
        <v>0</v>
      </c>
    </row>
    <row r="13815" spans="1:11" x14ac:dyDescent="0.2">
      <c r="A13815" s="1" t="s">
        <v>3386</v>
      </c>
      <c r="B13815" s="1" t="s">
        <v>3395</v>
      </c>
      <c r="C13815" s="1" t="str">
        <f>"66298918557448"</f>
        <v>66298918557448</v>
      </c>
      <c r="D13815" s="1" t="str">
        <f>"GB003"</f>
        <v>GB003</v>
      </c>
      <c r="E13815" s="1" t="s">
        <v>4579</v>
      </c>
      <c r="F13815" s="1">
        <v>2</v>
      </c>
      <c r="G13815" s="1">
        <v>2652</v>
      </c>
      <c r="H13815" s="1">
        <v>5304</v>
      </c>
      <c r="I13815" s="1">
        <v>0</v>
      </c>
      <c r="J13815" s="1">
        <v>2</v>
      </c>
      <c r="K13815" s="1">
        <v>0</v>
      </c>
    </row>
    <row r="13816" spans="1:11" x14ac:dyDescent="0.2">
      <c r="A13816" s="1" t="s">
        <v>3386</v>
      </c>
      <c r="B13816" s="1" t="s">
        <v>3396</v>
      </c>
      <c r="C13816" s="1" t="str">
        <f>"GB004"</f>
        <v>GB004</v>
      </c>
      <c r="D13816" s="1" t="str">
        <f>"GB004"</f>
        <v>GB004</v>
      </c>
      <c r="E13816" s="1" t="s">
        <v>4579</v>
      </c>
      <c r="F13816" s="1">
        <v>2</v>
      </c>
      <c r="G13816" s="1">
        <v>5124</v>
      </c>
      <c r="H13816" s="1">
        <v>10248</v>
      </c>
      <c r="I13816" s="1">
        <v>0</v>
      </c>
      <c r="J13816" s="1">
        <v>2</v>
      </c>
      <c r="K13816" s="1">
        <v>0</v>
      </c>
    </row>
    <row r="13817" spans="1:11" x14ac:dyDescent="0.2">
      <c r="A13817" s="1" t="s">
        <v>3386</v>
      </c>
      <c r="B13817" s="1" t="s">
        <v>3397</v>
      </c>
      <c r="C13817" s="1" t="str">
        <f>"66298918596754"</f>
        <v>66298918596754</v>
      </c>
      <c r="D13817" s="1" t="str">
        <f>"400437"</f>
        <v>400437</v>
      </c>
      <c r="E13817" s="1" t="s">
        <v>4579</v>
      </c>
      <c r="F13817" s="1">
        <v>2</v>
      </c>
      <c r="G13817" s="1">
        <v>843</v>
      </c>
      <c r="H13817" s="1">
        <v>1686</v>
      </c>
      <c r="I13817" s="1">
        <v>0</v>
      </c>
      <c r="J13817" s="1">
        <v>2</v>
      </c>
      <c r="K13817" s="1">
        <v>0</v>
      </c>
    </row>
    <row r="13818" spans="1:11" x14ac:dyDescent="0.2">
      <c r="A13818" s="1" t="s">
        <v>3386</v>
      </c>
      <c r="B13818" s="1" t="s">
        <v>3398</v>
      </c>
      <c r="C13818" s="1" t="str">
        <f>"GB006"</f>
        <v>GB006</v>
      </c>
      <c r="D13818" s="1" t="str">
        <f>"GB006"</f>
        <v>GB006</v>
      </c>
      <c r="E13818" s="1" t="s">
        <v>4579</v>
      </c>
      <c r="F13818" s="1">
        <v>2</v>
      </c>
      <c r="G13818" s="1">
        <v>1990</v>
      </c>
      <c r="H13818" s="1">
        <v>3980</v>
      </c>
      <c r="I13818" s="1">
        <v>0</v>
      </c>
      <c r="J13818" s="1">
        <v>2</v>
      </c>
      <c r="K13818" s="1">
        <v>0</v>
      </c>
    </row>
    <row r="13819" spans="1:11" x14ac:dyDescent="0.2">
      <c r="A13819" s="1" t="s">
        <v>3386</v>
      </c>
      <c r="B13819" s="1" t="s">
        <v>3399</v>
      </c>
      <c r="C13819" s="1" t="str">
        <f>"66298918637269"</f>
        <v>66298918637269</v>
      </c>
      <c r="D13819" s="1" t="str">
        <f>"400010"</f>
        <v>400010</v>
      </c>
      <c r="E13819" s="1" t="s">
        <v>4579</v>
      </c>
      <c r="F13819" s="1">
        <v>1</v>
      </c>
      <c r="G13819" s="1">
        <v>3184</v>
      </c>
      <c r="H13819" s="1">
        <v>3184</v>
      </c>
      <c r="I13819" s="1">
        <v>0</v>
      </c>
      <c r="J13819" s="1">
        <v>1</v>
      </c>
      <c r="K13819" s="1">
        <v>0</v>
      </c>
    </row>
    <row r="13820" spans="1:11" x14ac:dyDescent="0.2">
      <c r="A13820" s="1" t="s">
        <v>3386</v>
      </c>
      <c r="B13820" s="1" t="s">
        <v>3400</v>
      </c>
      <c r="C13820" s="1" t="str">
        <f>"66298918680060"</f>
        <v>66298918680060</v>
      </c>
      <c r="D13820" s="1" t="str">
        <f>"25600H2C000H000"</f>
        <v>25600H2C000H000</v>
      </c>
      <c r="E13820" s="1" t="s">
        <v>4579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</row>
    <row r="13821" spans="1:11" x14ac:dyDescent="0.2">
      <c r="A13821" s="1" t="s">
        <v>3386</v>
      </c>
      <c r="B13821" s="1" t="s">
        <v>3401</v>
      </c>
      <c r="C13821" s="1" t="str">
        <f>"66298918723487"</f>
        <v>66298918723487</v>
      </c>
      <c r="D13821" s="1" t="str">
        <f>"25600H40100H000"</f>
        <v>25600H40100H000</v>
      </c>
      <c r="E13821" s="1" t="s">
        <v>4579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</row>
    <row r="13822" spans="1:11" x14ac:dyDescent="0.2">
      <c r="A13822" s="1" t="s">
        <v>3386</v>
      </c>
      <c r="B13822" s="1" t="s">
        <v>3402</v>
      </c>
      <c r="C13822" s="1" t="str">
        <f>"66298918811092"</f>
        <v>66298918811092</v>
      </c>
      <c r="D13822" s="1" t="str">
        <f>"400229"</f>
        <v>400229</v>
      </c>
      <c r="E13822" s="1" t="s">
        <v>4579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</row>
    <row r="13823" spans="1:11" x14ac:dyDescent="0.2">
      <c r="A13823" s="1" t="s">
        <v>3386</v>
      </c>
      <c r="B13823" s="1" t="s">
        <v>3403</v>
      </c>
      <c r="C13823" s="1" t="str">
        <f>"66298918767415"</f>
        <v>66298918767415</v>
      </c>
      <c r="D13823" s="1" t="str">
        <f>"PED-CAM-NXR"</f>
        <v>PED-CAM-NXR</v>
      </c>
      <c r="E13823" s="1" t="s">
        <v>4579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</row>
    <row r="13824" spans="1:11" x14ac:dyDescent="0.2">
      <c r="A13824" s="1" t="s">
        <v>3386</v>
      </c>
      <c r="B13824" s="1" t="s">
        <v>3404</v>
      </c>
      <c r="C13824" s="1" t="str">
        <f>"66298918852235"</f>
        <v>66298918852235</v>
      </c>
      <c r="D13824" s="1" t="str">
        <f>"400444"</f>
        <v>400444</v>
      </c>
      <c r="E13824" s="1" t="s">
        <v>4579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</row>
    <row r="13825" spans="1:11" x14ac:dyDescent="0.2">
      <c r="A13825" s="1" t="s">
        <v>3386</v>
      </c>
      <c r="B13825" s="1" t="s">
        <v>3405</v>
      </c>
      <c r="C13825" s="1" t="str">
        <f>"66298918894612"</f>
        <v>66298918894612</v>
      </c>
      <c r="D13825" s="1" t="str">
        <f>"400440"</f>
        <v>400440</v>
      </c>
      <c r="E13825" s="1" t="s">
        <v>4579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</row>
    <row r="13826" spans="1:11" x14ac:dyDescent="0.2">
      <c r="A13826" s="1" t="s">
        <v>3386</v>
      </c>
      <c r="B13826" s="1" t="s">
        <v>3406</v>
      </c>
      <c r="C13826" s="1" t="str">
        <f>"66298918935840"</f>
        <v>66298918935840</v>
      </c>
      <c r="D13826" s="1" t="str">
        <f>"400441"</f>
        <v>400441</v>
      </c>
      <c r="E13826" s="1" t="s">
        <v>4579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</row>
    <row r="13827" spans="1:11" x14ac:dyDescent="0.2">
      <c r="A13827" s="1" t="s">
        <v>3386</v>
      </c>
      <c r="B13827" s="1" t="s">
        <v>3407</v>
      </c>
      <c r="C13827" s="1" t="str">
        <f>"66298918977564"</f>
        <v>66298918977564</v>
      </c>
      <c r="D13827" s="1" t="str">
        <f>"25600H37210H000"</f>
        <v>25600H37210H000</v>
      </c>
      <c r="E13827" s="1" t="s">
        <v>4579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</row>
    <row r="13828" spans="1:11" x14ac:dyDescent="0.2">
      <c r="A13828" s="1" t="s">
        <v>3386</v>
      </c>
      <c r="B13828" s="1" t="s">
        <v>3408</v>
      </c>
      <c r="C13828" s="1" t="str">
        <f>"66298919020223"</f>
        <v>66298919020223</v>
      </c>
      <c r="D13828" s="1" t="str">
        <f>"400442"</f>
        <v>400442</v>
      </c>
      <c r="E13828" s="1" t="s">
        <v>4579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</row>
    <row r="13829" spans="1:11" x14ac:dyDescent="0.2">
      <c r="A13829" s="1" t="s">
        <v>3386</v>
      </c>
      <c r="B13829" s="1" t="s">
        <v>3409</v>
      </c>
      <c r="C13829" s="1" t="str">
        <f>"66298919061798"</f>
        <v>66298919061798</v>
      </c>
      <c r="D13829" s="1" t="str">
        <f>"400438"</f>
        <v>400438</v>
      </c>
      <c r="E13829" s="1" t="s">
        <v>4579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</row>
    <row r="13830" spans="1:11" x14ac:dyDescent="0.2">
      <c r="A13830" s="1" t="s">
        <v>3386</v>
      </c>
      <c r="B13830" s="1" t="s">
        <v>3410</v>
      </c>
      <c r="C13830" s="1" t="str">
        <f>"66298919103237"</f>
        <v>66298919103237</v>
      </c>
      <c r="D13830" s="1" t="str">
        <f>"20PWE811100"</f>
        <v>20PWE811100</v>
      </c>
      <c r="E13830" s="1" t="s">
        <v>4579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</row>
    <row r="13831" spans="1:11" x14ac:dyDescent="0.2">
      <c r="A13831" s="1" t="s">
        <v>3386</v>
      </c>
      <c r="B13831" s="1" t="s">
        <v>3411</v>
      </c>
      <c r="C13831" s="1" t="str">
        <f>"B070"</f>
        <v>B070</v>
      </c>
      <c r="D13831" s="1" t="str">
        <f>"B070"</f>
        <v>B070</v>
      </c>
      <c r="E13831" s="1" t="s">
        <v>4579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</row>
    <row r="13832" spans="1:11" x14ac:dyDescent="0.2">
      <c r="A13832" s="1" t="s">
        <v>3386</v>
      </c>
      <c r="B13832" s="1" t="s">
        <v>3412</v>
      </c>
      <c r="C13832" s="1" t="str">
        <f>"66298919141626"</f>
        <v>66298919141626</v>
      </c>
      <c r="D13832" s="1" t="str">
        <f>"588006"</f>
        <v>588006</v>
      </c>
      <c r="E13832" s="1" t="s">
        <v>4579</v>
      </c>
      <c r="F13832" s="1">
        <v>1</v>
      </c>
      <c r="G13832" s="1">
        <v>2590</v>
      </c>
      <c r="H13832" s="1">
        <v>2590</v>
      </c>
      <c r="I13832" s="1">
        <v>0</v>
      </c>
      <c r="J13832" s="1">
        <v>1</v>
      </c>
      <c r="K13832" s="1">
        <v>0</v>
      </c>
    </row>
    <row r="13833" spans="1:11" x14ac:dyDescent="0.2">
      <c r="A13833" s="1" t="s">
        <v>3386</v>
      </c>
      <c r="B13833" s="1" t="s">
        <v>3413</v>
      </c>
      <c r="C13833" s="1" t="str">
        <f>"66298919180117"</f>
        <v>66298919180117</v>
      </c>
      <c r="D13833" s="1" t="str">
        <f>"400457"</f>
        <v>400457</v>
      </c>
      <c r="E13833" s="1" t="s">
        <v>4579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</row>
    <row r="13834" spans="1:11" x14ac:dyDescent="0.2">
      <c r="A13834" s="1" t="s">
        <v>3386</v>
      </c>
      <c r="B13834" s="1" t="s">
        <v>3414</v>
      </c>
      <c r="C13834" s="1" t="str">
        <f>"66298919218508"</f>
        <v>66298919218508</v>
      </c>
      <c r="D13834" s="1" t="str">
        <f>"GC003"</f>
        <v>GC003</v>
      </c>
      <c r="E13834" s="1" t="s">
        <v>4579</v>
      </c>
      <c r="F13834" s="1">
        <v>2</v>
      </c>
      <c r="G13834" s="1">
        <v>6320</v>
      </c>
      <c r="H13834" s="1">
        <v>12640</v>
      </c>
      <c r="I13834" s="1">
        <v>0</v>
      </c>
      <c r="J13834" s="1">
        <v>2</v>
      </c>
      <c r="K13834" s="1">
        <v>0</v>
      </c>
    </row>
    <row r="13835" spans="1:11" x14ac:dyDescent="0.2">
      <c r="A13835" s="1" t="s">
        <v>3386</v>
      </c>
      <c r="B13835" s="1" t="s">
        <v>3415</v>
      </c>
      <c r="C13835" s="1" t="str">
        <f>"66298919256418"</f>
        <v>66298919256418</v>
      </c>
      <c r="D13835" s="1" t="str">
        <f>"PED-PART-CG100"</f>
        <v>PED-PART-CG100</v>
      </c>
      <c r="E13835" s="1" t="s">
        <v>4579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</row>
    <row r="13836" spans="1:11" x14ac:dyDescent="0.2">
      <c r="A13836" s="1" t="s">
        <v>3386</v>
      </c>
      <c r="B13836" s="1" t="s">
        <v>3416</v>
      </c>
      <c r="C13836" s="1" t="str">
        <f>"66298919346472"</f>
        <v>66298919346472</v>
      </c>
      <c r="D13836" s="1" t="str">
        <f>"400473"</f>
        <v>400473</v>
      </c>
      <c r="E13836" s="1" t="s">
        <v>4579</v>
      </c>
      <c r="F13836" s="1">
        <v>1</v>
      </c>
      <c r="G13836" s="1">
        <v>1875</v>
      </c>
      <c r="H13836" s="1">
        <v>1875</v>
      </c>
      <c r="I13836" s="1">
        <v>0</v>
      </c>
      <c r="J13836" s="1">
        <v>1</v>
      </c>
      <c r="K13836" s="1">
        <v>0</v>
      </c>
    </row>
    <row r="13837" spans="1:11" x14ac:dyDescent="0.2">
      <c r="A13837" s="1" t="s">
        <v>3386</v>
      </c>
      <c r="B13837" s="1" t="s">
        <v>3417</v>
      </c>
      <c r="C13837" s="1" t="str">
        <f>"66298919389219"</f>
        <v>66298919389219</v>
      </c>
      <c r="D13837" s="1" t="str">
        <f>"GA008"</f>
        <v>GA008</v>
      </c>
      <c r="E13837" s="1" t="s">
        <v>4579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</row>
    <row r="13838" spans="1:11" x14ac:dyDescent="0.2">
      <c r="A13838" s="1" t="s">
        <v>3386</v>
      </c>
      <c r="B13838" s="1" t="s">
        <v>3418</v>
      </c>
      <c r="C13838" s="1" t="str">
        <f>"66298919430830"</f>
        <v>66298919430830</v>
      </c>
      <c r="D13838" s="1" t="str">
        <f>"2063"</f>
        <v>2063</v>
      </c>
      <c r="E13838" s="1" t="s">
        <v>4579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</row>
    <row r="13839" spans="1:11" x14ac:dyDescent="0.2">
      <c r="A13839" s="1" t="s">
        <v>3386</v>
      </c>
      <c r="B13839" s="1" t="s">
        <v>3419</v>
      </c>
      <c r="C13839" s="1" t="str">
        <f>"66298919298152"</f>
        <v>66298919298152</v>
      </c>
      <c r="D13839" s="1" t="str">
        <f>"GA006"</f>
        <v>GA006</v>
      </c>
      <c r="E13839" s="1" t="s">
        <v>4579</v>
      </c>
      <c r="F13839" s="1">
        <v>2</v>
      </c>
      <c r="G13839" s="1">
        <v>2988</v>
      </c>
      <c r="H13839" s="1">
        <v>5976</v>
      </c>
      <c r="I13839" s="1">
        <v>0</v>
      </c>
      <c r="J13839" s="1">
        <v>2</v>
      </c>
      <c r="K13839" s="1">
        <v>0</v>
      </c>
    </row>
    <row r="13840" spans="1:11" x14ac:dyDescent="0.2">
      <c r="A13840" s="1" t="s">
        <v>3386</v>
      </c>
      <c r="B13840" s="1" t="s">
        <v>3419</v>
      </c>
      <c r="C13840" s="1" t="str">
        <f>"B071"</f>
        <v>B071</v>
      </c>
      <c r="D13840" s="1" t="str">
        <f>"B071"</f>
        <v>B071</v>
      </c>
      <c r="E13840" s="1" t="s">
        <v>4579</v>
      </c>
      <c r="F13840" s="1">
        <v>1</v>
      </c>
      <c r="G13840" s="1">
        <v>3220</v>
      </c>
      <c r="H13840" s="1">
        <v>3220</v>
      </c>
      <c r="I13840" s="1">
        <v>0</v>
      </c>
      <c r="J13840" s="1">
        <v>1</v>
      </c>
      <c r="K13840" s="1">
        <v>0</v>
      </c>
    </row>
    <row r="13841" spans="1:11" x14ac:dyDescent="0.2">
      <c r="A13841" s="1" t="s">
        <v>3386</v>
      </c>
      <c r="B13841" s="1" t="s">
        <v>3420</v>
      </c>
      <c r="C13841" s="1" t="str">
        <f>"66298919607747"</f>
        <v>66298919607747</v>
      </c>
      <c r="D13841" s="1" t="str">
        <f>"GA001"</f>
        <v>GA001</v>
      </c>
      <c r="E13841" s="1" t="s">
        <v>4579</v>
      </c>
      <c r="F13841" s="1">
        <v>2</v>
      </c>
      <c r="G13841" s="1">
        <v>3540</v>
      </c>
      <c r="H13841" s="1">
        <v>7080</v>
      </c>
      <c r="I13841" s="1">
        <v>0</v>
      </c>
      <c r="J13841" s="1">
        <v>2</v>
      </c>
      <c r="K13841" s="1">
        <v>0</v>
      </c>
    </row>
    <row r="13842" spans="1:11" x14ac:dyDescent="0.2">
      <c r="A13842" s="1" t="s">
        <v>3386</v>
      </c>
      <c r="B13842" s="1" t="s">
        <v>3421</v>
      </c>
      <c r="C13842" s="1" t="str">
        <f>"66298919566376"</f>
        <v>66298919566376</v>
      </c>
      <c r="D13842" s="1" t="str">
        <f>"400233"</f>
        <v>400233</v>
      </c>
      <c r="E13842" s="1" t="s">
        <v>4579</v>
      </c>
      <c r="F13842" s="1">
        <v>1</v>
      </c>
      <c r="G13842" s="1">
        <v>1683</v>
      </c>
      <c r="H13842" s="1">
        <v>1683</v>
      </c>
      <c r="I13842" s="1">
        <v>0</v>
      </c>
      <c r="J13842" s="1">
        <v>1</v>
      </c>
      <c r="K13842" s="1">
        <v>0</v>
      </c>
    </row>
    <row r="13843" spans="1:11" x14ac:dyDescent="0.2">
      <c r="A13843" s="1" t="s">
        <v>3386</v>
      </c>
      <c r="B13843" s="1" t="s">
        <v>3422</v>
      </c>
      <c r="C13843" s="1" t="str">
        <f>"66298919470820"</f>
        <v>66298919470820</v>
      </c>
      <c r="D13843" s="1" t="str">
        <f>"625"</f>
        <v>625</v>
      </c>
      <c r="E13843" s="1" t="s">
        <v>4579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</row>
    <row r="13844" spans="1:11" x14ac:dyDescent="0.2">
      <c r="A13844" s="1" t="s">
        <v>3386</v>
      </c>
      <c r="B13844" s="1" t="s">
        <v>3422</v>
      </c>
      <c r="C13844" s="1" t="str">
        <f>"66298919521712"</f>
        <v>66298919521712</v>
      </c>
      <c r="D13844" s="1" t="str">
        <f>"GA009"</f>
        <v>GA009</v>
      </c>
      <c r="E13844" s="1" t="s">
        <v>4579</v>
      </c>
      <c r="F13844" s="1">
        <v>2</v>
      </c>
      <c r="G13844" s="1">
        <v>3744</v>
      </c>
      <c r="H13844" s="1">
        <v>7488</v>
      </c>
      <c r="I13844" s="1">
        <v>0</v>
      </c>
      <c r="J13844" s="1">
        <v>2</v>
      </c>
      <c r="K13844" s="1">
        <v>0</v>
      </c>
    </row>
    <row r="13845" spans="1:11" x14ac:dyDescent="0.2">
      <c r="A13845" s="1" t="s">
        <v>3386</v>
      </c>
      <c r="B13845" s="1" t="s">
        <v>3423</v>
      </c>
      <c r="C13845" s="1" t="str">
        <f>"66298919652638"</f>
        <v>66298919652638</v>
      </c>
      <c r="D13845" s="1" t="str">
        <f>"GA011"</f>
        <v>GA011</v>
      </c>
      <c r="E13845" s="1" t="s">
        <v>4579</v>
      </c>
      <c r="F13845" s="1">
        <v>1</v>
      </c>
      <c r="G13845" s="1">
        <v>3674</v>
      </c>
      <c r="H13845" s="1">
        <v>3674</v>
      </c>
      <c r="I13845" s="1">
        <v>0</v>
      </c>
      <c r="J13845" s="1">
        <v>1</v>
      </c>
      <c r="K13845" s="1">
        <v>0</v>
      </c>
    </row>
    <row r="13846" spans="1:11" x14ac:dyDescent="0.2">
      <c r="A13846" s="1" t="s">
        <v>3386</v>
      </c>
      <c r="B13846" s="1" t="s">
        <v>3424</v>
      </c>
      <c r="C13846" s="1" t="str">
        <f>"66298919694313"</f>
        <v>66298919694313</v>
      </c>
      <c r="D13846" s="1" t="str">
        <f>"400470"</f>
        <v>400470</v>
      </c>
      <c r="E13846" s="1" t="s">
        <v>4579</v>
      </c>
      <c r="F13846" s="1">
        <v>1</v>
      </c>
      <c r="G13846" s="1">
        <v>2154</v>
      </c>
      <c r="H13846" s="1">
        <v>2154</v>
      </c>
      <c r="I13846" s="1">
        <v>0</v>
      </c>
      <c r="J13846" s="1">
        <v>1</v>
      </c>
      <c r="K13846" s="1">
        <v>0</v>
      </c>
    </row>
    <row r="13847" spans="1:11" x14ac:dyDescent="0.2">
      <c r="A13847" s="1" t="s">
        <v>3386</v>
      </c>
      <c r="B13847" s="1" t="s">
        <v>3425</v>
      </c>
      <c r="C13847" s="1" t="str">
        <f>"66298919733595"</f>
        <v>66298919733595</v>
      </c>
      <c r="D13847" s="1" t="str">
        <f>"588005"</f>
        <v>588005</v>
      </c>
      <c r="E13847" s="1" t="s">
        <v>4579</v>
      </c>
      <c r="F13847" s="1">
        <v>1</v>
      </c>
      <c r="G13847" s="1">
        <v>3485</v>
      </c>
      <c r="H13847" s="1">
        <v>3485</v>
      </c>
      <c r="I13847" s="1">
        <v>0</v>
      </c>
      <c r="J13847" s="1">
        <v>1</v>
      </c>
      <c r="K13847" s="1">
        <v>0</v>
      </c>
    </row>
    <row r="13848" spans="1:11" x14ac:dyDescent="0.2">
      <c r="A13848" s="1" t="s">
        <v>3386</v>
      </c>
      <c r="B13848" s="1" t="s">
        <v>3426</v>
      </c>
      <c r="C13848" s="1" t="str">
        <f>"66298919777684"</f>
        <v>66298919777684</v>
      </c>
      <c r="D13848" s="1" t="str">
        <f>"GA003"</f>
        <v>GA003</v>
      </c>
      <c r="E13848" s="1" t="s">
        <v>4579</v>
      </c>
      <c r="F13848" s="1">
        <v>1</v>
      </c>
      <c r="G13848" s="1">
        <v>4476</v>
      </c>
      <c r="H13848" s="1">
        <v>4476</v>
      </c>
      <c r="I13848" s="1">
        <v>0</v>
      </c>
      <c r="J13848" s="1">
        <v>1</v>
      </c>
      <c r="K13848" s="1">
        <v>0</v>
      </c>
    </row>
    <row r="13849" spans="1:11" x14ac:dyDescent="0.2">
      <c r="A13849" s="1" t="s">
        <v>3386</v>
      </c>
      <c r="B13849" s="1" t="s">
        <v>3427</v>
      </c>
      <c r="C13849" s="1" t="str">
        <f>"66298919819333"</f>
        <v>66298919819333</v>
      </c>
      <c r="D13849" s="1" t="str">
        <f>"1573"</f>
        <v>1573</v>
      </c>
      <c r="E13849" s="1" t="s">
        <v>4579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</row>
    <row r="13850" spans="1:11" x14ac:dyDescent="0.2">
      <c r="A13850" s="1" t="s">
        <v>3386</v>
      </c>
      <c r="B13850" s="1" t="s">
        <v>3427</v>
      </c>
      <c r="C13850" s="1" t="str">
        <f>"66298919877975"</f>
        <v>66298919877975</v>
      </c>
      <c r="D13850" s="1" t="str">
        <f>"82639"</f>
        <v>82639</v>
      </c>
      <c r="E13850" s="1" t="s">
        <v>4579</v>
      </c>
      <c r="F13850" s="1">
        <v>1</v>
      </c>
      <c r="G13850" s="1">
        <v>3869</v>
      </c>
      <c r="H13850" s="1">
        <v>3869</v>
      </c>
      <c r="I13850" s="1">
        <v>0</v>
      </c>
      <c r="J13850" s="1">
        <v>1</v>
      </c>
      <c r="K13850" s="1">
        <v>0</v>
      </c>
    </row>
    <row r="13851" spans="1:11" x14ac:dyDescent="0.2">
      <c r="A13851" s="1" t="s">
        <v>3386</v>
      </c>
      <c r="B13851" s="1" t="s">
        <v>3428</v>
      </c>
      <c r="C13851" s="1" t="str">
        <f>"66298919917960"</f>
        <v>66298919917960</v>
      </c>
      <c r="D13851" s="1" t="str">
        <f>"400472"</f>
        <v>400472</v>
      </c>
      <c r="E13851" s="1" t="s">
        <v>4579</v>
      </c>
      <c r="F13851" s="1">
        <v>1</v>
      </c>
      <c r="G13851" s="1">
        <v>2097</v>
      </c>
      <c r="H13851" s="1">
        <v>2097</v>
      </c>
      <c r="I13851" s="1">
        <v>0</v>
      </c>
      <c r="J13851" s="1">
        <v>1</v>
      </c>
      <c r="K13851" s="1">
        <v>0</v>
      </c>
    </row>
    <row r="13852" spans="1:11" x14ac:dyDescent="0.2">
      <c r="A13852" s="1" t="s">
        <v>3386</v>
      </c>
      <c r="B13852" s="1" t="s">
        <v>3429</v>
      </c>
      <c r="C13852" s="1" t="str">
        <f>"66298919960157"</f>
        <v>66298919960157</v>
      </c>
      <c r="D13852" s="1" t="str">
        <f>"C066"</f>
        <v>C066</v>
      </c>
      <c r="E13852" s="1" t="s">
        <v>4579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</row>
    <row r="13853" spans="1:11" x14ac:dyDescent="0.2">
      <c r="A13853" s="1" t="s">
        <v>3386</v>
      </c>
      <c r="B13853" s="1" t="s">
        <v>3430</v>
      </c>
      <c r="C13853" s="1" t="str">
        <f>"66298920005016"</f>
        <v>66298920005016</v>
      </c>
      <c r="D13853" s="1" t="str">
        <f>"13519"</f>
        <v>13519</v>
      </c>
      <c r="E13853" s="1" t="s">
        <v>4579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</row>
    <row r="13854" spans="1:11" x14ac:dyDescent="0.2">
      <c r="A13854" s="1" t="s">
        <v>3386</v>
      </c>
      <c r="B13854" s="1" t="s">
        <v>3431</v>
      </c>
      <c r="C13854" s="1" t="str">
        <f>"66298920050410"</f>
        <v>66298920050410</v>
      </c>
      <c r="D13854" s="1" t="str">
        <f>"400474"</f>
        <v>400474</v>
      </c>
      <c r="E13854" s="1" t="s">
        <v>4579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</row>
    <row r="13855" spans="1:11" x14ac:dyDescent="0.2">
      <c r="A13855" s="1" t="s">
        <v>3386</v>
      </c>
      <c r="B13855" s="1" t="s">
        <v>3432</v>
      </c>
      <c r="C13855" s="1" t="str">
        <f>"H2119"</f>
        <v>H2119</v>
      </c>
      <c r="D13855" s="1" t="str">
        <f>"H2119"</f>
        <v>H2119</v>
      </c>
      <c r="E13855" s="1" t="s">
        <v>4579</v>
      </c>
      <c r="F13855" s="1">
        <v>1</v>
      </c>
      <c r="G13855" s="1">
        <v>2760</v>
      </c>
      <c r="H13855" s="1">
        <v>2760</v>
      </c>
      <c r="I13855" s="1">
        <v>0</v>
      </c>
      <c r="J13855" s="1">
        <v>1</v>
      </c>
      <c r="K13855" s="1">
        <v>0</v>
      </c>
    </row>
    <row r="13856" spans="1:11" x14ac:dyDescent="0.2">
      <c r="A13856" s="1" t="s">
        <v>3386</v>
      </c>
      <c r="B13856" s="1" t="s">
        <v>3432</v>
      </c>
      <c r="C13856" s="1" t="str">
        <f>"GA005"</f>
        <v>GA005</v>
      </c>
      <c r="D13856" s="1" t="str">
        <f>"GA005"</f>
        <v>GA005</v>
      </c>
      <c r="E13856" s="1" t="s">
        <v>4579</v>
      </c>
      <c r="F13856" s="1">
        <v>2</v>
      </c>
      <c r="G13856" s="1">
        <v>3140</v>
      </c>
      <c r="H13856" s="1">
        <v>6280</v>
      </c>
      <c r="I13856" s="1">
        <v>0</v>
      </c>
      <c r="J13856" s="1">
        <v>2</v>
      </c>
      <c r="K13856" s="1">
        <v>0</v>
      </c>
    </row>
    <row r="13857" spans="1:11" x14ac:dyDescent="0.2">
      <c r="A13857" s="1" t="s">
        <v>3386</v>
      </c>
      <c r="B13857" s="1" t="s">
        <v>3433</v>
      </c>
      <c r="C13857" s="1" t="str">
        <f>"GA007"</f>
        <v>GA007</v>
      </c>
      <c r="D13857" s="1" t="str">
        <f>"GA007"</f>
        <v>GA007</v>
      </c>
      <c r="E13857" s="1" t="s">
        <v>4579</v>
      </c>
      <c r="F13857" s="1">
        <v>1</v>
      </c>
      <c r="G13857" s="1">
        <v>3320</v>
      </c>
      <c r="H13857" s="1">
        <v>3320</v>
      </c>
      <c r="I13857" s="1">
        <v>0</v>
      </c>
      <c r="J13857" s="1">
        <v>1</v>
      </c>
      <c r="K13857" s="1">
        <v>0</v>
      </c>
    </row>
    <row r="13858" spans="1:11" x14ac:dyDescent="0.2">
      <c r="A13858" s="1" t="s">
        <v>3386</v>
      </c>
      <c r="B13858" s="1" t="s">
        <v>3434</v>
      </c>
      <c r="C13858" s="1" t="str">
        <f>"66298920154455"</f>
        <v>66298920154455</v>
      </c>
      <c r="D13858" s="1" t="str">
        <f>"PP-CG125"</f>
        <v>PP-CG125</v>
      </c>
      <c r="E13858" s="1" t="s">
        <v>4579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</row>
    <row r="13859" spans="1:11" x14ac:dyDescent="0.2">
      <c r="A13859" s="1" t="s">
        <v>3386</v>
      </c>
      <c r="B13859" s="1" t="s">
        <v>3435</v>
      </c>
      <c r="C13859" s="1" t="str">
        <f>"66298920114873"</f>
        <v>66298920114873</v>
      </c>
      <c r="D13859" s="1" t="str">
        <f>"81003"</f>
        <v>81003</v>
      </c>
      <c r="E13859" s="1" t="s">
        <v>4579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</row>
    <row r="13860" spans="1:11" x14ac:dyDescent="0.2">
      <c r="A13860" s="1" t="s">
        <v>3386</v>
      </c>
      <c r="B13860" s="1" t="s">
        <v>3436</v>
      </c>
      <c r="C13860" s="1" t="str">
        <f>"GA002"</f>
        <v>GA002</v>
      </c>
      <c r="D13860" s="1" t="str">
        <f>"GA002"</f>
        <v>GA002</v>
      </c>
      <c r="E13860" s="1" t="s">
        <v>4579</v>
      </c>
      <c r="F13860" s="1">
        <v>1</v>
      </c>
      <c r="G13860" s="1">
        <v>4210</v>
      </c>
      <c r="H13860" s="1">
        <v>4210</v>
      </c>
      <c r="I13860" s="1">
        <v>0</v>
      </c>
      <c r="J13860" s="1">
        <v>1</v>
      </c>
      <c r="K13860" s="1">
        <v>0</v>
      </c>
    </row>
    <row r="13861" spans="1:11" x14ac:dyDescent="0.2">
      <c r="A13861" s="1" t="s">
        <v>3386</v>
      </c>
      <c r="B13861" s="1" t="s">
        <v>3437</v>
      </c>
      <c r="C13861" s="1" t="str">
        <f>"66298920194394"</f>
        <v>66298920194394</v>
      </c>
      <c r="D13861" s="1" t="str">
        <f>"82616"</f>
        <v>82616</v>
      </c>
      <c r="E13861" s="1" t="s">
        <v>4579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</row>
    <row r="13862" spans="1:11" x14ac:dyDescent="0.2">
      <c r="A13862" s="1" t="s">
        <v>3386</v>
      </c>
      <c r="B13862" s="1" t="s">
        <v>3438</v>
      </c>
      <c r="C13862" s="1" t="str">
        <f>"66298920276463"</f>
        <v>66298920276463</v>
      </c>
      <c r="D13862" s="1" t="str">
        <f>"400471"</f>
        <v>400471</v>
      </c>
      <c r="E13862" s="1" t="s">
        <v>4579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</row>
    <row r="13863" spans="1:11" x14ac:dyDescent="0.2">
      <c r="A13863" s="1" t="s">
        <v>3386</v>
      </c>
      <c r="B13863" s="1" t="s">
        <v>3439</v>
      </c>
      <c r="C13863" s="1" t="str">
        <f>"66298920234269"</f>
        <v>66298920234269</v>
      </c>
      <c r="D13863" s="1" t="str">
        <f>"81004"</f>
        <v>81004</v>
      </c>
      <c r="E13863" s="1" t="s">
        <v>4579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</row>
    <row r="13864" spans="1:11" x14ac:dyDescent="0.2">
      <c r="A13864" s="1" t="s">
        <v>3386</v>
      </c>
      <c r="B13864" s="1" t="s">
        <v>3440</v>
      </c>
      <c r="C13864" s="1" t="str">
        <f>"G203"</f>
        <v>G203</v>
      </c>
      <c r="D13864" s="1" t="str">
        <f>"G203"</f>
        <v>G203</v>
      </c>
      <c r="E13864" s="1" t="s">
        <v>4579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</row>
    <row r="13865" spans="1:11" x14ac:dyDescent="0.2">
      <c r="A13865" s="1" t="s">
        <v>3441</v>
      </c>
      <c r="B13865" s="1" t="s">
        <v>3442</v>
      </c>
      <c r="C13865" s="1" t="str">
        <f>"GAA001-FZ-IZQ"</f>
        <v>GAA001-FZ-IZQ</v>
      </c>
      <c r="D13865" s="1" t="str">
        <f>"GAA001-FZ-IZQ"</f>
        <v>GAA001-FZ-IZQ</v>
      </c>
      <c r="E13865" s="1" t="s">
        <v>4579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</row>
    <row r="13866" spans="1:11" x14ac:dyDescent="0.2">
      <c r="A13866" s="1" t="s">
        <v>3441</v>
      </c>
      <c r="B13866" s="1" t="s">
        <v>3443</v>
      </c>
      <c r="C13866" s="1" t="str">
        <f>"66298920318640"</f>
        <v>66298920318640</v>
      </c>
      <c r="D13866" s="1" t="str">
        <f>"43501H2C000H000"</f>
        <v>43501H2C000H000</v>
      </c>
      <c r="E13866" s="1" t="s">
        <v>4579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</row>
    <row r="13867" spans="1:11" x14ac:dyDescent="0.2">
      <c r="A13867" s="1" t="s">
        <v>3441</v>
      </c>
      <c r="B13867" s="1" t="s">
        <v>3444</v>
      </c>
      <c r="C13867" s="1" t="str">
        <f>"20P-F7461-00"</f>
        <v>20P-F7461-00</v>
      </c>
      <c r="D13867" s="1" t="str">
        <f>"20P-F7461-00"</f>
        <v>20P-F7461-00</v>
      </c>
      <c r="E13867" s="1" t="s">
        <v>4579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</row>
    <row r="13868" spans="1:11" x14ac:dyDescent="0.2">
      <c r="A13868" s="1" t="s">
        <v>3441</v>
      </c>
      <c r="B13868" s="1" t="s">
        <v>3445</v>
      </c>
      <c r="C13868" s="1" t="str">
        <f>"20P-F7451-00"</f>
        <v>20P-F7451-00</v>
      </c>
      <c r="D13868" s="1" t="str">
        <f>"20P-F7451-00"</f>
        <v>20P-F7451-00</v>
      </c>
      <c r="E13868" s="1" t="s">
        <v>4579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</row>
    <row r="13869" spans="1:11" x14ac:dyDescent="0.2">
      <c r="A13869" s="1" t="s">
        <v>3441</v>
      </c>
      <c r="B13869" s="1" t="s">
        <v>3446</v>
      </c>
      <c r="C13869" s="1" t="str">
        <f>"66298920359834"</f>
        <v>66298920359834</v>
      </c>
      <c r="D13869" s="1" t="str">
        <f>"43700H2C000H000"</f>
        <v>43700H2C000H000</v>
      </c>
      <c r="E13869" s="1" t="s">
        <v>4579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</row>
    <row r="13870" spans="1:11" x14ac:dyDescent="0.2">
      <c r="A13870" s="1" t="s">
        <v>3441</v>
      </c>
      <c r="B13870" s="1" t="s">
        <v>3447</v>
      </c>
      <c r="C13870" s="1" t="str">
        <f>"GAA049"</f>
        <v>GAA049</v>
      </c>
      <c r="D13870" s="1" t="str">
        <f>"GAA049"</f>
        <v>GAA049</v>
      </c>
      <c r="E13870" s="1" t="s">
        <v>4579</v>
      </c>
      <c r="F13870" s="1">
        <v>2</v>
      </c>
      <c r="G13870" s="1">
        <v>6260</v>
      </c>
      <c r="H13870" s="1">
        <v>12520</v>
      </c>
      <c r="I13870" s="1">
        <v>0</v>
      </c>
      <c r="J13870" s="1">
        <v>2</v>
      </c>
      <c r="K13870" s="1">
        <v>0</v>
      </c>
    </row>
    <row r="13871" spans="1:11" x14ac:dyDescent="0.2">
      <c r="A13871" s="1" t="s">
        <v>3441</v>
      </c>
      <c r="B13871" s="1" t="s">
        <v>3448</v>
      </c>
      <c r="C13871" s="1" t="str">
        <f>"66298920401352"</f>
        <v>66298920401352</v>
      </c>
      <c r="D13871" s="1" t="str">
        <f>"GAA009"</f>
        <v>GAA009</v>
      </c>
      <c r="E13871" s="1" t="s">
        <v>4579</v>
      </c>
      <c r="F13871" s="1">
        <v>2</v>
      </c>
      <c r="G13871" s="1">
        <v>3020</v>
      </c>
      <c r="H13871" s="1">
        <v>6040</v>
      </c>
      <c r="I13871" s="1">
        <v>0</v>
      </c>
      <c r="J13871" s="1">
        <v>2</v>
      </c>
      <c r="K13871" s="1">
        <v>0</v>
      </c>
    </row>
    <row r="13872" spans="1:11" x14ac:dyDescent="0.2">
      <c r="A13872" s="1" t="s">
        <v>3441</v>
      </c>
      <c r="B13872" s="1" t="s">
        <v>3449</v>
      </c>
      <c r="C13872" s="1" t="str">
        <f>"66298920444917"</f>
        <v>66298920444917</v>
      </c>
      <c r="D13872" s="1" t="str">
        <f>"GAA014"</f>
        <v>GAA014</v>
      </c>
      <c r="E13872" s="1" t="s">
        <v>4579</v>
      </c>
      <c r="F13872" s="1">
        <v>2</v>
      </c>
      <c r="G13872" s="1">
        <v>5736</v>
      </c>
      <c r="H13872" s="1">
        <v>11472</v>
      </c>
      <c r="I13872" s="1">
        <v>0</v>
      </c>
      <c r="J13872" s="1">
        <v>2</v>
      </c>
      <c r="K13872" s="1">
        <v>0</v>
      </c>
    </row>
    <row r="13873" spans="1:11" x14ac:dyDescent="0.2">
      <c r="A13873" s="1" t="s">
        <v>3441</v>
      </c>
      <c r="B13873" s="1" t="s">
        <v>3450</v>
      </c>
      <c r="C13873" s="1" t="str">
        <f>"66298920486875"</f>
        <v>66298920486875</v>
      </c>
      <c r="D13873" s="1" t="str">
        <f>"GAA006"</f>
        <v>GAA006</v>
      </c>
      <c r="E13873" s="1" t="s">
        <v>4579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</row>
    <row r="13874" spans="1:11" x14ac:dyDescent="0.2">
      <c r="A13874" s="1" t="s">
        <v>3441</v>
      </c>
      <c r="B13874" s="1" t="s">
        <v>3451</v>
      </c>
      <c r="C13874" s="1" t="str">
        <f>"GAA001-FZ"</f>
        <v>GAA001-FZ</v>
      </c>
      <c r="D13874" s="1" t="str">
        <f>"GAA001-FZ"</f>
        <v>GAA001-FZ</v>
      </c>
      <c r="E13874" s="1" t="s">
        <v>4579</v>
      </c>
      <c r="F13874" s="1">
        <v>1</v>
      </c>
      <c r="G13874" s="1">
        <v>4990</v>
      </c>
      <c r="H13874" s="1">
        <v>4990</v>
      </c>
      <c r="I13874" s="1">
        <v>0</v>
      </c>
      <c r="J13874" s="1">
        <v>1</v>
      </c>
      <c r="K13874" s="1">
        <v>0</v>
      </c>
    </row>
    <row r="13875" spans="1:11" x14ac:dyDescent="0.2">
      <c r="A13875" s="1" t="s">
        <v>3441</v>
      </c>
      <c r="B13875" s="1" t="s">
        <v>3451</v>
      </c>
      <c r="C13875" s="1" t="str">
        <f>"7817"</f>
        <v>7817</v>
      </c>
      <c r="D13875" s="1" t="str">
        <f>"7817"</f>
        <v>7817</v>
      </c>
      <c r="E13875" s="1" t="s">
        <v>4579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</row>
    <row r="13876" spans="1:11" x14ac:dyDescent="0.2">
      <c r="A13876" s="1" t="s">
        <v>3441</v>
      </c>
      <c r="B13876" s="1" t="s">
        <v>3452</v>
      </c>
      <c r="C13876" s="1" t="str">
        <f>"125773"</f>
        <v>125773</v>
      </c>
      <c r="D13876" s="1" t="str">
        <f>"125773"</f>
        <v>125773</v>
      </c>
      <c r="E13876" s="1" t="s">
        <v>4579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</row>
    <row r="13877" spans="1:11" x14ac:dyDescent="0.2">
      <c r="A13877" s="1" t="s">
        <v>3441</v>
      </c>
      <c r="B13877" s="1" t="s">
        <v>3453</v>
      </c>
      <c r="C13877" s="1" t="str">
        <f>"GAA048"</f>
        <v>GAA048</v>
      </c>
      <c r="D13877" s="1" t="str">
        <f>"GAA048"</f>
        <v>GAA048</v>
      </c>
      <c r="E13877" s="1" t="s">
        <v>4579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</row>
    <row r="13878" spans="1:11" x14ac:dyDescent="0.2">
      <c r="A13878" s="1" t="s">
        <v>3441</v>
      </c>
      <c r="B13878" s="1" t="s">
        <v>3454</v>
      </c>
      <c r="C13878" s="1" t="str">
        <f>"66298920528922"</f>
        <v>66298920528922</v>
      </c>
      <c r="D13878" s="1" t="str">
        <f>"SS209"</f>
        <v>SS209</v>
      </c>
      <c r="E13878" s="1" t="s">
        <v>4579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</row>
    <row r="13879" spans="1:11" x14ac:dyDescent="0.2">
      <c r="A13879" s="1" t="s">
        <v>3386</v>
      </c>
      <c r="B13879" s="1" t="s">
        <v>3455</v>
      </c>
      <c r="C13879" s="1" t="str">
        <f>"GAA004"</f>
        <v>GAA004</v>
      </c>
      <c r="D13879" s="1" t="str">
        <f>"GAA004"</f>
        <v>GAA004</v>
      </c>
      <c r="E13879" s="1" t="s">
        <v>4579</v>
      </c>
      <c r="F13879" s="1">
        <v>2</v>
      </c>
      <c r="G13879" s="1">
        <v>1370</v>
      </c>
      <c r="H13879" s="1">
        <v>2740</v>
      </c>
      <c r="I13879" s="1">
        <v>0</v>
      </c>
      <c r="J13879" s="1">
        <v>2</v>
      </c>
      <c r="K13879" s="1">
        <v>0</v>
      </c>
    </row>
    <row r="13880" spans="1:11" x14ac:dyDescent="0.2">
      <c r="A13880" s="1" t="s">
        <v>3441</v>
      </c>
      <c r="B13880" s="1" t="s">
        <v>3456</v>
      </c>
      <c r="C13880" s="1" t="str">
        <f>"66298920568294"</f>
        <v>66298920568294</v>
      </c>
      <c r="D13880" s="1" t="str">
        <f>"80500"</f>
        <v>80500</v>
      </c>
      <c r="E13880" s="1" t="s">
        <v>4579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</row>
    <row r="13881" spans="1:11" x14ac:dyDescent="0.2">
      <c r="A13881" s="1" t="s">
        <v>3441</v>
      </c>
      <c r="B13881" s="1" t="s">
        <v>3457</v>
      </c>
      <c r="C13881" s="1" t="str">
        <f>"66298920607195"</f>
        <v>66298920607195</v>
      </c>
      <c r="D13881" s="1" t="str">
        <f>"GAA005"</f>
        <v>GAA005</v>
      </c>
      <c r="E13881" s="1" t="s">
        <v>4579</v>
      </c>
      <c r="F13881" s="1">
        <v>2</v>
      </c>
      <c r="G13881" s="1">
        <v>6096</v>
      </c>
      <c r="H13881" s="1">
        <v>12192</v>
      </c>
      <c r="I13881" s="1">
        <v>0</v>
      </c>
      <c r="J13881" s="1">
        <v>2</v>
      </c>
      <c r="K13881" s="1">
        <v>0</v>
      </c>
    </row>
    <row r="13882" spans="1:11" x14ac:dyDescent="0.2">
      <c r="A13882" s="1" t="s">
        <v>3441</v>
      </c>
      <c r="B13882" s="1" t="s">
        <v>3458</v>
      </c>
      <c r="C13882" s="1" t="str">
        <f>"GAA016"</f>
        <v>GAA016</v>
      </c>
      <c r="D13882" s="1" t="str">
        <f>"GAA016"</f>
        <v>GAA016</v>
      </c>
      <c r="E13882" s="1" t="s">
        <v>4579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</row>
    <row r="13883" spans="1:11" x14ac:dyDescent="0.2">
      <c r="A13883" s="1" t="s">
        <v>3441</v>
      </c>
      <c r="B13883" s="1" t="s">
        <v>3459</v>
      </c>
      <c r="C13883" s="1" t="str">
        <f>"66298920648187"</f>
        <v>66298920648187</v>
      </c>
      <c r="D13883" s="1" t="str">
        <f>"80502"</f>
        <v>80502</v>
      </c>
      <c r="E13883" s="1" t="s">
        <v>4579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</row>
    <row r="13884" spans="1:11" x14ac:dyDescent="0.2">
      <c r="A13884" s="1" t="s">
        <v>3441</v>
      </c>
      <c r="B13884" s="1" t="s">
        <v>3460</v>
      </c>
      <c r="C13884" s="1" t="str">
        <f>"66298920692400"</f>
        <v>66298920692400</v>
      </c>
      <c r="D13884" s="1" t="str">
        <f>"GAA003"</f>
        <v>GAA003</v>
      </c>
      <c r="E13884" s="1" t="s">
        <v>4579</v>
      </c>
      <c r="F13884" s="1">
        <v>2</v>
      </c>
      <c r="G13884" s="1">
        <v>1980</v>
      </c>
      <c r="H13884" s="1">
        <v>3960</v>
      </c>
      <c r="I13884" s="1">
        <v>0</v>
      </c>
      <c r="J13884" s="1">
        <v>2</v>
      </c>
      <c r="K13884" s="1">
        <v>0</v>
      </c>
    </row>
    <row r="13885" spans="1:11" x14ac:dyDescent="0.2">
      <c r="A13885" s="1" t="s">
        <v>3441</v>
      </c>
      <c r="B13885" s="1" t="s">
        <v>3461</v>
      </c>
      <c r="C13885" s="1" t="str">
        <f>"66298920732298"</f>
        <v>66298920732298</v>
      </c>
      <c r="D13885" s="1" t="str">
        <f>"H060"</f>
        <v>H060</v>
      </c>
      <c r="E13885" s="1" t="s">
        <v>4579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</row>
    <row r="13886" spans="1:11" x14ac:dyDescent="0.2">
      <c r="A13886" s="1" t="s">
        <v>3441</v>
      </c>
      <c r="B13886" s="1" t="s">
        <v>3462</v>
      </c>
      <c r="C13886" s="1" t="str">
        <f>"66298920771691"</f>
        <v>66298920771691</v>
      </c>
      <c r="D13886" s="1" t="str">
        <f>"GAA046"</f>
        <v>GAA046</v>
      </c>
      <c r="E13886" s="1" t="s">
        <v>4579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</row>
    <row r="13887" spans="1:11" x14ac:dyDescent="0.2">
      <c r="A13887" s="1" t="s">
        <v>3441</v>
      </c>
      <c r="B13887" s="1" t="s">
        <v>3463</v>
      </c>
      <c r="C13887" s="1" t="str">
        <f>"66298920814102"</f>
        <v>66298920814102</v>
      </c>
      <c r="D13887" s="1" t="str">
        <f>"GAA047"</f>
        <v>GAA047</v>
      </c>
      <c r="E13887" s="1" t="s">
        <v>4579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</row>
    <row r="13888" spans="1:11" x14ac:dyDescent="0.2">
      <c r="A13888" s="1" t="s">
        <v>3441</v>
      </c>
      <c r="B13888" s="1" t="s">
        <v>3464</v>
      </c>
      <c r="C13888" s="1" t="str">
        <f>"66298920856574"</f>
        <v>66298920856574</v>
      </c>
      <c r="D13888" s="1" t="str">
        <f>"80501"</f>
        <v>80501</v>
      </c>
      <c r="E13888" s="1" t="s">
        <v>4579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</row>
    <row r="13889" spans="1:11" x14ac:dyDescent="0.2">
      <c r="A13889" s="1" t="s">
        <v>3441</v>
      </c>
      <c r="B13889" s="1" t="s">
        <v>3465</v>
      </c>
      <c r="C13889" s="1" t="str">
        <f>"GAA044"</f>
        <v>GAA044</v>
      </c>
      <c r="D13889" s="1" t="str">
        <f>"GAA044"</f>
        <v>GAA044</v>
      </c>
      <c r="E13889" s="1" t="s">
        <v>4579</v>
      </c>
      <c r="F13889" s="1">
        <v>2</v>
      </c>
      <c r="G13889" s="1">
        <v>3150</v>
      </c>
      <c r="H13889" s="1">
        <v>6300</v>
      </c>
      <c r="I13889" s="1">
        <v>0</v>
      </c>
      <c r="J13889" s="1">
        <v>2</v>
      </c>
      <c r="K13889" s="1">
        <v>0</v>
      </c>
    </row>
    <row r="13890" spans="1:11" x14ac:dyDescent="0.2">
      <c r="A13890" s="1" t="s">
        <v>3466</v>
      </c>
      <c r="B13890" s="1" t="s">
        <v>3467</v>
      </c>
      <c r="C13890" s="1" t="str">
        <f>"66298920891562"</f>
        <v>66298920891562</v>
      </c>
      <c r="D13890" s="1" t="str">
        <f>"90109-08056"</f>
        <v>90109-08056</v>
      </c>
      <c r="E13890" s="1" t="s">
        <v>4579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</row>
    <row r="13891" spans="1:11" x14ac:dyDescent="0.2">
      <c r="A13891" s="1" t="s">
        <v>3466</v>
      </c>
      <c r="B13891" s="1" t="s">
        <v>3468</v>
      </c>
      <c r="C13891" s="1" t="str">
        <f>"66298920933832"</f>
        <v>66298920933832</v>
      </c>
      <c r="D13891" s="1" t="str">
        <f>"ZZZ059"</f>
        <v>ZZZ059</v>
      </c>
      <c r="E13891" s="1" t="s">
        <v>4579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</row>
    <row r="13892" spans="1:11" x14ac:dyDescent="0.2">
      <c r="A13892" s="1" t="s">
        <v>3466</v>
      </c>
      <c r="B13892" s="1" t="s">
        <v>3469</v>
      </c>
      <c r="C13892" s="1" t="str">
        <f>"66298920977190"</f>
        <v>66298920977190</v>
      </c>
      <c r="D13892" s="1" t="str">
        <f>"ZZZ056"</f>
        <v>ZZZ056</v>
      </c>
      <c r="E13892" s="1" t="s">
        <v>4579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</row>
    <row r="13893" spans="1:11" x14ac:dyDescent="0.2">
      <c r="A13893" s="1" t="s">
        <v>3466</v>
      </c>
      <c r="B13893" s="1" t="s">
        <v>3470</v>
      </c>
      <c r="C13893" s="1" t="str">
        <f>"66298921024325"</f>
        <v>66298921024325</v>
      </c>
      <c r="D13893" s="1" t="str">
        <f>"ZZZ057"</f>
        <v>ZZZ057</v>
      </c>
      <c r="E13893" s="1" t="s">
        <v>4579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</row>
    <row r="13894" spans="1:11" x14ac:dyDescent="0.2">
      <c r="A13894" s="1" t="s">
        <v>3466</v>
      </c>
      <c r="B13894" s="1" t="s">
        <v>3471</v>
      </c>
      <c r="C13894" s="1" t="str">
        <f>"66298921063028"</f>
        <v>66298921063028</v>
      </c>
      <c r="D13894" s="1" t="str">
        <f>"ZZZ058"</f>
        <v>ZZZ058</v>
      </c>
      <c r="E13894" s="1" t="s">
        <v>4579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</row>
    <row r="13895" spans="1:11" x14ac:dyDescent="0.2">
      <c r="A13895" s="1" t="s">
        <v>3466</v>
      </c>
      <c r="B13895" s="1" t="s">
        <v>3472</v>
      </c>
      <c r="C13895" s="1" t="str">
        <f>"66298921100802"</f>
        <v>66298921100802</v>
      </c>
      <c r="D13895" s="1" t="str">
        <f>"ZZZ064"</f>
        <v>ZZZ064</v>
      </c>
      <c r="E13895" s="1" t="s">
        <v>4579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</row>
    <row r="13896" spans="1:11" x14ac:dyDescent="0.2">
      <c r="A13896" s="1" t="s">
        <v>3466</v>
      </c>
      <c r="B13896" s="1" t="s">
        <v>3473</v>
      </c>
      <c r="C13896" s="1" t="str">
        <f>"66298921142541"</f>
        <v>66298921142541</v>
      </c>
      <c r="D13896" s="1" t="str">
        <f>"ZZZ065"</f>
        <v>ZZZ065</v>
      </c>
      <c r="E13896" s="1" t="s">
        <v>4579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</row>
    <row r="13897" spans="1:11" x14ac:dyDescent="0.2">
      <c r="A13897" s="1" t="s">
        <v>3466</v>
      </c>
      <c r="B13897" s="1" t="s">
        <v>3474</v>
      </c>
      <c r="C13897" s="1" t="str">
        <f>"66298921182214"</f>
        <v>66298921182214</v>
      </c>
      <c r="D13897" s="1" t="str">
        <f>"ZZZ067"</f>
        <v>ZZZ067</v>
      </c>
      <c r="E13897" s="1" t="s">
        <v>4579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</row>
    <row r="13898" spans="1:11" x14ac:dyDescent="0.2">
      <c r="A13898" s="1" t="s">
        <v>3466</v>
      </c>
      <c r="B13898" s="1" t="s">
        <v>3475</v>
      </c>
      <c r="C13898" s="1" t="str">
        <f>"66298921222631"</f>
        <v>66298921222631</v>
      </c>
      <c r="D13898" s="1" t="str">
        <f>"QQ002"</f>
        <v>QQ002</v>
      </c>
      <c r="E13898" s="1" t="s">
        <v>4579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</row>
    <row r="13899" spans="1:11" x14ac:dyDescent="0.2">
      <c r="A13899" s="1" t="s">
        <v>3466</v>
      </c>
      <c r="B13899" s="1" t="s">
        <v>3476</v>
      </c>
      <c r="C13899" s="1" t="str">
        <f>"66298921261652"</f>
        <v>66298921261652</v>
      </c>
      <c r="D13899" s="1" t="str">
        <f>"DM-P-00033"</f>
        <v>DM-P-00033</v>
      </c>
      <c r="E13899" s="1" t="s">
        <v>4579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</row>
    <row r="13900" spans="1:11" x14ac:dyDescent="0.2">
      <c r="A13900" s="1" t="s">
        <v>3466</v>
      </c>
      <c r="B13900" s="1" t="s">
        <v>3477</v>
      </c>
      <c r="C13900" s="1" t="str">
        <f>"ZZA003"</f>
        <v>ZZA003</v>
      </c>
      <c r="D13900" s="1" t="str">
        <f>"ZZA003"</f>
        <v>ZZA003</v>
      </c>
      <c r="E13900" s="1" t="s">
        <v>4579</v>
      </c>
      <c r="F13900" s="1">
        <v>5</v>
      </c>
      <c r="G13900" s="1">
        <v>700</v>
      </c>
      <c r="H13900" s="1">
        <v>3500</v>
      </c>
      <c r="I13900" s="1">
        <v>0</v>
      </c>
      <c r="J13900" s="1">
        <v>5</v>
      </c>
      <c r="K13900" s="1">
        <v>0</v>
      </c>
    </row>
    <row r="13901" spans="1:11" x14ac:dyDescent="0.2">
      <c r="A13901" s="1" t="s">
        <v>3466</v>
      </c>
      <c r="B13901" s="1" t="s">
        <v>3478</v>
      </c>
      <c r="C13901" s="1" t="str">
        <f>"66298921301831"</f>
        <v>66298921301831</v>
      </c>
      <c r="D13901" s="1" t="str">
        <f>"400303"</f>
        <v>400303</v>
      </c>
      <c r="E13901" s="1" t="s">
        <v>4579</v>
      </c>
      <c r="F13901" s="1">
        <v>2</v>
      </c>
      <c r="G13901" s="1">
        <v>315</v>
      </c>
      <c r="H13901" s="1">
        <v>630</v>
      </c>
      <c r="I13901" s="1">
        <v>0</v>
      </c>
      <c r="J13901" s="1">
        <v>2</v>
      </c>
      <c r="K13901" s="1">
        <v>0</v>
      </c>
    </row>
    <row r="13902" spans="1:11" x14ac:dyDescent="0.2">
      <c r="A13902" s="1" t="s">
        <v>3466</v>
      </c>
      <c r="B13902" s="1" t="s">
        <v>3479</v>
      </c>
      <c r="C13902" s="1" t="str">
        <f>"66298921341234"</f>
        <v>66298921341234</v>
      </c>
      <c r="D13902" s="1" t="str">
        <f>"82833"</f>
        <v>82833</v>
      </c>
      <c r="E13902" s="1" t="s">
        <v>4579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</row>
    <row r="13903" spans="1:11" x14ac:dyDescent="0.2">
      <c r="A13903" s="1" t="s">
        <v>3466</v>
      </c>
      <c r="B13903" s="1" t="s">
        <v>3480</v>
      </c>
      <c r="C13903" s="1" t="str">
        <f>"66298921383011"</f>
        <v>66298921383011</v>
      </c>
      <c r="D13903" s="1" t="str">
        <f>"ZZA009"</f>
        <v>ZZA009</v>
      </c>
      <c r="E13903" s="1" t="s">
        <v>4579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</row>
    <row r="13904" spans="1:11" ht="30" x14ac:dyDescent="0.2">
      <c r="A13904" s="1" t="s">
        <v>3466</v>
      </c>
      <c r="B13904" s="1" t="s">
        <v>3481</v>
      </c>
      <c r="C13904" s="1" t="str">
        <f>"66298921421528"</f>
        <v>66298921421528</v>
      </c>
      <c r="D13904" s="1" t="str">
        <f>"400304"</f>
        <v>400304</v>
      </c>
      <c r="E13904" s="1" t="s">
        <v>4579</v>
      </c>
      <c r="F13904" s="1">
        <v>2</v>
      </c>
      <c r="G13904" s="1">
        <v>305</v>
      </c>
      <c r="H13904" s="1">
        <v>610</v>
      </c>
      <c r="I13904" s="1">
        <v>0</v>
      </c>
      <c r="J13904" s="1">
        <v>2</v>
      </c>
      <c r="K13904" s="1">
        <v>0</v>
      </c>
    </row>
    <row r="13905" spans="1:11" x14ac:dyDescent="0.2">
      <c r="A13905" s="1" t="s">
        <v>3466</v>
      </c>
      <c r="B13905" s="1" t="s">
        <v>3482</v>
      </c>
      <c r="C13905" s="1" t="str">
        <f>"66298921460962"</f>
        <v>66298921460962</v>
      </c>
      <c r="D13905" s="1" t="str">
        <f>"425004"</f>
        <v>425004</v>
      </c>
      <c r="E13905" s="1" t="s">
        <v>4579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</row>
    <row r="13906" spans="1:11" x14ac:dyDescent="0.2">
      <c r="A13906" s="1" t="s">
        <v>3466</v>
      </c>
      <c r="B13906" s="1" t="s">
        <v>3483</v>
      </c>
      <c r="C13906" s="1" t="str">
        <f>"66298921508165"</f>
        <v>66298921508165</v>
      </c>
      <c r="D13906" s="1" t="str">
        <f>"ZZA002"</f>
        <v>ZZA002</v>
      </c>
      <c r="E13906" s="1" t="s">
        <v>4579</v>
      </c>
      <c r="F13906" s="1">
        <v>5</v>
      </c>
      <c r="G13906" s="1">
        <v>700</v>
      </c>
      <c r="H13906" s="1">
        <v>3500</v>
      </c>
      <c r="I13906" s="1">
        <v>0</v>
      </c>
      <c r="J13906" s="1">
        <v>5</v>
      </c>
      <c r="K13906" s="1">
        <v>0</v>
      </c>
    </row>
    <row r="13907" spans="1:11" x14ac:dyDescent="0.2">
      <c r="A13907" s="1" t="s">
        <v>98</v>
      </c>
      <c r="B13907" s="1" t="s">
        <v>3484</v>
      </c>
      <c r="C13907" s="1" t="str">
        <f>"66298921548387"</f>
        <v>66298921548387</v>
      </c>
      <c r="D13907" s="1" t="str">
        <f>"GBH001"</f>
        <v>GBH001</v>
      </c>
      <c r="E13907" s="1" t="s">
        <v>4579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</row>
    <row r="13908" spans="1:11" x14ac:dyDescent="0.2">
      <c r="A13908" s="1" t="s">
        <v>98</v>
      </c>
      <c r="B13908" s="1" t="s">
        <v>3485</v>
      </c>
      <c r="C13908" s="1" t="str">
        <f>"66298921593191"</f>
        <v>66298921593191</v>
      </c>
      <c r="D13908" s="1" t="str">
        <f>"10-5006"</f>
        <v>10-5006</v>
      </c>
      <c r="E13908" s="1" t="s">
        <v>4579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</row>
    <row r="13909" spans="1:11" x14ac:dyDescent="0.2">
      <c r="A13909" s="1" t="s">
        <v>3486</v>
      </c>
      <c r="B13909" s="1" t="s">
        <v>3487</v>
      </c>
      <c r="C13909" s="1" t="str">
        <f>"10000025138"</f>
        <v>10000025138</v>
      </c>
      <c r="D13909" s="1" t="str">
        <f>"10000025138"</f>
        <v>10000025138</v>
      </c>
      <c r="E13909" s="1" t="s">
        <v>4579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</row>
    <row r="13910" spans="1:11" x14ac:dyDescent="0.2">
      <c r="A13910" s="1" t="s">
        <v>3486</v>
      </c>
      <c r="B13910" s="1" t="s">
        <v>3488</v>
      </c>
      <c r="C13910" s="1" t="str">
        <f>"66298921715124"</f>
        <v>66298921715124</v>
      </c>
      <c r="D13910" s="1" t="str">
        <f>"XM-30418-000"</f>
        <v>XM-30418-000</v>
      </c>
      <c r="E13910" s="1" t="s">
        <v>4579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</row>
    <row r="13911" spans="1:11" x14ac:dyDescent="0.2">
      <c r="A13911" s="1" t="s">
        <v>3486</v>
      </c>
      <c r="B13911" s="1" t="s">
        <v>3489</v>
      </c>
      <c r="C13911" s="1" t="str">
        <f>"66298921756386"</f>
        <v>66298921756386</v>
      </c>
      <c r="D13911" s="1" t="str">
        <f>"20021"</f>
        <v>20021</v>
      </c>
      <c r="E13911" s="1" t="s">
        <v>4579</v>
      </c>
      <c r="F13911" s="1">
        <v>2</v>
      </c>
      <c r="G13911" s="1">
        <v>760</v>
      </c>
      <c r="H13911" s="1">
        <v>1520</v>
      </c>
      <c r="I13911" s="1">
        <v>0</v>
      </c>
      <c r="J13911" s="1">
        <v>2</v>
      </c>
      <c r="K13911" s="1">
        <v>0</v>
      </c>
    </row>
    <row r="13912" spans="1:11" x14ac:dyDescent="0.2">
      <c r="A13912" s="1" t="s">
        <v>3486</v>
      </c>
      <c r="B13912" s="1" t="s">
        <v>3490</v>
      </c>
      <c r="C13912" s="1" t="str">
        <f>"66298921793169"</f>
        <v>66298921793169</v>
      </c>
      <c r="D13912" s="1" t="str">
        <f>"23801-KSR-A00VA"</f>
        <v>23801-KSR-A00VA</v>
      </c>
      <c r="E13912" s="1" t="s">
        <v>4579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</row>
    <row r="13913" spans="1:11" x14ac:dyDescent="0.2">
      <c r="A13913" s="1" t="s">
        <v>3486</v>
      </c>
      <c r="B13913" s="1" t="s">
        <v>3491</v>
      </c>
      <c r="C13913" s="1" t="str">
        <f>"66298921833502"</f>
        <v>66298921833502</v>
      </c>
      <c r="D13913" s="1" t="str">
        <f>"23801-KCE-670VA"</f>
        <v>23801-KCE-670VA</v>
      </c>
      <c r="E13913" s="1" t="s">
        <v>4579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</row>
    <row r="13914" spans="1:11" x14ac:dyDescent="0.2">
      <c r="A13914" s="1" t="s">
        <v>3486</v>
      </c>
      <c r="B13914" s="1" t="s">
        <v>3492</v>
      </c>
      <c r="C13914" s="1" t="str">
        <f>"66298921875308"</f>
        <v>66298921875308</v>
      </c>
      <c r="D13914" s="1" t="str">
        <f>"23800-KBK-900VA"</f>
        <v>23800-KBK-900VA</v>
      </c>
      <c r="E13914" s="1" t="s">
        <v>4579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</row>
    <row r="13915" spans="1:11" x14ac:dyDescent="0.2">
      <c r="A13915" s="1" t="s">
        <v>3486</v>
      </c>
      <c r="B13915" s="1" t="s">
        <v>3493</v>
      </c>
      <c r="C13915" s="1" t="str">
        <f>"66298921915580"</f>
        <v>66298921915580</v>
      </c>
      <c r="D13915" s="1" t="str">
        <f>"4B4-17460-00JP"</f>
        <v>4B4-17460-00JP</v>
      </c>
      <c r="E13915" s="1" t="s">
        <v>4579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</row>
    <row r="13916" spans="1:11" x14ac:dyDescent="0.2">
      <c r="A13916" s="1" t="s">
        <v>3486</v>
      </c>
      <c r="B13916" s="1" t="s">
        <v>3494</v>
      </c>
      <c r="C13916" s="1" t="str">
        <f>"10000026594"</f>
        <v>10000026594</v>
      </c>
      <c r="D13916" s="1" t="str">
        <f>"10000026594"</f>
        <v>10000026594</v>
      </c>
      <c r="E13916" s="1" t="s">
        <v>4579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</row>
    <row r="13917" spans="1:11" x14ac:dyDescent="0.2">
      <c r="A13917" s="1" t="s">
        <v>3486</v>
      </c>
      <c r="B13917" s="1" t="s">
        <v>3495</v>
      </c>
      <c r="C13917" s="1" t="str">
        <f>"66298921995739"</f>
        <v>66298921995739</v>
      </c>
      <c r="D13917" s="1" t="str">
        <f>"N030"</f>
        <v>N030</v>
      </c>
      <c r="E13917" s="1" t="s">
        <v>4579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</row>
    <row r="13918" spans="1:11" x14ac:dyDescent="0.2">
      <c r="A13918" s="1" t="s">
        <v>3486</v>
      </c>
      <c r="B13918" s="1" t="s">
        <v>3496</v>
      </c>
      <c r="C13918" s="1" t="str">
        <f>"49CC70"</f>
        <v>49CC70</v>
      </c>
      <c r="D13918" s="1" t="str">
        <f>"49CC70"</f>
        <v>49CC70</v>
      </c>
      <c r="E13918" s="1" t="s">
        <v>4579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</row>
    <row r="13919" spans="1:11" x14ac:dyDescent="0.2">
      <c r="A13919" s="1" t="s">
        <v>3486</v>
      </c>
      <c r="B13919" s="1" t="s">
        <v>3496</v>
      </c>
      <c r="C13919" s="1" t="str">
        <f>"PIÑON-BICIMOTO14"</f>
        <v>PIÑON-BICIMOTO14</v>
      </c>
      <c r="D13919" s="1" t="str">
        <f>"PIÑON-BICIMOTO14"</f>
        <v>PIÑON-BICIMOTO14</v>
      </c>
      <c r="E13919" s="1" t="s">
        <v>4579</v>
      </c>
      <c r="F13919" s="1">
        <v>2</v>
      </c>
      <c r="G13919" s="1">
        <v>3592.76</v>
      </c>
      <c r="H13919" s="1">
        <v>7186</v>
      </c>
      <c r="I13919" s="1">
        <v>0</v>
      </c>
      <c r="J13919" s="1">
        <v>2</v>
      </c>
      <c r="K13919" s="1">
        <v>0</v>
      </c>
    </row>
    <row r="13920" spans="1:11" x14ac:dyDescent="0.2">
      <c r="A13920" s="1" t="s">
        <v>3486</v>
      </c>
      <c r="B13920" s="1" t="s">
        <v>3496</v>
      </c>
      <c r="C13920" s="1" t="str">
        <f>"N031JP"</f>
        <v>N031JP</v>
      </c>
      <c r="D13920" s="1" t="str">
        <f>"N031JP"</f>
        <v>N031JP</v>
      </c>
      <c r="E13920" s="1" t="s">
        <v>4579</v>
      </c>
      <c r="F13920" s="1">
        <v>2</v>
      </c>
      <c r="G13920" s="1">
        <v>4320</v>
      </c>
      <c r="H13920" s="1">
        <v>8640</v>
      </c>
      <c r="I13920" s="1">
        <v>0</v>
      </c>
      <c r="J13920" s="1">
        <v>2</v>
      </c>
      <c r="K13920" s="1">
        <v>0</v>
      </c>
    </row>
    <row r="13921" spans="1:11" x14ac:dyDescent="0.2">
      <c r="A13921" s="1" t="s">
        <v>3486</v>
      </c>
      <c r="B13921" s="1" t="s">
        <v>3497</v>
      </c>
      <c r="C13921" s="1" t="str">
        <f>"10000025132"</f>
        <v>10000025132</v>
      </c>
      <c r="D13921" s="1" t="str">
        <f>"10000025132"</f>
        <v>10000025132</v>
      </c>
      <c r="E13921" s="1" t="s">
        <v>4579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</row>
    <row r="13922" spans="1:11" x14ac:dyDescent="0.2">
      <c r="A13922" s="1" t="s">
        <v>3486</v>
      </c>
      <c r="B13922" s="1" t="s">
        <v>3498</v>
      </c>
      <c r="C13922" s="1" t="str">
        <f>"23801-KTC-900JP"</f>
        <v>23801-KTC-900JP</v>
      </c>
      <c r="D13922" s="1" t="str">
        <f>"23801-KTC-900JP"</f>
        <v>23801-KTC-900JP</v>
      </c>
      <c r="E13922" s="1" t="s">
        <v>4579</v>
      </c>
      <c r="F13922" s="1">
        <v>1</v>
      </c>
      <c r="G13922" s="1">
        <v>1190</v>
      </c>
      <c r="H13922" s="1">
        <v>1190</v>
      </c>
      <c r="I13922" s="1">
        <v>0</v>
      </c>
      <c r="J13922" s="1">
        <v>1</v>
      </c>
      <c r="K13922" s="1">
        <v>0</v>
      </c>
    </row>
    <row r="13923" spans="1:11" x14ac:dyDescent="0.2">
      <c r="A13923" s="1" t="s">
        <v>3486</v>
      </c>
      <c r="B13923" s="1" t="s">
        <v>3499</v>
      </c>
      <c r="C13923" s="1" t="str">
        <f>"66298922048140"</f>
        <v>66298922048140</v>
      </c>
      <c r="D13923" s="1" t="str">
        <f>"23801-KYJ-900HB"</f>
        <v>23801-KYJ-900HB</v>
      </c>
      <c r="E13923" s="1" t="s">
        <v>4579</v>
      </c>
      <c r="F13923" s="1">
        <v>1</v>
      </c>
      <c r="G13923" s="1">
        <v>701</v>
      </c>
      <c r="H13923" s="1">
        <v>701</v>
      </c>
      <c r="I13923" s="1">
        <v>0</v>
      </c>
      <c r="J13923" s="1">
        <v>1</v>
      </c>
      <c r="K13923" s="1">
        <v>0</v>
      </c>
    </row>
    <row r="13924" spans="1:11" x14ac:dyDescent="0.2">
      <c r="A13924" s="1" t="s">
        <v>3486</v>
      </c>
      <c r="B13924" s="1" t="s">
        <v>3500</v>
      </c>
      <c r="C13924" s="1" t="str">
        <f>"N011"</f>
        <v>N011</v>
      </c>
      <c r="D13924" s="1" t="str">
        <f>"N011"</f>
        <v>N011</v>
      </c>
      <c r="E13924" s="1" t="s">
        <v>4579</v>
      </c>
      <c r="F13924" s="1">
        <v>1</v>
      </c>
      <c r="G13924" s="1">
        <v>870</v>
      </c>
      <c r="H13924" s="1">
        <v>870</v>
      </c>
      <c r="I13924" s="1">
        <v>0</v>
      </c>
      <c r="J13924" s="1">
        <v>1</v>
      </c>
      <c r="K13924" s="1">
        <v>0</v>
      </c>
    </row>
    <row r="13925" spans="1:11" x14ac:dyDescent="0.2">
      <c r="A13925" s="1" t="s">
        <v>3486</v>
      </c>
      <c r="B13925" s="1" t="s">
        <v>3500</v>
      </c>
      <c r="C13925" s="1" t="str">
        <f>"10000025002"</f>
        <v>10000025002</v>
      </c>
      <c r="D13925" s="1" t="str">
        <f>"10000025002"</f>
        <v>10000025002</v>
      </c>
      <c r="E13925" s="1" t="s">
        <v>4579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</row>
    <row r="13926" spans="1:11" x14ac:dyDescent="0.2">
      <c r="A13926" s="1" t="s">
        <v>3486</v>
      </c>
      <c r="B13926" s="1" t="s">
        <v>3501</v>
      </c>
      <c r="C13926" s="1" t="str">
        <f>"10000026571"</f>
        <v>10000026571</v>
      </c>
      <c r="D13926" s="1" t="str">
        <f>"10000026571"</f>
        <v>10000026571</v>
      </c>
      <c r="E13926" s="1" t="s">
        <v>4579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</row>
    <row r="13927" spans="1:11" x14ac:dyDescent="0.2">
      <c r="A13927" s="1" t="s">
        <v>3486</v>
      </c>
      <c r="B13927" s="1" t="s">
        <v>3502</v>
      </c>
      <c r="C13927" s="1" t="str">
        <f>"66298922089860"</f>
        <v>66298922089860</v>
      </c>
      <c r="D13927" s="1" t="str">
        <f>"27511-41310JP"</f>
        <v>27511-41310JP</v>
      </c>
      <c r="E13927" s="1" t="s">
        <v>4579</v>
      </c>
      <c r="F13927" s="1">
        <v>1</v>
      </c>
      <c r="G13927" s="1">
        <v>775</v>
      </c>
      <c r="H13927" s="1">
        <v>775</v>
      </c>
      <c r="I13927" s="1">
        <v>0</v>
      </c>
      <c r="J13927" s="1">
        <v>1</v>
      </c>
      <c r="K13927" s="1">
        <v>0</v>
      </c>
    </row>
    <row r="13928" spans="1:11" x14ac:dyDescent="0.2">
      <c r="A13928" s="1" t="s">
        <v>3486</v>
      </c>
      <c r="B13928" s="1" t="s">
        <v>3503</v>
      </c>
      <c r="C13928" s="1" t="str">
        <f>"27511-30H01-000"</f>
        <v>27511-30H01-000</v>
      </c>
      <c r="D13928" s="1" t="str">
        <f>"27511-30H01-000"</f>
        <v>27511-30H01-000</v>
      </c>
      <c r="E13928" s="1" t="s">
        <v>4579</v>
      </c>
      <c r="F13928" s="1">
        <v>2</v>
      </c>
      <c r="G13928" s="1">
        <v>1129</v>
      </c>
      <c r="H13928" s="1">
        <v>2258</v>
      </c>
      <c r="I13928" s="1">
        <v>0</v>
      </c>
      <c r="J13928" s="1">
        <v>2</v>
      </c>
      <c r="K13928" s="1">
        <v>0</v>
      </c>
    </row>
    <row r="13929" spans="1:11" x14ac:dyDescent="0.2">
      <c r="A13929" s="1" t="s">
        <v>3486</v>
      </c>
      <c r="B13929" s="1" t="s">
        <v>3504</v>
      </c>
      <c r="C13929" s="1" t="str">
        <f>"66298922130555"</f>
        <v>66298922130555</v>
      </c>
      <c r="D13929" s="1" t="str">
        <f>"27510-32C00VA"</f>
        <v>27510-32C00VA</v>
      </c>
      <c r="E13929" s="1" t="s">
        <v>4579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</row>
    <row r="13930" spans="1:11" x14ac:dyDescent="0.2">
      <c r="A13930" s="1" t="s">
        <v>3486</v>
      </c>
      <c r="B13930" s="1" t="s">
        <v>3505</v>
      </c>
      <c r="C13930" s="1" t="str">
        <f>"66298922186677"</f>
        <v>66298922186677</v>
      </c>
      <c r="D13930" s="1" t="str">
        <f>"ZL26"</f>
        <v>ZL26</v>
      </c>
      <c r="E13930" s="1" t="s">
        <v>4579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</row>
    <row r="13931" spans="1:11" x14ac:dyDescent="0.2">
      <c r="A13931" s="1" t="s">
        <v>3486</v>
      </c>
      <c r="B13931" s="1" t="s">
        <v>3506</v>
      </c>
      <c r="C13931" s="1" t="str">
        <f>"66298922248709"</f>
        <v>66298922248709</v>
      </c>
      <c r="D13931" s="1" t="str">
        <f>"DV-1010-48JP"</f>
        <v>DV-1010-48JP</v>
      </c>
      <c r="E13931" s="1" t="s">
        <v>4579</v>
      </c>
      <c r="F13931" s="1">
        <v>2</v>
      </c>
      <c r="G13931" s="1">
        <v>880</v>
      </c>
      <c r="H13931" s="1">
        <v>1760</v>
      </c>
      <c r="I13931" s="1">
        <v>0</v>
      </c>
      <c r="J13931" s="1">
        <v>2</v>
      </c>
      <c r="K13931" s="1">
        <v>0</v>
      </c>
    </row>
    <row r="13932" spans="1:11" x14ac:dyDescent="0.2">
      <c r="A13932" s="1" t="s">
        <v>3486</v>
      </c>
      <c r="B13932" s="1" t="s">
        <v>3507</v>
      </c>
      <c r="C13932" s="1" t="str">
        <f>"66298921955086"</f>
        <v>66298921955086</v>
      </c>
      <c r="D13932" s="1" t="str">
        <f>"13518"</f>
        <v>13518</v>
      </c>
      <c r="E13932" s="1" t="s">
        <v>4579</v>
      </c>
      <c r="F13932" s="1">
        <v>2</v>
      </c>
      <c r="G13932" s="1">
        <v>710</v>
      </c>
      <c r="H13932" s="1">
        <v>1420</v>
      </c>
      <c r="I13932" s="1">
        <v>0</v>
      </c>
      <c r="J13932" s="1">
        <v>2</v>
      </c>
      <c r="K13932" s="1">
        <v>0</v>
      </c>
    </row>
    <row r="13933" spans="1:11" x14ac:dyDescent="0.2">
      <c r="A13933" s="1" t="s">
        <v>3486</v>
      </c>
      <c r="B13933" s="1" t="s">
        <v>3508</v>
      </c>
      <c r="C13933" s="1" t="str">
        <f>"66298922299727"</f>
        <v>66298922299727</v>
      </c>
      <c r="D13933" s="1" t="str">
        <f>"23801-429-010VA"</f>
        <v>23801-429-010VA</v>
      </c>
      <c r="E13933" s="1" t="s">
        <v>4579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</row>
    <row r="13934" spans="1:11" x14ac:dyDescent="0.2">
      <c r="A13934" s="1" t="s">
        <v>3486</v>
      </c>
      <c r="B13934" s="1" t="s">
        <v>3509</v>
      </c>
      <c r="C13934" s="1" t="str">
        <f>"10000025037"</f>
        <v>10000025037</v>
      </c>
      <c r="D13934" s="1" t="str">
        <f>"10000025037"</f>
        <v>10000025037</v>
      </c>
      <c r="E13934" s="1" t="s">
        <v>4579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</row>
    <row r="13935" spans="1:11" x14ac:dyDescent="0.2">
      <c r="A13935" s="1" t="s">
        <v>3486</v>
      </c>
      <c r="B13935" s="1" t="s">
        <v>3510</v>
      </c>
      <c r="C13935" s="1" t="str">
        <f>"66298922344655"</f>
        <v>66298922344655</v>
      </c>
      <c r="D13935" s="1" t="str">
        <f>"23801-MN1-680VA"</f>
        <v>23801-MN1-680VA</v>
      </c>
      <c r="E13935" s="1" t="s">
        <v>4579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</row>
    <row r="13936" spans="1:11" x14ac:dyDescent="0.2">
      <c r="A13936" s="1" t="s">
        <v>3486</v>
      </c>
      <c r="B13936" s="1" t="s">
        <v>3511</v>
      </c>
      <c r="C13936" s="1" t="str">
        <f>"66298922391182"</f>
        <v>66298922391182</v>
      </c>
      <c r="D13936" s="1" t="str">
        <f>"23801-MBN-670VA"</f>
        <v>23801-MBN-670VA</v>
      </c>
      <c r="E13936" s="1" t="s">
        <v>4579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</row>
    <row r="13937" spans="1:11" x14ac:dyDescent="0.2">
      <c r="A13937" s="1" t="s">
        <v>3486</v>
      </c>
      <c r="B13937" s="1" t="s">
        <v>3512</v>
      </c>
      <c r="C13937" s="1" t="str">
        <f>"66298922434866"</f>
        <v>66298922434866</v>
      </c>
      <c r="D13937" s="1" t="str">
        <f>"83123"</f>
        <v>83123</v>
      </c>
      <c r="E13937" s="1" t="s">
        <v>4579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</row>
    <row r="13938" spans="1:11" x14ac:dyDescent="0.2">
      <c r="A13938" s="1" t="s">
        <v>3486</v>
      </c>
      <c r="B13938" s="1" t="s">
        <v>3513</v>
      </c>
      <c r="C13938" s="1" t="str">
        <f>"10000025111"</f>
        <v>10000025111</v>
      </c>
      <c r="D13938" s="1" t="str">
        <f>"10000025111"</f>
        <v>10000025111</v>
      </c>
      <c r="E13938" s="1" t="s">
        <v>4579</v>
      </c>
      <c r="F13938" s="1">
        <v>1</v>
      </c>
      <c r="G13938" s="1">
        <v>1411.76</v>
      </c>
      <c r="H13938" s="1">
        <v>1412</v>
      </c>
      <c r="I13938" s="1">
        <v>0</v>
      </c>
      <c r="J13938" s="1">
        <v>1</v>
      </c>
      <c r="K13938" s="1">
        <v>0</v>
      </c>
    </row>
    <row r="13939" spans="1:11" x14ac:dyDescent="0.2">
      <c r="A13939" s="1" t="s">
        <v>3486</v>
      </c>
      <c r="B13939" s="1" t="s">
        <v>3514</v>
      </c>
      <c r="C13939" s="1" t="str">
        <f>"66298922476935"</f>
        <v>66298922476935</v>
      </c>
      <c r="D13939" s="1" t="str">
        <f>"23801-KY2-000VA"</f>
        <v>23801-KY2-000VA</v>
      </c>
      <c r="E13939" s="1" t="s">
        <v>4579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</row>
    <row r="13940" spans="1:11" ht="30" x14ac:dyDescent="0.2">
      <c r="A13940" s="1" t="s">
        <v>3486</v>
      </c>
      <c r="B13940" s="1" t="s">
        <v>3515</v>
      </c>
      <c r="C13940" s="1" t="str">
        <f>"JTF1381.15RB"</f>
        <v>JTF1381.15RB</v>
      </c>
      <c r="D13940" s="1" t="str">
        <f>"JTF1381.15RB"</f>
        <v>JTF1381.15RB</v>
      </c>
      <c r="E13940" s="1" t="s">
        <v>4579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</row>
    <row r="13941" spans="1:11" x14ac:dyDescent="0.2">
      <c r="A13941" s="1" t="s">
        <v>3486</v>
      </c>
      <c r="B13941" s="1" t="s">
        <v>3516</v>
      </c>
      <c r="C13941" s="1" t="str">
        <f>"83380"</f>
        <v>83380</v>
      </c>
      <c r="D13941" s="1" t="str">
        <f>"83380"</f>
        <v>83380</v>
      </c>
      <c r="E13941" s="1" t="s">
        <v>4579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</row>
    <row r="13942" spans="1:11" x14ac:dyDescent="0.2">
      <c r="A13942" s="1" t="s">
        <v>3486</v>
      </c>
      <c r="B13942" s="1" t="s">
        <v>3516</v>
      </c>
      <c r="C13942" s="1" t="str">
        <f>"10000025003"</f>
        <v>10000025003</v>
      </c>
      <c r="D13942" s="1" t="str">
        <f>"10000025003"</f>
        <v>10000025003</v>
      </c>
      <c r="E13942" s="1" t="s">
        <v>4579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</row>
    <row r="13943" spans="1:11" x14ac:dyDescent="0.2">
      <c r="A13943" s="1" t="s">
        <v>3486</v>
      </c>
      <c r="B13943" s="1" t="s">
        <v>3517</v>
      </c>
      <c r="C13943" s="1" t="str">
        <f>"66298922515882"</f>
        <v>66298922515882</v>
      </c>
      <c r="D13943" s="1" t="str">
        <f>"27510-42A10JP"</f>
        <v>27510-42A10JP</v>
      </c>
      <c r="E13943" s="1" t="s">
        <v>4579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</row>
    <row r="13944" spans="1:11" x14ac:dyDescent="0.2">
      <c r="A13944" s="1" t="s">
        <v>3486</v>
      </c>
      <c r="B13944" s="1" t="s">
        <v>3518</v>
      </c>
      <c r="C13944" s="1" t="str">
        <f>"10000033106"</f>
        <v>10000033106</v>
      </c>
      <c r="D13944" s="1" t="str">
        <f>"10000033106"</f>
        <v>10000033106</v>
      </c>
      <c r="E13944" s="1" t="s">
        <v>4579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</row>
    <row r="13945" spans="1:11" x14ac:dyDescent="0.2">
      <c r="A13945" s="1" t="s">
        <v>3486</v>
      </c>
      <c r="B13945" s="1" t="s">
        <v>3519</v>
      </c>
      <c r="C13945" s="1" t="str">
        <f>"10000026548"</f>
        <v>10000026548</v>
      </c>
      <c r="D13945" s="1" t="str">
        <f>"10000026548"</f>
        <v>10000026548</v>
      </c>
      <c r="E13945" s="1" t="s">
        <v>4579</v>
      </c>
      <c r="F13945" s="1">
        <v>2</v>
      </c>
      <c r="G13945" s="1">
        <v>1512.61</v>
      </c>
      <c r="H13945" s="1">
        <v>3025</v>
      </c>
      <c r="I13945" s="1">
        <v>0</v>
      </c>
      <c r="J13945" s="1">
        <v>2</v>
      </c>
      <c r="K13945" s="1">
        <v>0</v>
      </c>
    </row>
    <row r="13946" spans="1:11" x14ac:dyDescent="0.2">
      <c r="A13946" s="1" t="s">
        <v>3486</v>
      </c>
      <c r="B13946" s="1" t="s">
        <v>3520</v>
      </c>
      <c r="C13946" s="1" t="str">
        <f>"66298922558492"</f>
        <v>66298922558492</v>
      </c>
      <c r="D13946" s="1" t="str">
        <f>"27511-41315JP"</f>
        <v>27511-41315JP</v>
      </c>
      <c r="E13946" s="1" t="s">
        <v>4579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</row>
    <row r="13947" spans="1:11" x14ac:dyDescent="0.2">
      <c r="A13947" s="1" t="s">
        <v>3486</v>
      </c>
      <c r="B13947" s="1" t="s">
        <v>3521</v>
      </c>
      <c r="C13947" s="1" t="str">
        <f>"10000028042"</f>
        <v>10000028042</v>
      </c>
      <c r="D13947" s="1" t="str">
        <f>"10000028042"</f>
        <v>10000028042</v>
      </c>
      <c r="E13947" s="1" t="s">
        <v>4579</v>
      </c>
      <c r="F13947" s="1">
        <v>2</v>
      </c>
      <c r="G13947" s="1">
        <v>1462.18</v>
      </c>
      <c r="H13947" s="1">
        <v>2924</v>
      </c>
      <c r="I13947" s="1">
        <v>0</v>
      </c>
      <c r="J13947" s="1">
        <v>2</v>
      </c>
      <c r="K13947" s="1">
        <v>0</v>
      </c>
    </row>
    <row r="13948" spans="1:11" x14ac:dyDescent="0.2">
      <c r="A13948" s="1" t="s">
        <v>3486</v>
      </c>
      <c r="B13948" s="1" t="s">
        <v>3522</v>
      </c>
      <c r="C13948" s="1" t="str">
        <f>"13144-1122VA"</f>
        <v>13144-1122VA</v>
      </c>
      <c r="D13948" s="1" t="str">
        <f>"13144-1122VA"</f>
        <v>13144-1122VA</v>
      </c>
      <c r="E13948" s="1" t="s">
        <v>4579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</row>
    <row r="13949" spans="1:11" x14ac:dyDescent="0.2">
      <c r="A13949" s="1" t="s">
        <v>3486</v>
      </c>
      <c r="B13949" s="1" t="s">
        <v>3523</v>
      </c>
      <c r="C13949" s="1" t="str">
        <f>"EMHJ52034"</f>
        <v>EMHJ52034</v>
      </c>
      <c r="D13949" s="1" t="str">
        <f>"EMHJ52034"</f>
        <v>EMHJ52034</v>
      </c>
      <c r="E13949" s="1" t="s">
        <v>4579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</row>
    <row r="13950" spans="1:11" x14ac:dyDescent="0.2">
      <c r="A13950" s="1" t="s">
        <v>3486</v>
      </c>
      <c r="B13950" s="1" t="s">
        <v>3524</v>
      </c>
      <c r="C13950" s="1" t="str">
        <f>"66298922601244"</f>
        <v>66298922601244</v>
      </c>
      <c r="D13950" s="1" t="str">
        <f>"JV-5510-00"</f>
        <v>JV-5510-00</v>
      </c>
      <c r="E13950" s="1" t="s">
        <v>4579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</row>
    <row r="13951" spans="1:11" x14ac:dyDescent="0.2">
      <c r="A13951" s="1" t="s">
        <v>3486</v>
      </c>
      <c r="B13951" s="1" t="s">
        <v>3525</v>
      </c>
      <c r="C13951" s="1" t="str">
        <f>"66298922642818"</f>
        <v>66298922642818</v>
      </c>
      <c r="D13951" s="1" t="str">
        <f>"23801-ML0-730VA"</f>
        <v>23801-ML0-730VA</v>
      </c>
      <c r="E13951" s="1" t="s">
        <v>4579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</row>
    <row r="13952" spans="1:11" x14ac:dyDescent="0.2">
      <c r="A13952" s="1" t="s">
        <v>3486</v>
      </c>
      <c r="B13952" s="1" t="s">
        <v>3526</v>
      </c>
      <c r="C13952" s="1" t="str">
        <f>"66298922684293"</f>
        <v>66298922684293</v>
      </c>
      <c r="D13952" s="1" t="str">
        <f>"23801-MN9-000VA"</f>
        <v>23801-MN9-000VA</v>
      </c>
      <c r="E13952" s="1" t="s">
        <v>4579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</row>
    <row r="13953" spans="1:11" x14ac:dyDescent="0.2">
      <c r="A13953" s="1" t="s">
        <v>3486</v>
      </c>
      <c r="B13953" s="1" t="s">
        <v>3527</v>
      </c>
      <c r="C13953" s="1" t="str">
        <f>"66298922724444"</f>
        <v>66298922724444</v>
      </c>
      <c r="D13953" s="1" t="str">
        <f>"5VK-E7460-10JP"</f>
        <v>5VK-E7460-10JP</v>
      </c>
      <c r="E13953" s="1" t="s">
        <v>4579</v>
      </c>
      <c r="F13953" s="1">
        <v>1</v>
      </c>
      <c r="G13953" s="1">
        <v>1614</v>
      </c>
      <c r="H13953" s="1">
        <v>1614</v>
      </c>
      <c r="I13953" s="1">
        <v>0</v>
      </c>
      <c r="J13953" s="1">
        <v>1</v>
      </c>
      <c r="K13953" s="1">
        <v>0</v>
      </c>
    </row>
    <row r="13954" spans="1:11" x14ac:dyDescent="0.2">
      <c r="A13954" s="1" t="s">
        <v>3486</v>
      </c>
      <c r="B13954" s="1" t="s">
        <v>3528</v>
      </c>
      <c r="C13954" s="1" t="str">
        <f>"66298922810103"</f>
        <v>66298922810103</v>
      </c>
      <c r="D13954" s="1" t="str">
        <f>"5XT-17460-00GY"</f>
        <v>5XT-17460-00GY</v>
      </c>
      <c r="E13954" s="1" t="s">
        <v>4579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</row>
    <row r="13955" spans="1:11" x14ac:dyDescent="0.2">
      <c r="A13955" s="1" t="s">
        <v>3486</v>
      </c>
      <c r="B13955" s="1" t="s">
        <v>3529</v>
      </c>
      <c r="C13955" s="1" t="str">
        <f>"66298922769187"</f>
        <v>66298922769187</v>
      </c>
      <c r="D13955" s="1" t="str">
        <f>"5XT-17460-00JP"</f>
        <v>5XT-17460-00JP</v>
      </c>
      <c r="E13955" s="1" t="s">
        <v>4579</v>
      </c>
      <c r="F13955" s="1">
        <v>2</v>
      </c>
      <c r="G13955" s="1">
        <v>2560</v>
      </c>
      <c r="H13955" s="1">
        <v>5120</v>
      </c>
      <c r="I13955" s="1">
        <v>0</v>
      </c>
      <c r="J13955" s="1">
        <v>2</v>
      </c>
      <c r="K13955" s="1">
        <v>0</v>
      </c>
    </row>
    <row r="13956" spans="1:11" x14ac:dyDescent="0.2">
      <c r="A13956" s="1" t="s">
        <v>3486</v>
      </c>
      <c r="B13956" s="1" t="s">
        <v>3530</v>
      </c>
      <c r="C13956" s="1" t="str">
        <f>"JTF1591.16RB"</f>
        <v>JTF1591.16RB</v>
      </c>
      <c r="D13956" s="1" t="str">
        <f>"JTF1591.16RB"</f>
        <v>JTF1591.16RB</v>
      </c>
      <c r="E13956" s="1" t="s">
        <v>4579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</row>
    <row r="13957" spans="1:11" x14ac:dyDescent="0.2">
      <c r="A13957" s="1" t="s">
        <v>3486</v>
      </c>
      <c r="B13957" s="1" t="s">
        <v>3531</v>
      </c>
      <c r="C13957" s="1" t="str">
        <f>"66298922849331"</f>
        <v>66298922849331</v>
      </c>
      <c r="D13957" s="1" t="str">
        <f>"400060"</f>
        <v>400060</v>
      </c>
      <c r="E13957" s="1" t="s">
        <v>4579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</row>
    <row r="13958" spans="1:11" x14ac:dyDescent="0.2">
      <c r="A13958" s="1" t="s">
        <v>3486</v>
      </c>
      <c r="B13958" s="1" t="s">
        <v>3532</v>
      </c>
      <c r="C13958" s="1" t="str">
        <f>"66298922892773"</f>
        <v>66298922892773</v>
      </c>
      <c r="D13958" s="1" t="str">
        <f>"27511-01D01JP"</f>
        <v>27511-01D01JP</v>
      </c>
      <c r="E13958" s="1" t="s">
        <v>4579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</row>
    <row r="13959" spans="1:11" x14ac:dyDescent="0.2">
      <c r="A13959" s="1" t="s">
        <v>3486</v>
      </c>
      <c r="B13959" s="1" t="s">
        <v>3533</v>
      </c>
      <c r="C13959" s="1" t="str">
        <f>"66298922936710"</f>
        <v>66298922936710</v>
      </c>
      <c r="D13959" s="1" t="str">
        <f>"27511-04706"</f>
        <v>27511-04706</v>
      </c>
      <c r="E13959" s="1" t="s">
        <v>4579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</row>
    <row r="13960" spans="1:11" x14ac:dyDescent="0.2">
      <c r="A13960" s="1" t="s">
        <v>3486</v>
      </c>
      <c r="B13960" s="1" t="s">
        <v>3534</v>
      </c>
      <c r="C13960" s="1" t="str">
        <f>"1000025122"</f>
        <v>1000025122</v>
      </c>
      <c r="D13960" s="1" t="str">
        <f>"10000025122"</f>
        <v>10000025122</v>
      </c>
      <c r="E13960" s="1" t="s">
        <v>4579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</row>
    <row r="13961" spans="1:11" x14ac:dyDescent="0.2">
      <c r="A13961" s="1" t="s">
        <v>3486</v>
      </c>
      <c r="B13961" s="1" t="s">
        <v>3535</v>
      </c>
      <c r="C13961" s="1" t="str">
        <f>"66298922978981"</f>
        <v>66298922978981</v>
      </c>
      <c r="D13961" s="1" t="str">
        <f>"3LD-17460-00VA"</f>
        <v>3LD-17460-00VA</v>
      </c>
      <c r="E13961" s="1" t="s">
        <v>4579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</row>
    <row r="13962" spans="1:11" x14ac:dyDescent="0.2">
      <c r="A13962" s="1" t="s">
        <v>3486</v>
      </c>
      <c r="B13962" s="1" t="s">
        <v>3536</v>
      </c>
      <c r="C13962" s="1" t="str">
        <f>"66298923020298"</f>
        <v>66298923020298</v>
      </c>
      <c r="D13962" s="1" t="str">
        <f>"29080"</f>
        <v>29080</v>
      </c>
      <c r="E13962" s="1" t="s">
        <v>4579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</row>
    <row r="13963" spans="1:11" x14ac:dyDescent="0.2">
      <c r="A13963" s="1" t="s">
        <v>3486</v>
      </c>
      <c r="B13963" s="1" t="s">
        <v>3537</v>
      </c>
      <c r="C13963" s="1" t="str">
        <f>"66298923061784"</f>
        <v>66298923061784</v>
      </c>
      <c r="D13963" s="1" t="str">
        <f>"2C0-17460-00"</f>
        <v>2C0-17460-00</v>
      </c>
      <c r="E13963" s="1" t="s">
        <v>4579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</row>
    <row r="13964" spans="1:11" x14ac:dyDescent="0.2">
      <c r="A13964" s="1" t="s">
        <v>3486</v>
      </c>
      <c r="B13964" s="1" t="s">
        <v>3538</v>
      </c>
      <c r="C13964" s="1" t="str">
        <f>"10000025005"</f>
        <v>10000025005</v>
      </c>
      <c r="D13964" s="1" t="str">
        <f>"10000025005"</f>
        <v>10000025005</v>
      </c>
      <c r="E13964" s="1" t="s">
        <v>4579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</row>
    <row r="13965" spans="1:11" ht="30" x14ac:dyDescent="0.2">
      <c r="A13965" s="1" t="s">
        <v>3486</v>
      </c>
      <c r="B13965" s="1" t="s">
        <v>3539</v>
      </c>
      <c r="C13965" s="1" t="str">
        <f>"66298923100931"</f>
        <v>66298923100931</v>
      </c>
      <c r="D13965" s="1" t="str">
        <f>"23801-KRH-000"</f>
        <v>23801-KRH-000</v>
      </c>
      <c r="E13965" s="1" t="s">
        <v>4579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</row>
    <row r="13966" spans="1:11" x14ac:dyDescent="0.2">
      <c r="A13966" s="1" t="s">
        <v>3486</v>
      </c>
      <c r="B13966" s="1" t="s">
        <v>3540</v>
      </c>
      <c r="C13966" s="1" t="str">
        <f>"66298923144054"</f>
        <v>66298923144054</v>
      </c>
      <c r="D13966" s="1" t="str">
        <f>"81010"</f>
        <v>81010</v>
      </c>
      <c r="E13966" s="1" t="s">
        <v>4579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</row>
    <row r="13967" spans="1:11" x14ac:dyDescent="0.2">
      <c r="A13967" s="1" t="s">
        <v>3486</v>
      </c>
      <c r="B13967" s="1" t="s">
        <v>3541</v>
      </c>
      <c r="C13967" s="1" t="str">
        <f>"66298923184773"</f>
        <v>66298923184773</v>
      </c>
      <c r="D13967" s="1" t="str">
        <f>"01838"</f>
        <v>01838</v>
      </c>
      <c r="E13967" s="1" t="s">
        <v>4579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</row>
    <row r="13968" spans="1:11" x14ac:dyDescent="0.2">
      <c r="A13968" s="1" t="s">
        <v>3486</v>
      </c>
      <c r="B13968" s="1" t="s">
        <v>3542</v>
      </c>
      <c r="C13968" s="1" t="str">
        <f>"66298923227603"</f>
        <v>66298923227603</v>
      </c>
      <c r="D13968" s="1" t="str">
        <f>"81014"</f>
        <v>81014</v>
      </c>
      <c r="E13968" s="1" t="s">
        <v>4579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</row>
    <row r="13969" spans="1:11" x14ac:dyDescent="0.2">
      <c r="A13969" s="1" t="s">
        <v>3486</v>
      </c>
      <c r="B13969" s="1" t="s">
        <v>3543</v>
      </c>
      <c r="C13969" s="1" t="str">
        <f>"66298923266127"</f>
        <v>66298923266127</v>
      </c>
      <c r="D13969" s="1" t="str">
        <f>"CH002"</f>
        <v>CH002</v>
      </c>
      <c r="E13969" s="1" t="s">
        <v>4579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</row>
    <row r="13970" spans="1:11" x14ac:dyDescent="0.2">
      <c r="A13970" s="1" t="s">
        <v>3486</v>
      </c>
      <c r="B13970" s="1" t="s">
        <v>3544</v>
      </c>
      <c r="C13970" s="1" t="str">
        <f>"66298923306528"</f>
        <v>66298923306528</v>
      </c>
      <c r="D13970" s="1" t="str">
        <f>"5YY-E2176-00JP"</f>
        <v>5YY-E2176-00JP</v>
      </c>
      <c r="E13970" s="1" t="s">
        <v>4579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</row>
    <row r="13971" spans="1:11" x14ac:dyDescent="0.2">
      <c r="A13971" s="1" t="s">
        <v>3486</v>
      </c>
      <c r="B13971" s="1" t="s">
        <v>3545</v>
      </c>
      <c r="C13971" s="1" t="str">
        <f>"66298923347310"</f>
        <v>66298923347310</v>
      </c>
      <c r="D13971" s="1" t="str">
        <f>"400696"</f>
        <v>400696</v>
      </c>
      <c r="E13971" s="1" t="s">
        <v>4579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</row>
    <row r="13972" spans="1:11" x14ac:dyDescent="0.2">
      <c r="A13972" s="1" t="s">
        <v>3486</v>
      </c>
      <c r="B13972" s="1" t="s">
        <v>3546</v>
      </c>
      <c r="C13972" s="1" t="str">
        <f>"66298923396161"</f>
        <v>66298923396161</v>
      </c>
      <c r="D13972" s="1" t="str">
        <f>"CQ003"</f>
        <v>CQ003</v>
      </c>
      <c r="E13972" s="1" t="s">
        <v>4579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</row>
    <row r="13973" spans="1:11" x14ac:dyDescent="0.2">
      <c r="A13973" s="1" t="s">
        <v>3486</v>
      </c>
      <c r="B13973" s="1" t="s">
        <v>3547</v>
      </c>
      <c r="C13973" s="1" t="str">
        <f>"66298923437621"</f>
        <v>66298923437621</v>
      </c>
      <c r="D13973" s="1" t="str">
        <f>"JL1257-E10-12"</f>
        <v>JL1257-E10-12</v>
      </c>
      <c r="E13973" s="1" t="s">
        <v>4579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</row>
    <row r="13974" spans="1:11" x14ac:dyDescent="0.2">
      <c r="A13974" s="1" t="s">
        <v>3486</v>
      </c>
      <c r="B13974" s="1" t="s">
        <v>3548</v>
      </c>
      <c r="C13974" s="1" t="str">
        <f>"66298923478951"</f>
        <v>66298923478951</v>
      </c>
      <c r="D13974" s="1" t="str">
        <f>"11502"</f>
        <v>11502</v>
      </c>
      <c r="E13974" s="1" t="s">
        <v>4579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</row>
    <row r="13975" spans="1:11" x14ac:dyDescent="0.2">
      <c r="A13975" s="1" t="s">
        <v>3486</v>
      </c>
      <c r="B13975" s="1" t="s">
        <v>3549</v>
      </c>
      <c r="C13975" s="1" t="str">
        <f>"66298923516288"</f>
        <v>66298923516288</v>
      </c>
      <c r="D13975" s="1" t="str">
        <f>"11503"</f>
        <v>11503</v>
      </c>
      <c r="E13975" s="1" t="s">
        <v>4579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</row>
    <row r="13976" spans="1:11" x14ac:dyDescent="0.2">
      <c r="A13976" s="1" t="s">
        <v>3486</v>
      </c>
      <c r="B13976" s="1" t="s">
        <v>3550</v>
      </c>
      <c r="C13976" s="1" t="str">
        <f>"66298923552672"</f>
        <v>66298923552672</v>
      </c>
      <c r="D13976" s="1" t="str">
        <f>"E13020002"</f>
        <v>E13020002</v>
      </c>
      <c r="E13976" s="1" t="s">
        <v>4579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</row>
    <row r="13977" spans="1:11" x14ac:dyDescent="0.2">
      <c r="A13977" s="1" t="s">
        <v>3486</v>
      </c>
      <c r="B13977" s="1" t="s">
        <v>3551</v>
      </c>
      <c r="C13977" s="1" t="str">
        <f>"66298923590659"</f>
        <v>66298923590659</v>
      </c>
      <c r="D13977" s="1" t="str">
        <f>"81016"</f>
        <v>81016</v>
      </c>
      <c r="E13977" s="1" t="s">
        <v>4579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</row>
    <row r="13978" spans="1:11" x14ac:dyDescent="0.2">
      <c r="A13978" s="1" t="s">
        <v>3486</v>
      </c>
      <c r="B13978" s="1" t="s">
        <v>3552</v>
      </c>
      <c r="C13978" s="1" t="str">
        <f>"66298923628543"</f>
        <v>66298923628543</v>
      </c>
      <c r="D13978" s="1" t="str">
        <f>"81011"</f>
        <v>81011</v>
      </c>
      <c r="E13978" s="1" t="s">
        <v>4579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</row>
    <row r="13979" spans="1:11" ht="30" x14ac:dyDescent="0.2">
      <c r="A13979" s="1" t="s">
        <v>3486</v>
      </c>
      <c r="B13979" s="1" t="s">
        <v>3553</v>
      </c>
      <c r="C13979" s="1" t="str">
        <f>"66298923667756"</f>
        <v>66298923667756</v>
      </c>
      <c r="D13979" s="1" t="str">
        <f>"84088"</f>
        <v>84088</v>
      </c>
      <c r="E13979" s="1" t="s">
        <v>4579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</row>
    <row r="13980" spans="1:11" x14ac:dyDescent="0.2">
      <c r="A13980" s="1" t="s">
        <v>3486</v>
      </c>
      <c r="B13980" s="1" t="s">
        <v>3554</v>
      </c>
      <c r="C13980" s="1" t="str">
        <f>"66298923708019"</f>
        <v>66298923708019</v>
      </c>
      <c r="D13980" s="1" t="str">
        <f>"81015"</f>
        <v>81015</v>
      </c>
      <c r="E13980" s="1" t="s">
        <v>4579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</row>
    <row r="13981" spans="1:11" x14ac:dyDescent="0.2">
      <c r="A13981" s="1" t="s">
        <v>3486</v>
      </c>
      <c r="B13981" s="1" t="s">
        <v>3555</v>
      </c>
      <c r="C13981" s="1" t="str">
        <f>"66298923751440"</f>
        <v>66298923751440</v>
      </c>
      <c r="D13981" s="1" t="str">
        <f>"81008"</f>
        <v>81008</v>
      </c>
      <c r="E13981" s="1" t="s">
        <v>4579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0</v>
      </c>
    </row>
    <row r="13982" spans="1:11" x14ac:dyDescent="0.2">
      <c r="A13982" s="1" t="s">
        <v>3486</v>
      </c>
      <c r="B13982" s="1" t="s">
        <v>3556</v>
      </c>
      <c r="C13982" s="1" t="str">
        <f>"66298923792298"</f>
        <v>66298923792298</v>
      </c>
      <c r="D13982" s="1" t="str">
        <f>"81012"</f>
        <v>81012</v>
      </c>
      <c r="E13982" s="1" t="s">
        <v>4579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</row>
    <row r="13983" spans="1:11" x14ac:dyDescent="0.2">
      <c r="A13983" s="1" t="s">
        <v>3486</v>
      </c>
      <c r="B13983" s="1" t="s">
        <v>3557</v>
      </c>
      <c r="C13983" s="1" t="str">
        <f>"66298923831546"</f>
        <v>66298923831546</v>
      </c>
      <c r="D13983" s="1" t="str">
        <f>"BA002"</f>
        <v>BA002</v>
      </c>
      <c r="E13983" s="1" t="s">
        <v>4579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</row>
    <row r="13984" spans="1:11" x14ac:dyDescent="0.2">
      <c r="A13984" s="1" t="s">
        <v>3486</v>
      </c>
      <c r="B13984" s="1" t="s">
        <v>3558</v>
      </c>
      <c r="C13984" s="1" t="str">
        <f>"66298923869004"</f>
        <v>66298923869004</v>
      </c>
      <c r="D13984" s="1" t="str">
        <f>"BA010"</f>
        <v>BA010</v>
      </c>
      <c r="E13984" s="1" t="s">
        <v>4579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</row>
    <row r="13985" spans="1:11" x14ac:dyDescent="0.2">
      <c r="A13985" s="1" t="s">
        <v>3486</v>
      </c>
      <c r="B13985" s="1" t="s">
        <v>3559</v>
      </c>
      <c r="C13985" s="1" t="str">
        <f>"66298923910140"</f>
        <v>66298923910140</v>
      </c>
      <c r="D13985" s="1" t="str">
        <f>"BA004"</f>
        <v>BA004</v>
      </c>
      <c r="E13985" s="1" t="s">
        <v>4579</v>
      </c>
      <c r="F13985" s="1">
        <v>2</v>
      </c>
      <c r="G13985" s="1">
        <v>2750</v>
      </c>
      <c r="H13985" s="1">
        <v>5500</v>
      </c>
      <c r="I13985" s="1">
        <v>0</v>
      </c>
      <c r="J13985" s="1">
        <v>2</v>
      </c>
      <c r="K13985" s="1">
        <v>0</v>
      </c>
    </row>
    <row r="13986" spans="1:11" x14ac:dyDescent="0.2">
      <c r="A13986" s="1" t="s">
        <v>3486</v>
      </c>
      <c r="B13986" s="1" t="s">
        <v>3560</v>
      </c>
      <c r="C13986" s="1" t="str">
        <f>"66298923949339"</f>
        <v>66298923949339</v>
      </c>
      <c r="D13986" s="1" t="str">
        <f>"BA001"</f>
        <v>BA001</v>
      </c>
      <c r="E13986" s="1" t="s">
        <v>4579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</row>
    <row r="13987" spans="1:11" x14ac:dyDescent="0.2">
      <c r="A13987" s="1" t="s">
        <v>3486</v>
      </c>
      <c r="B13987" s="1" t="s">
        <v>3561</v>
      </c>
      <c r="C13987" s="1" t="str">
        <f>"66298923989658"</f>
        <v>66298923989658</v>
      </c>
      <c r="D13987" s="1" t="str">
        <f>"JL200GY2-F7-SET"</f>
        <v>JL200GY2-F7-SET</v>
      </c>
      <c r="E13987" s="1" t="s">
        <v>4579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</row>
    <row r="13988" spans="1:11" x14ac:dyDescent="0.2">
      <c r="A13988" s="1" t="s">
        <v>3486</v>
      </c>
      <c r="B13988" s="1" t="s">
        <v>3562</v>
      </c>
      <c r="C13988" s="1" t="str">
        <f>"66298924036428"</f>
        <v>66298924036428</v>
      </c>
      <c r="D13988" s="1" t="str">
        <f>"49CC52"</f>
        <v>49CC52</v>
      </c>
      <c r="E13988" s="1" t="s">
        <v>4579</v>
      </c>
      <c r="F13988" s="1">
        <v>2</v>
      </c>
      <c r="G13988" s="1">
        <v>1780</v>
      </c>
      <c r="H13988" s="1">
        <v>3560</v>
      </c>
      <c r="I13988" s="1">
        <v>0</v>
      </c>
      <c r="J13988" s="1">
        <v>2</v>
      </c>
      <c r="K13988" s="1">
        <v>0</v>
      </c>
    </row>
    <row r="13989" spans="1:11" x14ac:dyDescent="0.2">
      <c r="A13989" s="1" t="s">
        <v>3486</v>
      </c>
      <c r="B13989" s="1" t="s">
        <v>3563</v>
      </c>
      <c r="C13989" s="1" t="str">
        <f>"11876"</f>
        <v>11876</v>
      </c>
      <c r="D13989" s="1" t="str">
        <f>"11876"</f>
        <v>11876</v>
      </c>
      <c r="E13989" s="1" t="s">
        <v>4579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</row>
    <row r="13990" spans="1:11" x14ac:dyDescent="0.2">
      <c r="A13990" s="1" t="s">
        <v>3486</v>
      </c>
      <c r="B13990" s="1" t="s">
        <v>3564</v>
      </c>
      <c r="C13990" s="1" t="str">
        <f>"66298924083859"</f>
        <v>66298924083859</v>
      </c>
      <c r="D13990" s="1" t="str">
        <f>"BA003"</f>
        <v>BA003</v>
      </c>
      <c r="E13990" s="1" t="s">
        <v>4579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</row>
    <row r="13991" spans="1:11" x14ac:dyDescent="0.2">
      <c r="A13991" s="1" t="s">
        <v>3486</v>
      </c>
      <c r="B13991" s="1" t="s">
        <v>3564</v>
      </c>
      <c r="C13991" s="1" t="str">
        <f>"66298924123803"</f>
        <v>66298924123803</v>
      </c>
      <c r="D13991" s="1" t="str">
        <f>"BA009"</f>
        <v>BA009</v>
      </c>
      <c r="E13991" s="1" t="s">
        <v>4579</v>
      </c>
      <c r="F13991" s="1">
        <v>4</v>
      </c>
      <c r="G13991" s="1">
        <v>2808</v>
      </c>
      <c r="H13991" s="1">
        <v>11232</v>
      </c>
      <c r="I13991" s="1">
        <v>0</v>
      </c>
      <c r="J13991" s="1">
        <v>4</v>
      </c>
      <c r="K13991" s="1">
        <v>0</v>
      </c>
    </row>
    <row r="13992" spans="1:11" x14ac:dyDescent="0.2">
      <c r="A13992" s="1" t="s">
        <v>3486</v>
      </c>
      <c r="B13992" s="1" t="s">
        <v>3565</v>
      </c>
      <c r="C13992" s="1" t="str">
        <f>"66298924167524"</f>
        <v>66298924167524</v>
      </c>
      <c r="D13992" s="1" t="str">
        <f>"85068"</f>
        <v>85068</v>
      </c>
      <c r="E13992" s="1" t="s">
        <v>4579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</row>
    <row r="13993" spans="1:11" x14ac:dyDescent="0.2">
      <c r="A13993" s="1" t="s">
        <v>3486</v>
      </c>
      <c r="B13993" s="1" t="s">
        <v>3566</v>
      </c>
      <c r="C13993" s="1" t="str">
        <f>"66298924205575"</f>
        <v>66298924205575</v>
      </c>
      <c r="D13993" s="1" t="str">
        <f>"BA006"</f>
        <v>BA006</v>
      </c>
      <c r="E13993" s="1" t="s">
        <v>4579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</row>
    <row r="13994" spans="1:11" x14ac:dyDescent="0.2">
      <c r="A13994" s="1" t="s">
        <v>3486</v>
      </c>
      <c r="B13994" s="1" t="s">
        <v>3567</v>
      </c>
      <c r="C13994" s="1" t="str">
        <f>"66298924247598"</f>
        <v>66298924247598</v>
      </c>
      <c r="D13994" s="1" t="str">
        <f>"BA008"</f>
        <v>BA008</v>
      </c>
      <c r="E13994" s="1" t="s">
        <v>4579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</row>
    <row r="13995" spans="1:11" x14ac:dyDescent="0.2">
      <c r="A13995" s="1" t="s">
        <v>3486</v>
      </c>
      <c r="B13995" s="1" t="s">
        <v>3568</v>
      </c>
      <c r="C13995" s="1" t="str">
        <f>"66298924286334"</f>
        <v>66298924286334</v>
      </c>
      <c r="D13995" s="1" t="str">
        <f>"PP-30120-001JP"</f>
        <v>PP-30120-001JP</v>
      </c>
      <c r="E13995" s="1" t="s">
        <v>4579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</row>
    <row r="13996" spans="1:11" x14ac:dyDescent="0.2">
      <c r="A13996" s="1" t="s">
        <v>3486</v>
      </c>
      <c r="B13996" s="1" t="s">
        <v>3569</v>
      </c>
      <c r="C13996" s="1" t="str">
        <f>"66298924331946"</f>
        <v>66298924331946</v>
      </c>
      <c r="D13996" s="1" t="str">
        <f>"337"</f>
        <v>337</v>
      </c>
      <c r="E13996" s="1" t="s">
        <v>4579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</row>
    <row r="13997" spans="1:11" x14ac:dyDescent="0.2">
      <c r="A13997" s="1" t="s">
        <v>3486</v>
      </c>
      <c r="B13997" s="1" t="s">
        <v>3569</v>
      </c>
      <c r="C13997" s="1" t="str">
        <f>"66298924338407"</f>
        <v>66298924338407</v>
      </c>
      <c r="D13997" s="1" t="str">
        <f>"DE005"</f>
        <v>DE005</v>
      </c>
      <c r="E13997" s="1" t="s">
        <v>4579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</row>
    <row r="13998" spans="1:11" x14ac:dyDescent="0.2">
      <c r="A13998" s="1" t="s">
        <v>3486</v>
      </c>
      <c r="B13998" s="1" t="s">
        <v>3569</v>
      </c>
      <c r="C13998" s="1" t="str">
        <f>"66298924391545"</f>
        <v>66298924391545</v>
      </c>
      <c r="D13998" s="1" t="str">
        <f>"B079"</f>
        <v>B079</v>
      </c>
      <c r="E13998" s="1" t="s">
        <v>4579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</row>
    <row r="13999" spans="1:11" ht="30" x14ac:dyDescent="0.2">
      <c r="A13999" s="1" t="s">
        <v>3486</v>
      </c>
      <c r="B13999" s="1" t="s">
        <v>3570</v>
      </c>
      <c r="C13999" s="1" t="str">
        <f>"66298924432504"</f>
        <v>66298924432504</v>
      </c>
      <c r="D13999" s="1" t="str">
        <f>"401007"</f>
        <v>401007</v>
      </c>
      <c r="E13999" s="1" t="s">
        <v>4579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</row>
    <row r="14000" spans="1:11" x14ac:dyDescent="0.2">
      <c r="A14000" s="1" t="s">
        <v>3486</v>
      </c>
      <c r="B14000" s="1" t="s">
        <v>3571</v>
      </c>
      <c r="C14000" s="1" t="str">
        <f>"66298924474273"</f>
        <v>66298924474273</v>
      </c>
      <c r="D14000" s="1" t="str">
        <f>"14100-KGA-900JP"</f>
        <v>14100-KGA-900JP</v>
      </c>
      <c r="E14000" s="1" t="s">
        <v>4579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</row>
    <row r="14001" spans="1:11" x14ac:dyDescent="0.2">
      <c r="A14001" s="1" t="s">
        <v>3486</v>
      </c>
      <c r="B14001" s="1" t="s">
        <v>3572</v>
      </c>
      <c r="C14001" s="1" t="str">
        <f>"66298924535319"</f>
        <v>66298924535319</v>
      </c>
      <c r="D14001" s="1" t="str">
        <f>"CQ001"</f>
        <v>CQ001</v>
      </c>
      <c r="E14001" s="1" t="s">
        <v>4579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</row>
    <row r="14002" spans="1:11" x14ac:dyDescent="0.2">
      <c r="A14002" s="1" t="s">
        <v>3486</v>
      </c>
      <c r="B14002" s="1" t="s">
        <v>3573</v>
      </c>
      <c r="C14002" s="1" t="str">
        <f>"66298924593135"</f>
        <v>66298924593135</v>
      </c>
      <c r="D14002" s="1" t="str">
        <f>"B101"</f>
        <v>B101</v>
      </c>
      <c r="E14002" s="1" t="s">
        <v>4579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</row>
    <row r="14003" spans="1:11" x14ac:dyDescent="0.2">
      <c r="A14003" s="1" t="s">
        <v>98</v>
      </c>
      <c r="B14003" s="1" t="s">
        <v>3574</v>
      </c>
      <c r="C14003" s="1" t="str">
        <f>"66298921632359"</f>
        <v>66298921632359</v>
      </c>
      <c r="D14003" s="1" t="str">
        <f>"H095"</f>
        <v>H095</v>
      </c>
      <c r="E14003" s="1" t="s">
        <v>4579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</row>
    <row r="14004" spans="1:11" x14ac:dyDescent="0.2">
      <c r="A14004" s="1" t="s">
        <v>98</v>
      </c>
      <c r="B14004" s="1" t="s">
        <v>3575</v>
      </c>
      <c r="C14004" s="1" t="str">
        <f>"66298921672677"</f>
        <v>66298921672677</v>
      </c>
      <c r="D14004" s="1" t="str">
        <f>"H094"</f>
        <v>H094</v>
      </c>
      <c r="E14004" s="1" t="s">
        <v>4579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</row>
    <row r="14005" spans="1:11" x14ac:dyDescent="0.2">
      <c r="A14005" s="1" t="s">
        <v>3576</v>
      </c>
      <c r="B14005" s="1" t="s">
        <v>3577</v>
      </c>
      <c r="C14005" s="1" t="str">
        <f>"66298924633993"</f>
        <v>66298924633993</v>
      </c>
      <c r="D14005" s="1" t="str">
        <f>"81989"</f>
        <v>81989</v>
      </c>
      <c r="E14005" s="1" t="s">
        <v>4579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</row>
    <row r="14006" spans="1:11" x14ac:dyDescent="0.2">
      <c r="A14006" s="1" t="s">
        <v>3576</v>
      </c>
      <c r="B14006" s="1" t="s">
        <v>3578</v>
      </c>
      <c r="C14006" s="1" t="str">
        <f>"66298924671714"</f>
        <v>66298924671714</v>
      </c>
      <c r="D14006" s="1" t="str">
        <f>"DK101328"</f>
        <v>DK101328</v>
      </c>
      <c r="E14006" s="1" t="s">
        <v>4579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</row>
    <row r="14007" spans="1:11" x14ac:dyDescent="0.2">
      <c r="A14007" s="1" t="s">
        <v>3576</v>
      </c>
      <c r="B14007" s="1" t="s">
        <v>3579</v>
      </c>
      <c r="C14007" s="1" t="str">
        <f>"66298924711717"</f>
        <v>66298924711717</v>
      </c>
      <c r="D14007" s="1" t="str">
        <f>"DB011"</f>
        <v>DB011</v>
      </c>
      <c r="E14007" s="1" t="s">
        <v>4579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</row>
    <row r="14008" spans="1:11" x14ac:dyDescent="0.2">
      <c r="A14008" s="1" t="s">
        <v>3576</v>
      </c>
      <c r="B14008" s="1" t="s">
        <v>3580</v>
      </c>
      <c r="C14008" s="1" t="str">
        <f>"66298924750314"</f>
        <v>66298924750314</v>
      </c>
      <c r="D14008" s="1" t="str">
        <f>"DB012"</f>
        <v>DB012</v>
      </c>
      <c r="E14008" s="1" t="s">
        <v>4579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</row>
    <row r="14009" spans="1:11" x14ac:dyDescent="0.2">
      <c r="A14009" s="1" t="s">
        <v>3576</v>
      </c>
      <c r="B14009" s="1" t="s">
        <v>3581</v>
      </c>
      <c r="C14009" s="1" t="str">
        <f>"66298924788091"</f>
        <v>66298924788091</v>
      </c>
      <c r="D14009" s="1" t="str">
        <f>"KXN-30206-SJP"</f>
        <v>KXN-30206-SJP</v>
      </c>
      <c r="E14009" s="1" t="s">
        <v>4579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</row>
    <row r="14010" spans="1:11" x14ac:dyDescent="0.2">
      <c r="A14010" s="1" t="s">
        <v>3576</v>
      </c>
      <c r="B14010" s="1" t="s">
        <v>3582</v>
      </c>
      <c r="C14010" s="1" t="str">
        <f>"66298924829742"</f>
        <v>66298924829742</v>
      </c>
      <c r="D14010" s="1" t="str">
        <f>"DB024"</f>
        <v>DB024</v>
      </c>
      <c r="E14010" s="1" t="s">
        <v>4579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</row>
    <row r="14011" spans="1:11" x14ac:dyDescent="0.2">
      <c r="A14011" s="1" t="s">
        <v>3576</v>
      </c>
      <c r="B14011" s="1" t="s">
        <v>3583</v>
      </c>
      <c r="C14011" s="1" t="str">
        <f>"66298924872215"</f>
        <v>66298924872215</v>
      </c>
      <c r="D14011" s="1" t="str">
        <f>"DB037"</f>
        <v>DB037</v>
      </c>
      <c r="E14011" s="1" t="s">
        <v>4579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</row>
    <row r="14012" spans="1:11" x14ac:dyDescent="0.2">
      <c r="A14012" s="1" t="s">
        <v>3576</v>
      </c>
      <c r="B14012" s="1" t="s">
        <v>3584</v>
      </c>
      <c r="C14012" s="1" t="str">
        <f>"66298924913185"</f>
        <v>66298924913185</v>
      </c>
      <c r="D14012" s="1" t="str">
        <f>"06133-KTE-000BR"</f>
        <v>06133-KTE-000BR</v>
      </c>
      <c r="E14012" s="1" t="s">
        <v>4579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</row>
    <row r="14013" spans="1:11" x14ac:dyDescent="0.2">
      <c r="A14013" s="1" t="s">
        <v>3576</v>
      </c>
      <c r="B14013" s="1" t="s">
        <v>3585</v>
      </c>
      <c r="C14013" s="1" t="str">
        <f>"66298924954071"</f>
        <v>66298924954071</v>
      </c>
      <c r="D14013" s="1" t="str">
        <f>"06135-KTE-000BR"</f>
        <v>06135-KTE-000BR</v>
      </c>
      <c r="E14013" s="1" t="s">
        <v>4579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</row>
    <row r="14014" spans="1:11" x14ac:dyDescent="0.2">
      <c r="A14014" s="1" t="s">
        <v>3576</v>
      </c>
      <c r="B14014" s="1" t="s">
        <v>3586</v>
      </c>
      <c r="C14014" s="1" t="str">
        <f>"66298924992003"</f>
        <v>66298924992003</v>
      </c>
      <c r="D14014" s="1" t="str">
        <f>"DB026"</f>
        <v>DB026</v>
      </c>
      <c r="E14014" s="1" t="s">
        <v>4579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</row>
    <row r="14015" spans="1:11" x14ac:dyDescent="0.2">
      <c r="A14015" s="1" t="s">
        <v>3576</v>
      </c>
      <c r="B14015" s="1" t="s">
        <v>3587</v>
      </c>
      <c r="C14015" s="1" t="str">
        <f>"66298925033733"</f>
        <v>66298925033733</v>
      </c>
      <c r="D14015" s="1" t="str">
        <f>"06133-GF6-000JP"</f>
        <v>06133-GF6-000JP</v>
      </c>
      <c r="E14015" s="1" t="s">
        <v>4579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</row>
    <row r="14016" spans="1:11" x14ac:dyDescent="0.2">
      <c r="A14016" s="1" t="s">
        <v>3576</v>
      </c>
      <c r="B14016" s="1" t="s">
        <v>3588</v>
      </c>
      <c r="C14016" s="1" t="str">
        <f>"66298925074043"</f>
        <v>66298925074043</v>
      </c>
      <c r="D14016" s="1" t="str">
        <f>"DB009"</f>
        <v>DB009</v>
      </c>
      <c r="E14016" s="1" t="s">
        <v>4579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</row>
    <row r="14017" spans="1:11" x14ac:dyDescent="0.2">
      <c r="A14017" s="1" t="s">
        <v>3576</v>
      </c>
      <c r="B14017" s="1" t="s">
        <v>3589</v>
      </c>
      <c r="C14017" s="1" t="str">
        <f>"66298925114004"</f>
        <v>66298925114004</v>
      </c>
      <c r="D14017" s="1" t="str">
        <f>"DB010"</f>
        <v>DB010</v>
      </c>
      <c r="E14017" s="1" t="s">
        <v>4579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</row>
    <row r="14018" spans="1:11" x14ac:dyDescent="0.2">
      <c r="A14018" s="1" t="s">
        <v>3576</v>
      </c>
      <c r="B14018" s="1" t="s">
        <v>3590</v>
      </c>
      <c r="C14018" s="1" t="str">
        <f>"66298925161140"</f>
        <v>66298925161140</v>
      </c>
      <c r="D14018" s="1" t="str">
        <f>"81992"</f>
        <v>81992</v>
      </c>
      <c r="E14018" s="1" t="s">
        <v>4579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</row>
    <row r="14019" spans="1:11" x14ac:dyDescent="0.2">
      <c r="A14019" s="1" t="s">
        <v>3576</v>
      </c>
      <c r="B14019" s="1" t="s">
        <v>3591</v>
      </c>
      <c r="C14019" s="1" t="str">
        <f>"66298925200962"</f>
        <v>66298925200962</v>
      </c>
      <c r="D14019" s="1" t="str">
        <f>"KSM-30206-050JP"</f>
        <v>KSM-30206-050JP</v>
      </c>
      <c r="E14019" s="1" t="s">
        <v>4579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</row>
    <row r="14020" spans="1:11" x14ac:dyDescent="0.2">
      <c r="A14020" s="1" t="s">
        <v>3576</v>
      </c>
      <c r="B14020" s="1" t="s">
        <v>3592</v>
      </c>
      <c r="C14020" s="1" t="str">
        <f>"66298925242494"</f>
        <v>66298925242494</v>
      </c>
      <c r="D14020" s="1" t="str">
        <f>"KSM-30206-100JP"</f>
        <v>KSM-30206-100JP</v>
      </c>
      <c r="E14020" s="1" t="s">
        <v>4579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</row>
    <row r="14021" spans="1:11" x14ac:dyDescent="0.2">
      <c r="A14021" s="1" t="s">
        <v>3576</v>
      </c>
      <c r="B14021" s="1" t="s">
        <v>3593</v>
      </c>
      <c r="C14021" s="1" t="str">
        <f>"66298925283829"</f>
        <v>66298925283829</v>
      </c>
      <c r="D14021" s="1" t="str">
        <f>"2A7-11630-20JP"</f>
        <v>2A7-11630-20JP</v>
      </c>
      <c r="E14021" s="1" t="s">
        <v>4579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</row>
    <row r="14022" spans="1:11" x14ac:dyDescent="0.2">
      <c r="A14022" s="1" t="s">
        <v>3576</v>
      </c>
      <c r="B14022" s="1" t="s">
        <v>3594</v>
      </c>
      <c r="C14022" s="1" t="str">
        <f>"66298925325830"</f>
        <v>66298925325830</v>
      </c>
      <c r="D14022" s="1" t="str">
        <f>"2A7-11630-40JP"</f>
        <v>2A7-11630-40JP</v>
      </c>
      <c r="E14022" s="1" t="s">
        <v>4579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</row>
    <row r="14023" spans="1:11" x14ac:dyDescent="0.2">
      <c r="A14023" s="1" t="s">
        <v>3576</v>
      </c>
      <c r="B14023" s="1" t="s">
        <v>3595</v>
      </c>
      <c r="C14023" s="1" t="str">
        <f>"10630"</f>
        <v>10630</v>
      </c>
      <c r="D14023" s="1" t="str">
        <f>"10630"</f>
        <v>10630</v>
      </c>
      <c r="E14023" s="1" t="s">
        <v>4579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</row>
    <row r="14024" spans="1:11" x14ac:dyDescent="0.2">
      <c r="A14024" s="1" t="s">
        <v>3576</v>
      </c>
      <c r="B14024" s="1" t="s">
        <v>3596</v>
      </c>
      <c r="C14024" s="1" t="str">
        <f>"66298925364574"</f>
        <v>66298925364574</v>
      </c>
      <c r="D14024" s="1" t="str">
        <f>"DB006"</f>
        <v>DB006</v>
      </c>
      <c r="E14024" s="1" t="s">
        <v>4579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</row>
    <row r="14025" spans="1:11" x14ac:dyDescent="0.2">
      <c r="A14025" s="1" t="s">
        <v>3576</v>
      </c>
      <c r="B14025" s="1" t="s">
        <v>3597</v>
      </c>
      <c r="C14025" s="1" t="str">
        <f>"66298925401811"</f>
        <v>66298925401811</v>
      </c>
      <c r="D14025" s="1" t="str">
        <f>"DB007"</f>
        <v>DB007</v>
      </c>
      <c r="E14025" s="1" t="s">
        <v>4579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</row>
    <row r="14026" spans="1:11" x14ac:dyDescent="0.2">
      <c r="A14026" s="1" t="s">
        <v>3576</v>
      </c>
      <c r="B14026" s="1" t="s">
        <v>3598</v>
      </c>
      <c r="C14026" s="1" t="str">
        <f>"66298925443180"</f>
        <v>66298925443180</v>
      </c>
      <c r="D14026" s="1" t="str">
        <f>"DB001"</f>
        <v>DB001</v>
      </c>
      <c r="E14026" s="1" t="s">
        <v>4579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</row>
    <row r="14027" spans="1:11" x14ac:dyDescent="0.2">
      <c r="A14027" s="1" t="s">
        <v>3576</v>
      </c>
      <c r="B14027" s="1" t="s">
        <v>3599</v>
      </c>
      <c r="C14027" s="1" t="str">
        <f>"66298925485162"</f>
        <v>66298925485162</v>
      </c>
      <c r="D14027" s="1" t="str">
        <f>"DB002"</f>
        <v>DB002</v>
      </c>
      <c r="E14027" s="1" t="s">
        <v>4579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</row>
    <row r="14028" spans="1:11" ht="30" x14ac:dyDescent="0.2">
      <c r="A14028" s="1" t="s">
        <v>3576</v>
      </c>
      <c r="B14028" s="1" t="s">
        <v>3600</v>
      </c>
      <c r="C14028" s="1" t="str">
        <f>"12111-42A10-100JP"</f>
        <v>12111-42A10-100JP</v>
      </c>
      <c r="D14028" s="1" t="str">
        <f>"12111-42A10-100JP"</f>
        <v>12111-42A10-100JP</v>
      </c>
      <c r="E14028" s="1" t="s">
        <v>4579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</row>
    <row r="14029" spans="1:11" x14ac:dyDescent="0.2">
      <c r="A14029" s="1" t="s">
        <v>3576</v>
      </c>
      <c r="B14029" s="1" t="s">
        <v>3601</v>
      </c>
      <c r="C14029" s="1" t="str">
        <f>"66298925523570"</f>
        <v>66298925523570</v>
      </c>
      <c r="D14029" s="1" t="str">
        <f>"80281"</f>
        <v>80281</v>
      </c>
      <c r="E14029" s="1" t="s">
        <v>4579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</row>
    <row r="14030" spans="1:11" x14ac:dyDescent="0.2">
      <c r="A14030" s="1" t="s">
        <v>3576</v>
      </c>
      <c r="B14030" s="1" t="s">
        <v>3602</v>
      </c>
      <c r="C14030" s="1" t="str">
        <f>"66298925567647"</f>
        <v>66298925567647</v>
      </c>
      <c r="D14030" s="1" t="str">
        <f>"80282"</f>
        <v>80282</v>
      </c>
      <c r="E14030" s="1" t="s">
        <v>4579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</row>
    <row r="14031" spans="1:11" x14ac:dyDescent="0.2">
      <c r="A14031" s="1" t="s">
        <v>3576</v>
      </c>
      <c r="B14031" s="1" t="s">
        <v>3603</v>
      </c>
      <c r="C14031" s="1" t="str">
        <f>"66298925610233"</f>
        <v>66298925610233</v>
      </c>
      <c r="D14031" s="1" t="str">
        <f>"31-1010-13-050"</f>
        <v>31-1010-13-050</v>
      </c>
      <c r="E14031" s="1" t="s">
        <v>4579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</row>
    <row r="14032" spans="1:11" x14ac:dyDescent="0.2">
      <c r="A14032" s="1" t="s">
        <v>3576</v>
      </c>
      <c r="B14032" s="1" t="s">
        <v>3604</v>
      </c>
      <c r="C14032" s="1" t="str">
        <f>"66298925647658"</f>
        <v>66298925647658</v>
      </c>
      <c r="D14032" s="1" t="str">
        <f>"31-1010-13-100"</f>
        <v>31-1010-13-100</v>
      </c>
      <c r="E14032" s="1" t="s">
        <v>4579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</row>
    <row r="14033" spans="1:11" x14ac:dyDescent="0.2">
      <c r="A14033" s="1" t="s">
        <v>3576</v>
      </c>
      <c r="B14033" s="1" t="s">
        <v>3605</v>
      </c>
      <c r="C14033" s="1" t="str">
        <f>"66298925688493"</f>
        <v>66298925688493</v>
      </c>
      <c r="D14033" s="1" t="str">
        <f>"31-1010-13-STD"</f>
        <v>31-1010-13-STD</v>
      </c>
      <c r="E14033" s="1" t="s">
        <v>4579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</row>
    <row r="14034" spans="1:11" x14ac:dyDescent="0.2">
      <c r="A14034" s="1" t="s">
        <v>3576</v>
      </c>
      <c r="B14034" s="1" t="s">
        <v>3606</v>
      </c>
      <c r="C14034" s="1" t="str">
        <f>"66298925728977"</f>
        <v>66298925728977</v>
      </c>
      <c r="D14034" s="1" t="str">
        <f>"JC-1010-12-050JP"</f>
        <v>JC-1010-12-050JP</v>
      </c>
      <c r="E14034" s="1" t="s">
        <v>4579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</row>
    <row r="14035" spans="1:11" x14ac:dyDescent="0.2">
      <c r="A14035" s="1" t="s">
        <v>3576</v>
      </c>
      <c r="B14035" s="1" t="s">
        <v>3607</v>
      </c>
      <c r="C14035" s="1" t="str">
        <f>"66298925770760"</f>
        <v>66298925770760</v>
      </c>
      <c r="D14035" s="1" t="str">
        <f>"JC-1010-12-100JP"</f>
        <v>JC-1010-12-100JP</v>
      </c>
      <c r="E14035" s="1" t="s">
        <v>4579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</row>
    <row r="14036" spans="1:11" x14ac:dyDescent="0.2">
      <c r="A14036" s="1" t="s">
        <v>3576</v>
      </c>
      <c r="B14036" s="1" t="s">
        <v>3608</v>
      </c>
      <c r="C14036" s="1" t="str">
        <f>"66298925810509"</f>
        <v>66298925810509</v>
      </c>
      <c r="D14036" s="1" t="str">
        <f>"DK-1010-92-050JP"</f>
        <v>DK-1010-92-050JP</v>
      </c>
      <c r="E14036" s="1" t="s">
        <v>4579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</row>
    <row r="14037" spans="1:11" x14ac:dyDescent="0.2">
      <c r="A14037" s="1" t="s">
        <v>3576</v>
      </c>
      <c r="B14037" s="1" t="s">
        <v>3609</v>
      </c>
      <c r="C14037" s="1" t="str">
        <f>"66298925848337"</f>
        <v>66298925848337</v>
      </c>
      <c r="D14037" s="1" t="str">
        <f>"82320"</f>
        <v>82320</v>
      </c>
      <c r="E14037" s="1" t="s">
        <v>4579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</row>
    <row r="14038" spans="1:11" x14ac:dyDescent="0.2">
      <c r="A14038" s="1" t="s">
        <v>3576</v>
      </c>
      <c r="B14038" s="1" t="s">
        <v>3610</v>
      </c>
      <c r="C14038" s="1" t="str">
        <f>"66298925889689"</f>
        <v>66298925889689</v>
      </c>
      <c r="D14038" s="1" t="str">
        <f>"82321"</f>
        <v>82321</v>
      </c>
      <c r="E14038" s="1" t="s">
        <v>4579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</row>
    <row r="14039" spans="1:11" x14ac:dyDescent="0.2">
      <c r="A14039" s="1" t="s">
        <v>3576</v>
      </c>
      <c r="B14039" s="1" t="s">
        <v>3610</v>
      </c>
      <c r="C14039" s="1" t="str">
        <f>"66298925897683"</f>
        <v>66298925897683</v>
      </c>
      <c r="D14039" s="1" t="str">
        <f>"DB034"</f>
        <v>DB034</v>
      </c>
      <c r="E14039" s="1" t="s">
        <v>4579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</row>
    <row r="14040" spans="1:11" x14ac:dyDescent="0.2">
      <c r="A14040" s="1" t="s">
        <v>3576</v>
      </c>
      <c r="B14040" s="1" t="s">
        <v>3611</v>
      </c>
      <c r="C14040" s="1" t="str">
        <f>"66298925948899"</f>
        <v>66298925948899</v>
      </c>
      <c r="D14040" s="1" t="str">
        <f>"13101-KFB7-050JP"</f>
        <v>13101-KFB7-050JP</v>
      </c>
      <c r="E14040" s="1" t="s">
        <v>4579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</row>
    <row r="14041" spans="1:11" x14ac:dyDescent="0.2">
      <c r="A14041" s="1" t="s">
        <v>3576</v>
      </c>
      <c r="B14041" s="1" t="s">
        <v>3612</v>
      </c>
      <c r="C14041" s="1" t="str">
        <f>"66298925986897"</f>
        <v>66298925986897</v>
      </c>
      <c r="D14041" s="1" t="str">
        <f>"13101-KFB7-100JP"</f>
        <v>13101-KFB7-100JP</v>
      </c>
      <c r="E14041" s="1" t="s">
        <v>4579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</row>
    <row r="14042" spans="1:11" x14ac:dyDescent="0.2">
      <c r="A14042" s="1" t="s">
        <v>3576</v>
      </c>
      <c r="B14042" s="1" t="s">
        <v>3613</v>
      </c>
      <c r="C14042" s="1" t="str">
        <f>"66298926027176"</f>
        <v>66298926027176</v>
      </c>
      <c r="D14042" s="1" t="str">
        <f>"619-100"</f>
        <v>619-100</v>
      </c>
      <c r="E14042" s="1" t="s">
        <v>4579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</row>
    <row r="14043" spans="1:11" x14ac:dyDescent="0.2">
      <c r="A14043" s="1" t="s">
        <v>3576</v>
      </c>
      <c r="B14043" s="1" t="s">
        <v>3614</v>
      </c>
      <c r="C14043" s="1" t="str">
        <f>"66298926067800"</f>
        <v>66298926067800</v>
      </c>
      <c r="D14043" s="1" t="str">
        <f>"619-STD"</f>
        <v>619-STD</v>
      </c>
      <c r="E14043" s="1" t="s">
        <v>4579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</row>
    <row r="14044" spans="1:11" x14ac:dyDescent="0.2">
      <c r="A14044" s="1" t="s">
        <v>3576</v>
      </c>
      <c r="B14044" s="1" t="s">
        <v>3615</v>
      </c>
      <c r="C14044" s="1" t="str">
        <f>"66298926107226"</f>
        <v>66298926107226</v>
      </c>
      <c r="D14044" s="1" t="str">
        <f>"06133-KVC-900JP"</f>
        <v>06133-KVC-900JP</v>
      </c>
      <c r="E14044" s="1" t="s">
        <v>4579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</row>
    <row r="14045" spans="1:11" x14ac:dyDescent="0.2">
      <c r="A14045" s="1" t="s">
        <v>3576</v>
      </c>
      <c r="B14045" s="1" t="s">
        <v>3616</v>
      </c>
      <c r="C14045" s="1" t="str">
        <f>"66298926145573"</f>
        <v>66298926145573</v>
      </c>
      <c r="D14045" s="1" t="str">
        <f>"DB036"</f>
        <v>DB036</v>
      </c>
      <c r="E14045" s="1" t="s">
        <v>4579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</row>
    <row r="14046" spans="1:11" x14ac:dyDescent="0.2">
      <c r="A14046" s="1" t="s">
        <v>3576</v>
      </c>
      <c r="B14046" s="1" t="s">
        <v>3617</v>
      </c>
      <c r="C14046" s="1" t="str">
        <f>"66298926187929"</f>
        <v>66298926187929</v>
      </c>
      <c r="D14046" s="1" t="str">
        <f>"DB035"</f>
        <v>DB035</v>
      </c>
      <c r="E14046" s="1" t="s">
        <v>4579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</row>
    <row r="14047" spans="1:11" x14ac:dyDescent="0.2">
      <c r="A14047" s="1" t="s">
        <v>3576</v>
      </c>
      <c r="B14047" s="1" t="s">
        <v>3618</v>
      </c>
      <c r="C14047" s="1" t="str">
        <f>"66298926234767"</f>
        <v>66298926234767</v>
      </c>
      <c r="D14047" s="1" t="str">
        <f>"06135-KGA-B00JP"</f>
        <v>06135-KGA-B00JP</v>
      </c>
      <c r="E14047" s="1" t="s">
        <v>4579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0</v>
      </c>
    </row>
    <row r="14048" spans="1:11" x14ac:dyDescent="0.2">
      <c r="A14048" s="1" t="s">
        <v>3576</v>
      </c>
      <c r="B14048" s="1" t="s">
        <v>3619</v>
      </c>
      <c r="C14048" s="1" t="str">
        <f>"66298926270952"</f>
        <v>66298926270952</v>
      </c>
      <c r="D14048" s="1" t="str">
        <f>"80279"</f>
        <v>80279</v>
      </c>
      <c r="E14048" s="1" t="s">
        <v>4579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</row>
    <row r="14049" spans="1:11" x14ac:dyDescent="0.2">
      <c r="A14049" s="1" t="s">
        <v>3576</v>
      </c>
      <c r="B14049" s="1" t="s">
        <v>3620</v>
      </c>
      <c r="C14049" s="1" t="str">
        <f>"66298926311005"</f>
        <v>66298926311005</v>
      </c>
      <c r="D14049" s="1" t="str">
        <f>"06133-KT1-315JP"</f>
        <v>06133-KT1-315JP</v>
      </c>
      <c r="E14049" s="1" t="s">
        <v>4579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</row>
    <row r="14050" spans="1:11" x14ac:dyDescent="0.2">
      <c r="A14050" s="1" t="s">
        <v>3576</v>
      </c>
      <c r="B14050" s="1" t="s">
        <v>3621</v>
      </c>
      <c r="C14050" s="1" t="str">
        <f>"66298926353882"</f>
        <v>66298926353882</v>
      </c>
      <c r="D14050" s="1" t="str">
        <f>"06135-KT1-315JP"</f>
        <v>06135-KT1-315JP</v>
      </c>
      <c r="E14050" s="1" t="s">
        <v>4579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</row>
    <row r="14051" spans="1:11" x14ac:dyDescent="0.2">
      <c r="A14051" s="1" t="s">
        <v>3576</v>
      </c>
      <c r="B14051" s="1" t="s">
        <v>3622</v>
      </c>
      <c r="C14051" s="1" t="str">
        <f>"66298926400164"</f>
        <v>66298926400164</v>
      </c>
      <c r="D14051" s="1" t="str">
        <f>"06131-KT1-013JP"</f>
        <v>06131-KT1-013JP</v>
      </c>
      <c r="E14051" s="1" t="s">
        <v>4579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</row>
    <row r="14052" spans="1:11" x14ac:dyDescent="0.2">
      <c r="A14052" s="1" t="s">
        <v>3576</v>
      </c>
      <c r="B14052" s="1" t="s">
        <v>3623</v>
      </c>
      <c r="C14052" s="1" t="str">
        <f>"66298926439435"</f>
        <v>66298926439435</v>
      </c>
      <c r="D14052" s="1" t="str">
        <f>"DB022"</f>
        <v>DB022</v>
      </c>
      <c r="E14052" s="1" t="s">
        <v>4579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</row>
    <row r="14053" spans="1:11" x14ac:dyDescent="0.2">
      <c r="A14053" s="1" t="s">
        <v>3576</v>
      </c>
      <c r="B14053" s="1" t="s">
        <v>3624</v>
      </c>
      <c r="C14053" s="1" t="str">
        <f>"66298926476220"</f>
        <v>66298926476220</v>
      </c>
      <c r="D14053" s="1" t="str">
        <f>"5ML-11630-40JP"</f>
        <v>5ML-11630-40JP</v>
      </c>
      <c r="E14053" s="1" t="s">
        <v>4579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</row>
    <row r="14054" spans="1:11" x14ac:dyDescent="0.2">
      <c r="A14054" s="1" t="s">
        <v>3576</v>
      </c>
      <c r="B14054" s="1" t="s">
        <v>3625</v>
      </c>
      <c r="C14054" s="1" t="str">
        <f>"66298926514945"</f>
        <v>66298926514945</v>
      </c>
      <c r="D14054" s="1" t="str">
        <f>"2724"</f>
        <v>2724</v>
      </c>
      <c r="E14054" s="1" t="s">
        <v>4579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</row>
    <row r="14055" spans="1:11" x14ac:dyDescent="0.2">
      <c r="A14055" s="1" t="s">
        <v>98</v>
      </c>
      <c r="B14055" s="1" t="s">
        <v>3626</v>
      </c>
      <c r="C14055" s="1" t="str">
        <f>"66298926555662"</f>
        <v>66298926555662</v>
      </c>
      <c r="D14055" s="1" t="str">
        <f>"21C-F2174-00GY"</f>
        <v>21C-F2174-00GY</v>
      </c>
      <c r="E14055" s="1" t="s">
        <v>4579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</row>
    <row r="14056" spans="1:11" x14ac:dyDescent="0.2">
      <c r="A14056" s="1" t="s">
        <v>388</v>
      </c>
      <c r="B14056" s="1" t="s">
        <v>3627</v>
      </c>
      <c r="C14056" s="1" t="str">
        <f>"66298926609191"</f>
        <v>66298926609191</v>
      </c>
      <c r="D14056" s="1" t="str">
        <f>"400701"</f>
        <v>400701</v>
      </c>
      <c r="E14056" s="1" t="s">
        <v>4579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</row>
    <row r="14057" spans="1:11" x14ac:dyDescent="0.2">
      <c r="A14057" s="1" t="s">
        <v>388</v>
      </c>
      <c r="B14057" s="1" t="s">
        <v>3628</v>
      </c>
      <c r="C14057" s="1" t="str">
        <f>"66298926652078"</f>
        <v>66298926652078</v>
      </c>
      <c r="D14057" s="1" t="str">
        <f>"32101-23410HB"</f>
        <v>32101-23410HB</v>
      </c>
      <c r="E14057" s="1" t="s">
        <v>4579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</row>
    <row r="14058" spans="1:11" x14ac:dyDescent="0.2">
      <c r="A14058" s="1" t="s">
        <v>388</v>
      </c>
      <c r="B14058" s="1" t="s">
        <v>3628</v>
      </c>
      <c r="C14058" s="1" t="str">
        <f>"FB033"</f>
        <v>FB033</v>
      </c>
      <c r="D14058" s="1" t="str">
        <f>"FB033"</f>
        <v>FB033</v>
      </c>
      <c r="E14058" s="1" t="s">
        <v>4579</v>
      </c>
      <c r="F14058" s="1">
        <v>2</v>
      </c>
      <c r="G14058" s="1">
        <v>8556</v>
      </c>
      <c r="H14058" s="1">
        <v>17112</v>
      </c>
      <c r="I14058" s="1">
        <v>0</v>
      </c>
      <c r="J14058" s="1">
        <v>2</v>
      </c>
      <c r="K14058" s="1">
        <v>0</v>
      </c>
    </row>
    <row r="14059" spans="1:11" x14ac:dyDescent="0.2">
      <c r="A14059" s="1" t="s">
        <v>388</v>
      </c>
      <c r="B14059" s="1" t="s">
        <v>3629</v>
      </c>
      <c r="C14059" s="1" t="str">
        <f>"66298926695070"</f>
        <v>66298926695070</v>
      </c>
      <c r="D14059" s="1" t="str">
        <f>"FB021"</f>
        <v>FB021</v>
      </c>
      <c r="E14059" s="1" t="s">
        <v>4579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</row>
    <row r="14060" spans="1:11" x14ac:dyDescent="0.2">
      <c r="A14060" s="1" t="s">
        <v>141</v>
      </c>
      <c r="B14060" s="1" t="s">
        <v>3630</v>
      </c>
      <c r="C14060" s="1" t="str">
        <f>"66298926738030"</f>
        <v>66298926738030</v>
      </c>
      <c r="D14060" s="1" t="str">
        <f>"0080S"</f>
        <v>0080S</v>
      </c>
      <c r="E14060" s="1" t="s">
        <v>4579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</row>
    <row r="14061" spans="1:11" x14ac:dyDescent="0.2">
      <c r="A14061" s="1" t="s">
        <v>141</v>
      </c>
      <c r="B14061" s="1" t="s">
        <v>3631</v>
      </c>
      <c r="C14061" s="1" t="str">
        <f>"66298926779460"</f>
        <v>66298926779460</v>
      </c>
      <c r="D14061" s="1" t="str">
        <f>"400627"</f>
        <v>400627</v>
      </c>
      <c r="E14061" s="1" t="s">
        <v>4579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</row>
    <row r="14062" spans="1:11" x14ac:dyDescent="0.2">
      <c r="A14062" s="1" t="s">
        <v>141</v>
      </c>
      <c r="B14062" s="1" t="s">
        <v>3632</v>
      </c>
      <c r="C14062" s="1" t="str">
        <f>"66298926823705"</f>
        <v>66298926823705</v>
      </c>
      <c r="D14062" s="1" t="str">
        <f>"115114"</f>
        <v>115114</v>
      </c>
      <c r="E14062" s="1" t="s">
        <v>4579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</row>
    <row r="14063" spans="1:11" x14ac:dyDescent="0.2">
      <c r="A14063" s="1" t="s">
        <v>141</v>
      </c>
      <c r="B14063" s="1" t="s">
        <v>3633</v>
      </c>
      <c r="C14063" s="1" t="str">
        <f>"66298926867971"</f>
        <v>66298926867971</v>
      </c>
      <c r="D14063" s="1" t="str">
        <f>"PA002"</f>
        <v>PA002</v>
      </c>
      <c r="E14063" s="1" t="s">
        <v>4579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</row>
    <row r="14064" spans="1:11" x14ac:dyDescent="0.2">
      <c r="A14064" s="1" t="s">
        <v>141</v>
      </c>
      <c r="B14064" s="1" t="s">
        <v>3634</v>
      </c>
      <c r="C14064" s="1" t="str">
        <f>"66298926907678"</f>
        <v>66298926907678</v>
      </c>
      <c r="D14064" s="1" t="str">
        <f>"PA003"</f>
        <v>PA003</v>
      </c>
      <c r="E14064" s="1" t="s">
        <v>4579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</row>
    <row r="14065" spans="1:11" x14ac:dyDescent="0.2">
      <c r="A14065" s="1" t="s">
        <v>141</v>
      </c>
      <c r="B14065" s="1" t="s">
        <v>3635</v>
      </c>
      <c r="C14065" s="1" t="str">
        <f>"66298926948961"</f>
        <v>66298926948961</v>
      </c>
      <c r="D14065" s="1" t="str">
        <f>"PA001"</f>
        <v>PA001</v>
      </c>
      <c r="E14065" s="1" t="s">
        <v>4579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</row>
    <row r="14066" spans="1:11" x14ac:dyDescent="0.2">
      <c r="A14066" s="1" t="s">
        <v>141</v>
      </c>
      <c r="B14066" s="1" t="s">
        <v>3636</v>
      </c>
      <c r="C14066" s="1" t="str">
        <f>"66298926990356"</f>
        <v>66298926990356</v>
      </c>
      <c r="D14066" s="1" t="str">
        <f>"PA008"</f>
        <v>PA008</v>
      </c>
      <c r="E14066" s="1" t="s">
        <v>4579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</row>
    <row r="14067" spans="1:11" x14ac:dyDescent="0.2">
      <c r="A14067" s="1" t="s">
        <v>141</v>
      </c>
      <c r="B14067" s="1" t="s">
        <v>3637</v>
      </c>
      <c r="C14067" s="1" t="str">
        <f>"66298927036172"</f>
        <v>66298927036172</v>
      </c>
      <c r="D14067" s="1" t="str">
        <f>"PA004"</f>
        <v>PA004</v>
      </c>
      <c r="E14067" s="1" t="s">
        <v>4579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</row>
    <row r="14068" spans="1:11" x14ac:dyDescent="0.2">
      <c r="A14068" s="1" t="s">
        <v>141</v>
      </c>
      <c r="B14068" s="1" t="s">
        <v>3637</v>
      </c>
      <c r="C14068" s="1" t="str">
        <f>"66298927042572"</f>
        <v>66298927042572</v>
      </c>
      <c r="D14068" s="1" t="str">
        <f>"PA005"</f>
        <v>PA005</v>
      </c>
      <c r="E14068" s="1" t="s">
        <v>4579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</row>
    <row r="14069" spans="1:11" x14ac:dyDescent="0.2">
      <c r="A14069" s="1" t="s">
        <v>1156</v>
      </c>
      <c r="B14069" s="1" t="s">
        <v>3638</v>
      </c>
      <c r="C14069" s="1" t="str">
        <f>"NF003"</f>
        <v>NF003</v>
      </c>
      <c r="D14069" s="1" t="str">
        <f>"NF003"</f>
        <v>NF003</v>
      </c>
      <c r="E14069" s="1" t="s">
        <v>4579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</row>
    <row r="14070" spans="1:11" x14ac:dyDescent="0.2">
      <c r="A14070" s="1" t="s">
        <v>3639</v>
      </c>
      <c r="B14070" s="1" t="s">
        <v>3640</v>
      </c>
      <c r="C14070" s="1" t="str">
        <f>"N009"</f>
        <v>N009</v>
      </c>
      <c r="D14070" s="1" t="str">
        <f>"N009"</f>
        <v>N009</v>
      </c>
      <c r="E14070" s="1" t="s">
        <v>4579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</row>
    <row r="14071" spans="1:11" x14ac:dyDescent="0.2">
      <c r="A14071" s="1" t="s">
        <v>1156</v>
      </c>
      <c r="B14071" s="1" t="s">
        <v>3641</v>
      </c>
      <c r="C14071" s="1" t="str">
        <f>"NF002"</f>
        <v>NF002</v>
      </c>
      <c r="D14071" s="1" t="str">
        <f>"NF002"</f>
        <v>NF002</v>
      </c>
      <c r="E14071" s="1" t="s">
        <v>4579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</row>
    <row r="14072" spans="1:11" x14ac:dyDescent="0.2">
      <c r="A14072" s="1" t="s">
        <v>1156</v>
      </c>
      <c r="B14072" s="1" t="s">
        <v>3642</v>
      </c>
      <c r="C14072" s="1" t="str">
        <f>"NF005"</f>
        <v>NF005</v>
      </c>
      <c r="D14072" s="1" t="str">
        <f>"NF005"</f>
        <v>NF005</v>
      </c>
      <c r="E14072" s="1" t="s">
        <v>4579</v>
      </c>
      <c r="F14072" s="1">
        <v>1</v>
      </c>
      <c r="G14072" s="1">
        <v>4239</v>
      </c>
      <c r="H14072" s="1">
        <v>4239</v>
      </c>
      <c r="I14072" s="1">
        <v>0</v>
      </c>
      <c r="J14072" s="1">
        <v>1</v>
      </c>
      <c r="K14072" s="1">
        <v>0</v>
      </c>
    </row>
    <row r="14073" spans="1:11" x14ac:dyDescent="0.2">
      <c r="A14073" s="1" t="s">
        <v>1156</v>
      </c>
      <c r="B14073" s="1" t="s">
        <v>3643</v>
      </c>
      <c r="C14073" s="1" t="str">
        <f>"NF004"</f>
        <v>NF004</v>
      </c>
      <c r="D14073" s="1" t="str">
        <f>"NF004"</f>
        <v>NF004</v>
      </c>
      <c r="E14073" s="1" t="s">
        <v>4579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</row>
    <row r="14074" spans="1:11" x14ac:dyDescent="0.2">
      <c r="A14074" s="1" t="s">
        <v>3639</v>
      </c>
      <c r="B14074" s="1" t="s">
        <v>3644</v>
      </c>
      <c r="C14074" s="1" t="str">
        <f>"CR1S-F11-18"</f>
        <v>CR1S-F11-18</v>
      </c>
      <c r="D14074" s="1" t="str">
        <f>"CR1S-F11-18"</f>
        <v>CR1S-F11-18</v>
      </c>
      <c r="E14074" s="1" t="s">
        <v>4579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</row>
    <row r="14075" spans="1:11" x14ac:dyDescent="0.2">
      <c r="A14075" s="1" t="s">
        <v>1156</v>
      </c>
      <c r="B14075" s="1" t="s">
        <v>3645</v>
      </c>
      <c r="C14075" s="1" t="str">
        <f>"66298927096929"</f>
        <v>66298927096929</v>
      </c>
      <c r="D14075" s="1" t="str">
        <f>"JL-1312-25"</f>
        <v>JL-1312-25</v>
      </c>
      <c r="E14075" s="1" t="s">
        <v>4579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</row>
    <row r="14076" spans="1:11" x14ac:dyDescent="0.2">
      <c r="A14076" s="1" t="s">
        <v>18</v>
      </c>
      <c r="B14076" s="1" t="s">
        <v>3646</v>
      </c>
      <c r="C14076" s="1" t="str">
        <f>"66298927136609"</f>
        <v>66298927136609</v>
      </c>
      <c r="D14076" s="1" t="str">
        <f>"390-1"</f>
        <v>390-1</v>
      </c>
      <c r="E14076" s="1" t="s">
        <v>4579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</row>
    <row r="14077" spans="1:11" x14ac:dyDescent="0.2">
      <c r="A14077" s="1" t="s">
        <v>18</v>
      </c>
      <c r="B14077" s="1" t="s">
        <v>3647</v>
      </c>
      <c r="C14077" s="1" t="str">
        <f>"66298927178881"</f>
        <v>66298927178881</v>
      </c>
      <c r="D14077" s="1" t="str">
        <f>"QG036"</f>
        <v>QG036</v>
      </c>
      <c r="E14077" s="1" t="s">
        <v>4579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</row>
    <row r="14078" spans="1:11" x14ac:dyDescent="0.2">
      <c r="A14078" s="1" t="s">
        <v>18</v>
      </c>
      <c r="B14078" s="1" t="s">
        <v>3648</v>
      </c>
      <c r="C14078" s="1" t="str">
        <f>"QG059"</f>
        <v>QG059</v>
      </c>
      <c r="D14078" s="1" t="str">
        <f>"QG059"</f>
        <v>QG059</v>
      </c>
      <c r="E14078" s="1" t="s">
        <v>4579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</row>
    <row r="14079" spans="1:11" x14ac:dyDescent="0.2">
      <c r="A14079" s="1" t="s">
        <v>18</v>
      </c>
      <c r="B14079" s="1" t="s">
        <v>3648</v>
      </c>
      <c r="C14079" s="1" t="str">
        <f>"2261"</f>
        <v>2261</v>
      </c>
      <c r="D14079" s="1" t="str">
        <f>"2261"</f>
        <v>2261</v>
      </c>
      <c r="E14079" s="1" t="s">
        <v>4579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</row>
    <row r="14080" spans="1:11" x14ac:dyDescent="0.2">
      <c r="A14080" s="1" t="s">
        <v>18</v>
      </c>
      <c r="B14080" s="1" t="s">
        <v>3648</v>
      </c>
      <c r="C14080" s="1" t="str">
        <f>"PC-UNIV"</f>
        <v>PC-UNIV</v>
      </c>
      <c r="D14080" s="1" t="str">
        <f>"PC-UNIV"</f>
        <v>PC-UNIV</v>
      </c>
      <c r="E14080" s="1" t="s">
        <v>4579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</row>
    <row r="14081" spans="1:11" x14ac:dyDescent="0.2">
      <c r="A14081" s="1" t="s">
        <v>18</v>
      </c>
      <c r="B14081" s="1" t="s">
        <v>3649</v>
      </c>
      <c r="C14081" s="1" t="str">
        <f>"66298927221695"</f>
        <v>66298927221695</v>
      </c>
      <c r="D14081" s="1" t="str">
        <f>"1216"</f>
        <v>1216</v>
      </c>
      <c r="E14081" s="1" t="s">
        <v>4579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</row>
    <row r="14082" spans="1:11" ht="30" x14ac:dyDescent="0.2">
      <c r="A14082" s="1" t="s">
        <v>18</v>
      </c>
      <c r="B14082" s="1" t="s">
        <v>3650</v>
      </c>
      <c r="C14082" s="1" t="str">
        <f>"2155"</f>
        <v>2155</v>
      </c>
      <c r="D14082" s="1" t="str">
        <f>"2155"</f>
        <v>2155</v>
      </c>
      <c r="E14082" s="1" t="s">
        <v>4579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</row>
    <row r="14083" spans="1:11" ht="30" x14ac:dyDescent="0.2">
      <c r="A14083" s="1" t="s">
        <v>18</v>
      </c>
      <c r="B14083" s="1" t="s">
        <v>3650</v>
      </c>
      <c r="C14083" s="1" t="str">
        <f>"113541"</f>
        <v>113541</v>
      </c>
      <c r="D14083" s="1" t="str">
        <f>"113541"</f>
        <v>113541</v>
      </c>
      <c r="E14083" s="1" t="s">
        <v>4579</v>
      </c>
      <c r="F14083" s="1">
        <v>1</v>
      </c>
      <c r="G14083" s="1">
        <v>6303</v>
      </c>
      <c r="H14083" s="1">
        <v>6303</v>
      </c>
      <c r="I14083" s="1">
        <v>0</v>
      </c>
      <c r="J14083" s="1">
        <v>1</v>
      </c>
      <c r="K14083" s="1">
        <v>0</v>
      </c>
    </row>
    <row r="14084" spans="1:11" x14ac:dyDescent="0.2">
      <c r="A14084" s="1" t="s">
        <v>18</v>
      </c>
      <c r="B14084" s="1" t="s">
        <v>3651</v>
      </c>
      <c r="C14084" s="1" t="str">
        <f>"2223"</f>
        <v>2223</v>
      </c>
      <c r="D14084" s="1" t="str">
        <f>"2223"</f>
        <v>2223</v>
      </c>
      <c r="E14084" s="1" t="s">
        <v>4579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</row>
    <row r="14085" spans="1:11" x14ac:dyDescent="0.2">
      <c r="A14085" s="1" t="s">
        <v>18</v>
      </c>
      <c r="B14085" s="1" t="s">
        <v>3652</v>
      </c>
      <c r="C14085" s="1" t="str">
        <f>"115895"</f>
        <v>115895</v>
      </c>
      <c r="D14085" s="1" t="str">
        <f>"115895"</f>
        <v>115895</v>
      </c>
      <c r="E14085" s="1" t="s">
        <v>4579</v>
      </c>
      <c r="F14085" s="1">
        <v>1</v>
      </c>
      <c r="G14085" s="1">
        <v>2815</v>
      </c>
      <c r="H14085" s="1">
        <v>2815</v>
      </c>
      <c r="I14085" s="1">
        <v>0</v>
      </c>
      <c r="J14085" s="1">
        <v>1</v>
      </c>
      <c r="K14085" s="1">
        <v>0</v>
      </c>
    </row>
    <row r="14086" spans="1:11" ht="30" x14ac:dyDescent="0.2">
      <c r="A14086" s="1" t="s">
        <v>1213</v>
      </c>
      <c r="B14086" s="1" t="s">
        <v>3653</v>
      </c>
      <c r="C14086" s="1" t="str">
        <f>"66298927260585"</f>
        <v>66298927260585</v>
      </c>
      <c r="D14086" s="1" t="str">
        <f>"400719"</f>
        <v>400719</v>
      </c>
      <c r="E14086" s="1" t="s">
        <v>4579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</row>
    <row r="14087" spans="1:11" x14ac:dyDescent="0.2">
      <c r="A14087" s="1" t="s">
        <v>1213</v>
      </c>
      <c r="B14087" s="1" t="s">
        <v>3654</v>
      </c>
      <c r="C14087" s="1" t="str">
        <f>"66298927305154"</f>
        <v>66298927305154</v>
      </c>
      <c r="D14087" s="1" t="str">
        <f>"400721"</f>
        <v>400721</v>
      </c>
      <c r="E14087" s="1" t="s">
        <v>4579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</row>
    <row r="14088" spans="1:11" ht="30" x14ac:dyDescent="0.2">
      <c r="A14088" s="1" t="s">
        <v>1213</v>
      </c>
      <c r="B14088" s="1" t="s">
        <v>3655</v>
      </c>
      <c r="C14088" s="1" t="str">
        <f>"66298927397245"</f>
        <v>66298927397245</v>
      </c>
      <c r="D14088" s="1" t="str">
        <f>"400722"</f>
        <v>400722</v>
      </c>
      <c r="E14088" s="1" t="s">
        <v>4579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</row>
    <row r="14089" spans="1:11" x14ac:dyDescent="0.2">
      <c r="A14089" s="1" t="s">
        <v>1213</v>
      </c>
      <c r="B14089" s="1" t="s">
        <v>3656</v>
      </c>
      <c r="C14089" s="1" t="str">
        <f>"66298927347843"</f>
        <v>66298927347843</v>
      </c>
      <c r="D14089" s="1" t="str">
        <f>"JG-5514-49/43"</f>
        <v>JG-5514-49/43</v>
      </c>
      <c r="E14089" s="1" t="s">
        <v>4579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</row>
    <row r="14090" spans="1:11" x14ac:dyDescent="0.2">
      <c r="A14090" s="1" t="s">
        <v>1213</v>
      </c>
      <c r="B14090" s="1" t="s">
        <v>3657</v>
      </c>
      <c r="C14090" s="1" t="str">
        <f>"66298927436446"</f>
        <v>66298927436446</v>
      </c>
      <c r="D14090" s="1" t="str">
        <f>"3C1-E6371-E6351"</f>
        <v>3C1-E6371-E6351</v>
      </c>
      <c r="E14090" s="1" t="s">
        <v>4579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</row>
    <row r="14091" spans="1:11" x14ac:dyDescent="0.2">
      <c r="A14091" s="1" t="s">
        <v>1872</v>
      </c>
      <c r="B14091" s="1" t="s">
        <v>3658</v>
      </c>
      <c r="C14091" s="1" t="str">
        <f>"66298927522931"</f>
        <v>66298927522931</v>
      </c>
      <c r="D14091" s="1" t="str">
        <f>"KB008"</f>
        <v>KB008</v>
      </c>
      <c r="E14091" s="1" t="s">
        <v>4579</v>
      </c>
      <c r="F14091" s="1">
        <v>1</v>
      </c>
      <c r="G14091" s="1">
        <v>2419</v>
      </c>
      <c r="H14091" s="1">
        <v>2419</v>
      </c>
      <c r="I14091" s="1">
        <v>0</v>
      </c>
      <c r="J14091" s="1">
        <v>1</v>
      </c>
      <c r="K14091" s="1">
        <v>0</v>
      </c>
    </row>
    <row r="14092" spans="1:11" x14ac:dyDescent="0.2">
      <c r="A14092" s="1" t="s">
        <v>1872</v>
      </c>
      <c r="B14092" s="1" t="s">
        <v>3659</v>
      </c>
      <c r="C14092" s="1" t="str">
        <f>"66298927481506"</f>
        <v>66298927481506</v>
      </c>
      <c r="D14092" s="1" t="str">
        <f>"KB007"</f>
        <v>KB007</v>
      </c>
      <c r="E14092" s="1" t="s">
        <v>4579</v>
      </c>
      <c r="F14092" s="1">
        <v>2</v>
      </c>
      <c r="G14092" s="1">
        <v>2016</v>
      </c>
      <c r="H14092" s="1">
        <v>4032</v>
      </c>
      <c r="I14092" s="1">
        <v>0</v>
      </c>
      <c r="J14092" s="1">
        <v>2</v>
      </c>
      <c r="K14092" s="1">
        <v>0</v>
      </c>
    </row>
    <row r="14093" spans="1:11" x14ac:dyDescent="0.2">
      <c r="A14093" s="1" t="s">
        <v>2004</v>
      </c>
      <c r="B14093" s="1" t="s">
        <v>3660</v>
      </c>
      <c r="C14093" s="1" t="str">
        <f>"A150"</f>
        <v>A150</v>
      </c>
      <c r="D14093" s="1" t="str">
        <f>"A150"</f>
        <v>A150</v>
      </c>
      <c r="E14093" s="1" t="s">
        <v>4579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</row>
    <row r="14094" spans="1:11" x14ac:dyDescent="0.2">
      <c r="A14094" s="1" t="s">
        <v>1359</v>
      </c>
      <c r="B14094" s="1" t="s">
        <v>3661</v>
      </c>
      <c r="C14094" s="1" t="str">
        <f>"66298927562421"</f>
        <v>66298927562421</v>
      </c>
      <c r="D14094" s="1" t="str">
        <f>"BH001"</f>
        <v>BH001</v>
      </c>
      <c r="E14094" s="1" t="s">
        <v>4579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</row>
    <row r="14095" spans="1:11" x14ac:dyDescent="0.2">
      <c r="A14095" s="1" t="s">
        <v>18</v>
      </c>
      <c r="B14095" s="1" t="s">
        <v>3662</v>
      </c>
      <c r="C14095" s="1" t="str">
        <f>"JC054-ROJO"</f>
        <v>JC054-ROJO</v>
      </c>
      <c r="D14095" s="1" t="str">
        <f>"JC054-ROJO"</f>
        <v>JC054-ROJO</v>
      </c>
      <c r="E14095" s="1" t="s">
        <v>4579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</row>
    <row r="14096" spans="1:11" x14ac:dyDescent="0.2">
      <c r="A14096" s="1" t="s">
        <v>18</v>
      </c>
      <c r="B14096" s="1" t="s">
        <v>3663</v>
      </c>
      <c r="C14096" s="1" t="str">
        <f>"JC053-AZUL"</f>
        <v>JC053-AZUL</v>
      </c>
      <c r="D14096" s="1" t="str">
        <f>"JC053-AZUL"</f>
        <v>JC053-AZUL</v>
      </c>
      <c r="E14096" s="1" t="s">
        <v>4579</v>
      </c>
      <c r="F14096" s="1">
        <v>1</v>
      </c>
      <c r="G14096" s="1">
        <v>1422</v>
      </c>
      <c r="H14096" s="1">
        <v>1422</v>
      </c>
      <c r="I14096" s="1">
        <v>0</v>
      </c>
      <c r="J14096" s="1">
        <v>1</v>
      </c>
      <c r="K14096" s="1">
        <v>0</v>
      </c>
    </row>
    <row r="14097" spans="1:11" x14ac:dyDescent="0.2">
      <c r="A14097" s="1" t="s">
        <v>18</v>
      </c>
      <c r="B14097" s="1" t="s">
        <v>3664</v>
      </c>
      <c r="C14097" s="1" t="str">
        <f>"JC053-ROJO"</f>
        <v>JC053-ROJO</v>
      </c>
      <c r="D14097" s="1" t="str">
        <f>"JC053-ROJO"</f>
        <v>JC053-ROJO</v>
      </c>
      <c r="E14097" s="1" t="s">
        <v>4579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</row>
    <row r="14098" spans="1:11" x14ac:dyDescent="0.2">
      <c r="A14098" s="1" t="s">
        <v>18</v>
      </c>
      <c r="B14098" s="1" t="s">
        <v>3665</v>
      </c>
      <c r="C14098" s="1" t="str">
        <f>"JC112"</f>
        <v>JC112</v>
      </c>
      <c r="D14098" s="1" t="str">
        <f>"JC112"</f>
        <v>JC112</v>
      </c>
      <c r="E14098" s="1" t="s">
        <v>4579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</row>
    <row r="14099" spans="1:11" x14ac:dyDescent="0.2">
      <c r="A14099" s="1" t="s">
        <v>3357</v>
      </c>
      <c r="B14099" s="1" t="s">
        <v>3666</v>
      </c>
      <c r="C14099" s="1" t="str">
        <f>"82049"</f>
        <v>82049</v>
      </c>
      <c r="D14099" s="1" t="str">
        <f>"82049"</f>
        <v>82049</v>
      </c>
      <c r="E14099" s="1" t="s">
        <v>4579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</row>
    <row r="14100" spans="1:11" x14ac:dyDescent="0.2">
      <c r="A14100" s="1" t="s">
        <v>3357</v>
      </c>
      <c r="B14100" s="1" t="s">
        <v>3667</v>
      </c>
      <c r="C14100" s="1" t="str">
        <f>"66298927602911"</f>
        <v>66298927602911</v>
      </c>
      <c r="D14100" s="1" t="str">
        <f>"43100-KFC-790"</f>
        <v>43100-KFC-790</v>
      </c>
      <c r="E14100" s="1" t="s">
        <v>4579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</row>
    <row r="14101" spans="1:11" x14ac:dyDescent="0.2">
      <c r="A14101" s="1" t="s">
        <v>3357</v>
      </c>
      <c r="B14101" s="1" t="s">
        <v>3668</v>
      </c>
      <c r="C14101" s="1" t="str">
        <f>"66298927647705"</f>
        <v>66298927647705</v>
      </c>
      <c r="D14101" s="1" t="str">
        <f>"80330"</f>
        <v>80330</v>
      </c>
      <c r="E14101" s="1" t="s">
        <v>4579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</row>
    <row r="14102" spans="1:11" x14ac:dyDescent="0.2">
      <c r="A14102" s="1" t="s">
        <v>3357</v>
      </c>
      <c r="B14102" s="1" t="s">
        <v>3669</v>
      </c>
      <c r="C14102" s="1" t="str">
        <f>"66298927688979"</f>
        <v>66298927688979</v>
      </c>
      <c r="D14102" s="1" t="str">
        <f>"82826"</f>
        <v>82826</v>
      </c>
      <c r="E14102" s="1" t="s">
        <v>4579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</row>
    <row r="14103" spans="1:11" x14ac:dyDescent="0.2">
      <c r="A14103" s="1" t="s">
        <v>98</v>
      </c>
      <c r="B14103" s="1" t="s">
        <v>3670</v>
      </c>
      <c r="C14103" s="1" t="str">
        <f>"66298927726393"</f>
        <v>66298927726393</v>
      </c>
      <c r="D14103" s="1" t="str">
        <f>"TC001"</f>
        <v>TC001</v>
      </c>
      <c r="E14103" s="1" t="s">
        <v>4579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</row>
    <row r="14104" spans="1:11" x14ac:dyDescent="0.2">
      <c r="A14104" s="1" t="s">
        <v>3671</v>
      </c>
      <c r="B14104" s="1" t="s">
        <v>3672</v>
      </c>
      <c r="C14104" s="1" t="str">
        <f>"PROMO"</f>
        <v>PROMO</v>
      </c>
      <c r="D14104" s="1" t="str">
        <f>"PROMO"</f>
        <v>PROMO</v>
      </c>
      <c r="E14104" s="1" t="s">
        <v>4579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</row>
    <row r="14105" spans="1:11" x14ac:dyDescent="0.2">
      <c r="A14105" s="1" t="s">
        <v>18</v>
      </c>
      <c r="B14105" s="1" t="s">
        <v>3673</v>
      </c>
      <c r="C14105" s="1" t="str">
        <f>"1789"</f>
        <v>1789</v>
      </c>
      <c r="D14105" s="1" t="str">
        <f>"1789"</f>
        <v>1789</v>
      </c>
      <c r="E14105" s="1" t="s">
        <v>4579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</row>
    <row r="14106" spans="1:11" x14ac:dyDescent="0.2">
      <c r="A14106" s="1" t="s">
        <v>18</v>
      </c>
      <c r="B14106" s="1" t="s">
        <v>3673</v>
      </c>
      <c r="C14106" s="1" t="str">
        <f>"WA027-NEG/ROJO"</f>
        <v>WA027-NEG/ROJO</v>
      </c>
      <c r="D14106" s="1" t="str">
        <f>"WA027-NEG/ROJO"</f>
        <v>WA027-NEG/ROJO</v>
      </c>
      <c r="E14106" s="1" t="s">
        <v>4579</v>
      </c>
      <c r="F14106" s="1">
        <v>1</v>
      </c>
      <c r="G14106" s="1">
        <v>1790</v>
      </c>
      <c r="H14106" s="1">
        <v>1790</v>
      </c>
      <c r="I14106" s="1">
        <v>0</v>
      </c>
      <c r="J14106" s="1">
        <v>1</v>
      </c>
      <c r="K14106" s="1">
        <v>0</v>
      </c>
    </row>
    <row r="14107" spans="1:11" x14ac:dyDescent="0.2">
      <c r="A14107" s="1" t="s">
        <v>18</v>
      </c>
      <c r="B14107" s="1" t="s">
        <v>3674</v>
      </c>
      <c r="C14107" s="1" t="str">
        <f>"66298927765537"</f>
        <v>66298927765537</v>
      </c>
      <c r="D14107" s="1" t="str">
        <f>"MM3"</f>
        <v>MM3</v>
      </c>
      <c r="E14107" s="1" t="s">
        <v>4579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</row>
    <row r="14108" spans="1:11" x14ac:dyDescent="0.2">
      <c r="A14108" s="1" t="s">
        <v>18</v>
      </c>
      <c r="B14108" s="1" t="s">
        <v>3675</v>
      </c>
      <c r="C14108" s="1" t="str">
        <f>"66298927808609"</f>
        <v>66298927808609</v>
      </c>
      <c r="D14108" s="1" t="str">
        <f>"MM4"</f>
        <v>MM4</v>
      </c>
      <c r="E14108" s="1" t="s">
        <v>4579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</row>
    <row r="14109" spans="1:11" x14ac:dyDescent="0.2">
      <c r="A14109" s="1" t="s">
        <v>18</v>
      </c>
      <c r="B14109" s="1" t="s">
        <v>3676</v>
      </c>
      <c r="C14109" s="1" t="str">
        <f>"66298927850032"</f>
        <v>66298927850032</v>
      </c>
      <c r="D14109" s="1" t="str">
        <f>"1187-FILTRO"</f>
        <v>1187-FILTRO</v>
      </c>
      <c r="E14109" s="1" t="s">
        <v>4579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</row>
    <row r="14110" spans="1:11" x14ac:dyDescent="0.2">
      <c r="A14110" s="1" t="s">
        <v>18</v>
      </c>
      <c r="B14110" s="1" t="s">
        <v>3677</v>
      </c>
      <c r="C14110" s="1" t="str">
        <f>"66298927890113"</f>
        <v>66298927890113</v>
      </c>
      <c r="D14110" s="1" t="str">
        <f>"YW2013-1"</f>
        <v>YW2013-1</v>
      </c>
      <c r="E14110" s="1" t="s">
        <v>4579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</row>
    <row r="14111" spans="1:11" x14ac:dyDescent="0.2">
      <c r="A14111" s="1" t="s">
        <v>18</v>
      </c>
      <c r="B14111" s="1" t="s">
        <v>3678</v>
      </c>
      <c r="C14111" s="1" t="str">
        <f>"66298927932372"</f>
        <v>66298927932372</v>
      </c>
      <c r="D14111" s="1" t="str">
        <f>"MM2"</f>
        <v>MM2</v>
      </c>
      <c r="E14111" s="1" t="s">
        <v>4579</v>
      </c>
      <c r="F14111" s="1">
        <v>2</v>
      </c>
      <c r="G14111" s="1">
        <v>1600</v>
      </c>
      <c r="H14111" s="1">
        <v>3200</v>
      </c>
      <c r="I14111" s="1">
        <v>0</v>
      </c>
      <c r="J14111" s="1">
        <v>2</v>
      </c>
      <c r="K14111" s="1">
        <v>0</v>
      </c>
    </row>
    <row r="14112" spans="1:11" x14ac:dyDescent="0.2">
      <c r="A14112" s="1" t="s">
        <v>18</v>
      </c>
      <c r="B14112" s="1" t="s">
        <v>3679</v>
      </c>
      <c r="C14112" s="1" t="str">
        <f>"66298927975446"</f>
        <v>66298927975446</v>
      </c>
      <c r="D14112" s="1" t="str">
        <f>"2320-NEGRO"</f>
        <v>2320-NEGRO</v>
      </c>
      <c r="E14112" s="1" t="s">
        <v>4579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</row>
    <row r="14113" spans="1:11" x14ac:dyDescent="0.2">
      <c r="A14113" s="1" t="s">
        <v>18</v>
      </c>
      <c r="B14113" s="1" t="s">
        <v>3680</v>
      </c>
      <c r="C14113" s="1" t="str">
        <f>"66298928024219"</f>
        <v>66298928024219</v>
      </c>
      <c r="D14113" s="1" t="str">
        <f>"116214-NEGRO"</f>
        <v>116214-NEGRO</v>
      </c>
      <c r="E14113" s="1" t="s">
        <v>4579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</row>
    <row r="14114" spans="1:11" x14ac:dyDescent="0.2">
      <c r="A14114" s="1" t="s">
        <v>18</v>
      </c>
      <c r="B14114" s="1" t="s">
        <v>3680</v>
      </c>
      <c r="C14114" s="1" t="str">
        <f>"66298928030236"</f>
        <v>66298928030236</v>
      </c>
      <c r="D14114" s="1" t="str">
        <f>"116214-GRIS"</f>
        <v>116214-GRIS</v>
      </c>
      <c r="E14114" s="1" t="s">
        <v>4579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</row>
    <row r="14115" spans="1:11" x14ac:dyDescent="0.2">
      <c r="A14115" s="1" t="s">
        <v>1351</v>
      </c>
      <c r="B14115" s="1" t="s">
        <v>3681</v>
      </c>
      <c r="C14115" s="1" t="str">
        <f>"Y006"</f>
        <v>Y006</v>
      </c>
      <c r="D14115" s="1" t="str">
        <f>"Y006"</f>
        <v>Y006</v>
      </c>
      <c r="E14115" s="1" t="s">
        <v>4579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</row>
    <row r="14116" spans="1:11" x14ac:dyDescent="0.2">
      <c r="A14116" s="1" t="s">
        <v>1351</v>
      </c>
      <c r="B14116" s="1" t="s">
        <v>3682</v>
      </c>
      <c r="C14116" s="1" t="str">
        <f>"66298928083612"</f>
        <v>66298928083612</v>
      </c>
      <c r="D14116" s="1" t="str">
        <f>"Y293"</f>
        <v>Y293</v>
      </c>
      <c r="E14116" s="1" t="s">
        <v>4579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</row>
    <row r="14117" spans="1:11" x14ac:dyDescent="0.2">
      <c r="A14117" s="1" t="s">
        <v>1351</v>
      </c>
      <c r="B14117" s="1" t="s">
        <v>3683</v>
      </c>
      <c r="C14117" s="1" t="str">
        <f>"14781H2C000H000"</f>
        <v>14781H2C000H000</v>
      </c>
      <c r="D14117" s="1" t="str">
        <f>"14781H2C000H000"</f>
        <v>14781H2C000H000</v>
      </c>
      <c r="E14117" s="1" t="s">
        <v>4579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</row>
    <row r="14118" spans="1:11" x14ac:dyDescent="0.2">
      <c r="A14118" s="1" t="s">
        <v>98</v>
      </c>
      <c r="B14118" s="1" t="s">
        <v>3684</v>
      </c>
      <c r="C14118" s="1" t="str">
        <f>"66298928128196"</f>
        <v>66298928128196</v>
      </c>
      <c r="D14118" s="1" t="str">
        <f>"44352H2C000H000"</f>
        <v>44352H2C000H000</v>
      </c>
      <c r="E14118" s="1" t="s">
        <v>4579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</row>
    <row r="14119" spans="1:11" x14ac:dyDescent="0.2">
      <c r="A14119" s="1" t="s">
        <v>18</v>
      </c>
      <c r="B14119" s="1" t="s">
        <v>3685</v>
      </c>
      <c r="C14119" s="1" t="str">
        <f>"3176"</f>
        <v>3176</v>
      </c>
      <c r="D14119" s="1" t="str">
        <f>"3176"</f>
        <v>3176</v>
      </c>
      <c r="E14119" s="1" t="s">
        <v>4579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</row>
    <row r="14120" spans="1:11" x14ac:dyDescent="0.2">
      <c r="A14120" s="1" t="s">
        <v>98</v>
      </c>
      <c r="B14120" s="1" t="s">
        <v>3686</v>
      </c>
      <c r="C14120" s="1" t="str">
        <f>"66298928194374"</f>
        <v>66298928194374</v>
      </c>
      <c r="D14120" s="1" t="str">
        <f>"3473-AZUL"</f>
        <v>3473-AZUL</v>
      </c>
      <c r="E14120" s="1" t="s">
        <v>4579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</row>
    <row r="14121" spans="1:11" x14ac:dyDescent="0.2">
      <c r="A14121" s="1" t="s">
        <v>1351</v>
      </c>
      <c r="B14121" s="1" t="s">
        <v>3687</v>
      </c>
      <c r="C14121" s="1" t="str">
        <f>"66298928251421"</f>
        <v>66298928251421</v>
      </c>
      <c r="D14121" s="1" t="str">
        <f>"TB006"</f>
        <v>TB006</v>
      </c>
      <c r="E14121" s="1" t="s">
        <v>4579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</row>
    <row r="14122" spans="1:11" x14ac:dyDescent="0.2">
      <c r="A14122" s="1" t="s">
        <v>18</v>
      </c>
      <c r="B14122" s="1" t="s">
        <v>3688</v>
      </c>
      <c r="C14122" s="1" t="str">
        <f>"66298928302759"</f>
        <v>66298928302759</v>
      </c>
      <c r="D14122" s="1" t="str">
        <f>"4319-NEGRO"</f>
        <v>4319-NEGRO</v>
      </c>
      <c r="E14122" s="1" t="s">
        <v>4579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</row>
    <row r="14123" spans="1:11" x14ac:dyDescent="0.2">
      <c r="A14123" s="1" t="s">
        <v>18</v>
      </c>
      <c r="B14123" s="1" t="s">
        <v>3689</v>
      </c>
      <c r="C14123" s="1" t="str">
        <f>"66298928351533"</f>
        <v>66298928351533</v>
      </c>
      <c r="D14123" s="1" t="str">
        <f>"RB003-VERDE"</f>
        <v>RB003-VERDE</v>
      </c>
      <c r="E14123" s="1" t="s">
        <v>4579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</row>
    <row r="14124" spans="1:11" ht="30" x14ac:dyDescent="0.2">
      <c r="A14124" s="1" t="s">
        <v>18</v>
      </c>
      <c r="B14124" s="1" t="s">
        <v>3690</v>
      </c>
      <c r="C14124" s="1" t="str">
        <f>"133088-NEGRO"</f>
        <v>133088-NEGRO</v>
      </c>
      <c r="D14124" s="1" t="str">
        <f>"133088-NEGRO"</f>
        <v>133088-NEGRO</v>
      </c>
      <c r="E14124" s="1" t="s">
        <v>4579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</row>
    <row r="14125" spans="1:11" ht="30" x14ac:dyDescent="0.2">
      <c r="A14125" s="1" t="s">
        <v>18</v>
      </c>
      <c r="B14125" s="1" t="s">
        <v>3691</v>
      </c>
      <c r="C14125" s="1" t="str">
        <f>"133088-ROJO"</f>
        <v>133088-ROJO</v>
      </c>
      <c r="D14125" s="1" t="str">
        <f>"133088-ROJO"</f>
        <v>133088-ROJO</v>
      </c>
      <c r="E14125" s="1" t="s">
        <v>4579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</row>
    <row r="14126" spans="1:11" x14ac:dyDescent="0.2">
      <c r="A14126" s="1" t="s">
        <v>18</v>
      </c>
      <c r="B14126" s="1" t="s">
        <v>3692</v>
      </c>
      <c r="C14126" s="1" t="str">
        <f>"66298928398398"</f>
        <v>66298928398398</v>
      </c>
      <c r="D14126" s="1" t="str">
        <f>"82301"</f>
        <v>82301</v>
      </c>
      <c r="E14126" s="1" t="s">
        <v>4579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</row>
    <row r="14127" spans="1:11" x14ac:dyDescent="0.2">
      <c r="A14127" s="1" t="s">
        <v>18</v>
      </c>
      <c r="B14127" s="1" t="s">
        <v>3693</v>
      </c>
      <c r="C14127" s="1" t="str">
        <f>"0604-AZUL"</f>
        <v>0604-AZUL</v>
      </c>
      <c r="D14127" s="1" t="str">
        <f>"0604-AZUL"</f>
        <v>0604-AZUL</v>
      </c>
      <c r="E14127" s="1" t="s">
        <v>4579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</row>
    <row r="14128" spans="1:11" x14ac:dyDescent="0.2">
      <c r="A14128" s="1" t="s">
        <v>18</v>
      </c>
      <c r="B14128" s="1" t="s">
        <v>3694</v>
      </c>
      <c r="C14128" s="1" t="str">
        <f>"0604-NEGRO"</f>
        <v>0604-NEGRO</v>
      </c>
      <c r="D14128" s="1" t="str">
        <f>"0604-NEGRO"</f>
        <v>0604-NEGRO</v>
      </c>
      <c r="E14128" s="1" t="s">
        <v>4579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</row>
    <row r="14129" spans="1:11" x14ac:dyDescent="0.2">
      <c r="A14129" s="1" t="s">
        <v>18</v>
      </c>
      <c r="B14129" s="1" t="s">
        <v>3695</v>
      </c>
      <c r="C14129" s="1" t="str">
        <f>"0604-ROJO"</f>
        <v>0604-ROJO</v>
      </c>
      <c r="D14129" s="1" t="str">
        <f>"0604-ROJO"</f>
        <v>0604-ROJO</v>
      </c>
      <c r="E14129" s="1" t="s">
        <v>4579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</row>
    <row r="14130" spans="1:11" x14ac:dyDescent="0.2">
      <c r="A14130" s="1" t="s">
        <v>18</v>
      </c>
      <c r="B14130" s="1" t="s">
        <v>3696</v>
      </c>
      <c r="C14130" s="1" t="str">
        <f>"66298928488138"</f>
        <v>66298928488138</v>
      </c>
      <c r="D14130" s="1" t="str">
        <f>"RB008-BLANCO"</f>
        <v>RB008-BLANCO</v>
      </c>
      <c r="E14130" s="1" t="s">
        <v>4579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</row>
    <row r="14131" spans="1:11" x14ac:dyDescent="0.2">
      <c r="A14131" s="1" t="s">
        <v>18</v>
      </c>
      <c r="B14131" s="1" t="s">
        <v>3697</v>
      </c>
      <c r="C14131" s="1" t="str">
        <f>"133165-AZUL"</f>
        <v>133165-AZUL</v>
      </c>
      <c r="D14131" s="1" t="str">
        <f>"133165-AZUL"</f>
        <v>133165-AZUL</v>
      </c>
      <c r="E14131" s="1" t="s">
        <v>4579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0</v>
      </c>
    </row>
    <row r="14132" spans="1:11" x14ac:dyDescent="0.2">
      <c r="A14132" s="1" t="s">
        <v>18</v>
      </c>
      <c r="B14132" s="1" t="s">
        <v>3698</v>
      </c>
      <c r="C14132" s="1" t="str">
        <f>"133165-ROJO"</f>
        <v>133165-ROJO</v>
      </c>
      <c r="D14132" s="1" t="str">
        <f>"133165-ROJO"</f>
        <v>133165-ROJO</v>
      </c>
      <c r="E14132" s="1" t="s">
        <v>4579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</row>
    <row r="14133" spans="1:11" ht="30" x14ac:dyDescent="0.2">
      <c r="A14133" s="1" t="s">
        <v>18</v>
      </c>
      <c r="B14133" s="1" t="s">
        <v>3699</v>
      </c>
      <c r="C14133" s="1" t="str">
        <f>"66298928526268"</f>
        <v>66298928526268</v>
      </c>
      <c r="D14133" s="1" t="str">
        <f>"RB009-CAFE"</f>
        <v>RB009-CAFE</v>
      </c>
      <c r="E14133" s="1" t="s">
        <v>4579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</row>
    <row r="14134" spans="1:11" ht="30" x14ac:dyDescent="0.2">
      <c r="A14134" s="1" t="s">
        <v>18</v>
      </c>
      <c r="B14134" s="1" t="s">
        <v>3700</v>
      </c>
      <c r="C14134" s="1" t="str">
        <f>"66298928569807"</f>
        <v>66298928569807</v>
      </c>
      <c r="D14134" s="1" t="str">
        <f>"RB009-NARANJO"</f>
        <v>RB009-NARANJO</v>
      </c>
      <c r="E14134" s="1" t="s">
        <v>4579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</row>
    <row r="14135" spans="1:11" ht="30" x14ac:dyDescent="0.2">
      <c r="A14135" s="1" t="s">
        <v>18</v>
      </c>
      <c r="B14135" s="1" t="s">
        <v>3701</v>
      </c>
      <c r="C14135" s="1" t="str">
        <f>"CUBRE-G-NEGRO"</f>
        <v>CUBRE-G-NEGRO</v>
      </c>
      <c r="D14135" s="1" t="str">
        <f>"CUBRE-G-NEGRO"</f>
        <v>CUBRE-G-NEGRO</v>
      </c>
      <c r="E14135" s="1" t="s">
        <v>4579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</row>
    <row r="14136" spans="1:11" x14ac:dyDescent="0.2">
      <c r="A14136" s="1" t="s">
        <v>18</v>
      </c>
      <c r="B14136" s="1" t="s">
        <v>3702</v>
      </c>
      <c r="C14136" s="1" t="str">
        <f>"CUBRE-G-ROJO"</f>
        <v>CUBRE-G-ROJO</v>
      </c>
      <c r="D14136" s="1" t="str">
        <f>"CUBRE-G-ROJO"</f>
        <v>CUBRE-G-ROJO</v>
      </c>
      <c r="E14136" s="1" t="s">
        <v>4579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</row>
    <row r="14137" spans="1:11" ht="30" x14ac:dyDescent="0.2">
      <c r="A14137" s="1" t="s">
        <v>18</v>
      </c>
      <c r="B14137" s="1" t="s">
        <v>3703</v>
      </c>
      <c r="C14137" s="1" t="str">
        <f>"CUBRE-P-BLANCO"</f>
        <v>CUBRE-P-BLANCO</v>
      </c>
      <c r="D14137" s="1" t="str">
        <f>"CUBRE-P-BLANCO"</f>
        <v>CUBRE-P-BLANCO</v>
      </c>
      <c r="E14137" s="1" t="s">
        <v>4579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</row>
    <row r="14138" spans="1:11" ht="30" x14ac:dyDescent="0.2">
      <c r="A14138" s="1" t="s">
        <v>18</v>
      </c>
      <c r="B14138" s="1" t="s">
        <v>3704</v>
      </c>
      <c r="C14138" s="1" t="str">
        <f>"CUBRE-P-NEGRO"</f>
        <v>CUBRE-P-NEGRO</v>
      </c>
      <c r="D14138" s="1" t="str">
        <f>"CUBRE-P-NEGRO"</f>
        <v>CUBRE-P-NEGRO</v>
      </c>
      <c r="E14138" s="1" t="s">
        <v>4579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</row>
    <row r="14139" spans="1:11" x14ac:dyDescent="0.2">
      <c r="A14139" s="1" t="s">
        <v>18</v>
      </c>
      <c r="B14139" s="1" t="s">
        <v>3705</v>
      </c>
      <c r="C14139" s="1" t="str">
        <f>"55882"</f>
        <v>55882</v>
      </c>
      <c r="D14139" s="1" t="str">
        <f>"55882"</f>
        <v>55882</v>
      </c>
      <c r="E14139" s="1" t="s">
        <v>4579</v>
      </c>
      <c r="F14139" s="1">
        <v>1</v>
      </c>
      <c r="G14139" s="1">
        <v>5400</v>
      </c>
      <c r="H14139" s="1">
        <v>5400</v>
      </c>
      <c r="I14139" s="1">
        <v>0</v>
      </c>
      <c r="J14139" s="1">
        <v>1</v>
      </c>
      <c r="K14139" s="1">
        <v>0</v>
      </c>
    </row>
    <row r="14140" spans="1:11" x14ac:dyDescent="0.2">
      <c r="A14140" s="1" t="s">
        <v>18</v>
      </c>
      <c r="B14140" s="1" t="s">
        <v>3705</v>
      </c>
      <c r="C14140" s="1" t="str">
        <f>"55883"</f>
        <v>55883</v>
      </c>
      <c r="D14140" s="1" t="str">
        <f>"55883"</f>
        <v>55883</v>
      </c>
      <c r="E14140" s="1" t="s">
        <v>4579</v>
      </c>
      <c r="F14140" s="1">
        <v>1</v>
      </c>
      <c r="G14140" s="1">
        <v>7530</v>
      </c>
      <c r="H14140" s="1">
        <v>7530</v>
      </c>
      <c r="I14140" s="1">
        <v>0</v>
      </c>
      <c r="J14140" s="1">
        <v>1</v>
      </c>
      <c r="K14140" s="1">
        <v>0</v>
      </c>
    </row>
    <row r="14141" spans="1:11" x14ac:dyDescent="0.2">
      <c r="A14141" s="1" t="s">
        <v>18</v>
      </c>
      <c r="B14141" s="1" t="s">
        <v>3705</v>
      </c>
      <c r="C14141" s="1" t="str">
        <f>"RB003"</f>
        <v>RB003</v>
      </c>
      <c r="D14141" s="1" t="str">
        <f>"RB003"</f>
        <v>RB003</v>
      </c>
      <c r="E14141" s="1" t="s">
        <v>4579</v>
      </c>
      <c r="F14141" s="1">
        <v>2</v>
      </c>
      <c r="G14141" s="1">
        <v>3750</v>
      </c>
      <c r="H14141" s="1">
        <v>7500</v>
      </c>
      <c r="I14141" s="1">
        <v>0</v>
      </c>
      <c r="J14141" s="1">
        <v>2</v>
      </c>
      <c r="K14141" s="1">
        <v>0</v>
      </c>
    </row>
    <row r="14142" spans="1:11" x14ac:dyDescent="0.2">
      <c r="A14142" s="1" t="s">
        <v>18</v>
      </c>
      <c r="B14142" s="1" t="s">
        <v>3706</v>
      </c>
      <c r="C14142" s="1" t="str">
        <f>"66298928612281"</f>
        <v>66298928612281</v>
      </c>
      <c r="D14142" s="1" t="str">
        <f>"RB012-AZUL"</f>
        <v>RB012-AZUL</v>
      </c>
      <c r="E14142" s="1" t="s">
        <v>4579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</row>
    <row r="14143" spans="1:11" ht="30" x14ac:dyDescent="0.2">
      <c r="A14143" s="1" t="s">
        <v>18</v>
      </c>
      <c r="B14143" s="1" t="s">
        <v>3707</v>
      </c>
      <c r="C14143" s="1" t="str">
        <f>"66298928657123"</f>
        <v>66298928657123</v>
      </c>
      <c r="D14143" s="1" t="str">
        <f>"RB012-NARANJA"</f>
        <v>RB012-NARANJA</v>
      </c>
      <c r="E14143" s="1" t="s">
        <v>4579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</row>
    <row r="14144" spans="1:11" x14ac:dyDescent="0.2">
      <c r="A14144" s="1" t="s">
        <v>18</v>
      </c>
      <c r="B14144" s="1" t="s">
        <v>3708</v>
      </c>
      <c r="C14144" s="1" t="str">
        <f>"66298928697047"</f>
        <v>66298928697047</v>
      </c>
      <c r="D14144" s="1" t="str">
        <f>"RB012-NEGRO"</f>
        <v>RB012-NEGRO</v>
      </c>
      <c r="E14144" s="1" t="s">
        <v>4579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</row>
    <row r="14145" spans="1:11" x14ac:dyDescent="0.2">
      <c r="A14145" s="1" t="s">
        <v>18</v>
      </c>
      <c r="B14145" s="1" t="s">
        <v>3709</v>
      </c>
      <c r="C14145" s="1" t="str">
        <f>"66298928738602"</f>
        <v>66298928738602</v>
      </c>
      <c r="D14145" s="1" t="str">
        <f>"RB012-VERDE"</f>
        <v>RB012-VERDE</v>
      </c>
      <c r="E14145" s="1" t="s">
        <v>4579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</row>
    <row r="14146" spans="1:11" x14ac:dyDescent="0.2">
      <c r="A14146" s="1" t="s">
        <v>18</v>
      </c>
      <c r="B14146" s="1" t="s">
        <v>3710</v>
      </c>
      <c r="C14146" s="1" t="str">
        <f>"66298928781827"</f>
        <v>66298928781827</v>
      </c>
      <c r="D14146" s="1" t="str">
        <f>"82304"</f>
        <v>82304</v>
      </c>
      <c r="E14146" s="1" t="s">
        <v>4579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</row>
    <row r="14147" spans="1:11" x14ac:dyDescent="0.2">
      <c r="A14147" s="1" t="s">
        <v>98</v>
      </c>
      <c r="B14147" s="1" t="s">
        <v>3711</v>
      </c>
      <c r="C14147" s="1" t="str">
        <f>"66502509408827"</f>
        <v>66502509408827</v>
      </c>
      <c r="D14147" s="1" t="str">
        <f>"PRUASV"</f>
        <v>PRUASV</v>
      </c>
      <c r="E14147" s="1" t="s">
        <v>4579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</row>
    <row r="14148" spans="1:11" x14ac:dyDescent="0.2">
      <c r="A14148" s="1" t="s">
        <v>98</v>
      </c>
      <c r="B14148" s="1" t="s">
        <v>3712</v>
      </c>
      <c r="C14148" s="1" t="str">
        <f>"66298928822232"</f>
        <v>66298928822232</v>
      </c>
      <c r="D14148" s="1" t="str">
        <f>"PRUEBA-1"</f>
        <v>PRUEBA-1</v>
      </c>
      <c r="E14148" s="1" t="s">
        <v>4579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</row>
    <row r="14149" spans="1:11" x14ac:dyDescent="0.2">
      <c r="A14149" s="1" t="s">
        <v>98</v>
      </c>
      <c r="B14149" s="1" t="s">
        <v>3713</v>
      </c>
      <c r="C14149" s="1" t="str">
        <f>"66298928863388"</f>
        <v>66298928863388</v>
      </c>
      <c r="D14149" s="1" t="str">
        <f>"PRUEBA-2"</f>
        <v>PRUEBA-2</v>
      </c>
      <c r="E14149" s="1" t="s">
        <v>4579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</row>
    <row r="14150" spans="1:11" x14ac:dyDescent="0.2">
      <c r="A14150" s="1" t="s">
        <v>98</v>
      </c>
      <c r="B14150" s="1" t="s">
        <v>3714</v>
      </c>
      <c r="C14150" s="1" t="str">
        <f>"66298928903605"</f>
        <v>66298928903605</v>
      </c>
      <c r="D14150" s="1" t="str">
        <f>"PRUEBA-3"</f>
        <v>PRUEBA-3</v>
      </c>
      <c r="E14150" s="1" t="s">
        <v>4579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</row>
    <row r="14151" spans="1:11" x14ac:dyDescent="0.2">
      <c r="A14151" s="1" t="s">
        <v>98</v>
      </c>
      <c r="B14151" s="1" t="s">
        <v>3715</v>
      </c>
      <c r="C14151" s="1" t="str">
        <f>"66298928995746"</f>
        <v>66298928995746</v>
      </c>
      <c r="D14151" s="1" t="str">
        <f>"PROVEEDOR-1"</f>
        <v>PROVEEDOR-1</v>
      </c>
      <c r="E14151" s="1" t="s">
        <v>4579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</row>
    <row r="14152" spans="1:11" x14ac:dyDescent="0.2">
      <c r="A14152" s="1" t="s">
        <v>18</v>
      </c>
      <c r="B14152" s="1" t="s">
        <v>3716</v>
      </c>
      <c r="C14152" s="1" t="str">
        <f>"7335"</f>
        <v>7335</v>
      </c>
      <c r="D14152" s="1" t="str">
        <f>"7335"</f>
        <v>7335</v>
      </c>
      <c r="E14152" s="1" t="s">
        <v>4579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</row>
    <row r="14153" spans="1:11" x14ac:dyDescent="0.2">
      <c r="A14153" s="1" t="s">
        <v>18</v>
      </c>
      <c r="B14153" s="1" t="s">
        <v>3717</v>
      </c>
      <c r="C14153" s="1" t="str">
        <f>"ZZE009-NEGRO"</f>
        <v>ZZE009-NEGRO</v>
      </c>
      <c r="D14153" s="1" t="str">
        <f>"ZZE009-NEGRO"</f>
        <v>ZZE009-NEGRO</v>
      </c>
      <c r="E14153" s="1" t="s">
        <v>4579</v>
      </c>
      <c r="F14153" s="1">
        <v>5</v>
      </c>
      <c r="G14153" s="1">
        <v>1790</v>
      </c>
      <c r="H14153" s="1">
        <v>8950</v>
      </c>
      <c r="I14153" s="1">
        <v>0</v>
      </c>
      <c r="J14153" s="1">
        <v>5</v>
      </c>
      <c r="K14153" s="1">
        <v>0</v>
      </c>
    </row>
    <row r="14154" spans="1:11" x14ac:dyDescent="0.2">
      <c r="A14154" s="1" t="s">
        <v>18</v>
      </c>
      <c r="B14154" s="1" t="s">
        <v>3718</v>
      </c>
      <c r="C14154" s="1" t="str">
        <f>"66298929038391"</f>
        <v>66298929038391</v>
      </c>
      <c r="D14154" s="1" t="str">
        <f>"WJ005"</f>
        <v>WJ005</v>
      </c>
      <c r="E14154" s="1" t="s">
        <v>4579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</row>
    <row r="14155" spans="1:11" x14ac:dyDescent="0.2">
      <c r="A14155" s="1" t="s">
        <v>18</v>
      </c>
      <c r="B14155" s="1" t="s">
        <v>3719</v>
      </c>
      <c r="C14155" s="1" t="str">
        <f>"66298929305412"</f>
        <v>66298929305412</v>
      </c>
      <c r="D14155" s="1" t="str">
        <f>"J039-ROJO"</f>
        <v>J039-ROJO</v>
      </c>
      <c r="E14155" s="1" t="s">
        <v>4579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</row>
    <row r="14156" spans="1:11" x14ac:dyDescent="0.2">
      <c r="A14156" s="1" t="s">
        <v>18</v>
      </c>
      <c r="B14156" s="1" t="s">
        <v>3720</v>
      </c>
      <c r="C14156" s="1" t="str">
        <f>"0296-AZUL"</f>
        <v>0296-AZUL</v>
      </c>
      <c r="D14156" s="1" t="str">
        <f>"0296-AZUL"</f>
        <v>0296-AZUL</v>
      </c>
      <c r="E14156" s="1" t="s">
        <v>4579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</row>
    <row r="14157" spans="1:11" x14ac:dyDescent="0.2">
      <c r="A14157" s="1" t="s">
        <v>18</v>
      </c>
      <c r="B14157" s="1" t="s">
        <v>3721</v>
      </c>
      <c r="C14157" s="1" t="str">
        <f>"0296-DORADO"</f>
        <v>0296-DORADO</v>
      </c>
      <c r="D14157" s="1" t="str">
        <f>"0296-DORADO"</f>
        <v>0296-DORADO</v>
      </c>
      <c r="E14157" s="1" t="s">
        <v>4579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</row>
    <row r="14158" spans="1:11" x14ac:dyDescent="0.2">
      <c r="A14158" s="1" t="s">
        <v>18</v>
      </c>
      <c r="B14158" s="1" t="s">
        <v>3722</v>
      </c>
      <c r="C14158" s="1" t="str">
        <f>"0296-NEGRO"</f>
        <v>0296-NEGRO</v>
      </c>
      <c r="D14158" s="1" t="str">
        <f>"0296-NEGRO"</f>
        <v>0296-NEGRO</v>
      </c>
      <c r="E14158" s="1" t="s">
        <v>4579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</row>
    <row r="14159" spans="1:11" ht="30" x14ac:dyDescent="0.2">
      <c r="A14159" s="1" t="s">
        <v>18</v>
      </c>
      <c r="B14159" s="1" t="s">
        <v>3723</v>
      </c>
      <c r="C14159" s="1" t="str">
        <f>"0296-PLATEADO"</f>
        <v>0296-PLATEADO</v>
      </c>
      <c r="D14159" s="1" t="str">
        <f>"0296-PLATEADO"</f>
        <v>0296-PLATEADO</v>
      </c>
      <c r="E14159" s="1" t="s">
        <v>4579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</row>
    <row r="14160" spans="1:11" x14ac:dyDescent="0.2">
      <c r="A14160" s="1" t="s">
        <v>18</v>
      </c>
      <c r="B14160" s="1" t="s">
        <v>3724</v>
      </c>
      <c r="C14160" s="1" t="str">
        <f>"0296-ROJO"</f>
        <v>0296-ROJO</v>
      </c>
      <c r="D14160" s="1" t="str">
        <f>"0296-ROJO"</f>
        <v>0296-ROJO</v>
      </c>
      <c r="E14160" s="1" t="s">
        <v>4579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</row>
    <row r="14161" spans="1:11" ht="30" x14ac:dyDescent="0.2">
      <c r="A14161" s="1" t="s">
        <v>18</v>
      </c>
      <c r="B14161" s="1" t="s">
        <v>3725</v>
      </c>
      <c r="C14161" s="1" t="str">
        <f>"DSB-AMARILLO"</f>
        <v>DSB-AMARILLO</v>
      </c>
      <c r="D14161" s="1" t="str">
        <f>"DBS-AMARILLO"</f>
        <v>DBS-AMARILLO</v>
      </c>
      <c r="E14161" s="1" t="s">
        <v>4579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</row>
    <row r="14162" spans="1:11" x14ac:dyDescent="0.2">
      <c r="A14162" s="1" t="s">
        <v>18</v>
      </c>
      <c r="B14162" s="1" t="s">
        <v>3726</v>
      </c>
      <c r="C14162" s="1" t="str">
        <f>"DBS-AZUL"</f>
        <v>DBS-AZUL</v>
      </c>
      <c r="D14162" s="1" t="str">
        <f>"DBS-AZUL"</f>
        <v>DBS-AZUL</v>
      </c>
      <c r="E14162" s="1" t="s">
        <v>4579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</row>
    <row r="14163" spans="1:11" x14ac:dyDescent="0.2">
      <c r="A14163" s="1" t="s">
        <v>18</v>
      </c>
      <c r="B14163" s="1" t="s">
        <v>3727</v>
      </c>
      <c r="C14163" s="1" t="str">
        <f>"DBS-NARANJO"</f>
        <v>DBS-NARANJO</v>
      </c>
      <c r="D14163" s="1" t="str">
        <f>"DBS-NARANJO"</f>
        <v>DBS-NARANJO</v>
      </c>
      <c r="E14163" s="1" t="s">
        <v>4579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</row>
    <row r="14164" spans="1:11" x14ac:dyDescent="0.2">
      <c r="A14164" s="1" t="s">
        <v>18</v>
      </c>
      <c r="B14164" s="1" t="s">
        <v>3728</v>
      </c>
      <c r="C14164" s="1" t="str">
        <f>"DBS-ROJO"</f>
        <v>DBS-ROJO</v>
      </c>
      <c r="D14164" s="1" t="str">
        <f>"DBS-ROJO"</f>
        <v>DBS-ROJO</v>
      </c>
      <c r="E14164" s="1" t="s">
        <v>4579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</row>
    <row r="14165" spans="1:11" x14ac:dyDescent="0.2">
      <c r="A14165" s="1" t="s">
        <v>18</v>
      </c>
      <c r="B14165" s="1" t="s">
        <v>3729</v>
      </c>
      <c r="C14165" s="1" t="str">
        <f>"4739-AZUL"</f>
        <v>4739-AZUL</v>
      </c>
      <c r="D14165" s="1" t="str">
        <f>"4739-AZUL"</f>
        <v>4739-AZUL</v>
      </c>
      <c r="E14165" s="1" t="s">
        <v>4579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</row>
    <row r="14166" spans="1:11" x14ac:dyDescent="0.2">
      <c r="A14166" s="1" t="s">
        <v>18</v>
      </c>
      <c r="B14166" s="1" t="s">
        <v>3730</v>
      </c>
      <c r="C14166" s="1" t="str">
        <f>"4739-DORADO"</f>
        <v>4739-DORADO</v>
      </c>
      <c r="D14166" s="1" t="str">
        <f>"4739-DORADO"</f>
        <v>4739-DORADO</v>
      </c>
      <c r="E14166" s="1" t="s">
        <v>4579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</row>
    <row r="14167" spans="1:11" x14ac:dyDescent="0.2">
      <c r="A14167" s="1" t="s">
        <v>18</v>
      </c>
      <c r="B14167" s="1" t="s">
        <v>3731</v>
      </c>
      <c r="C14167" s="1" t="str">
        <f>"4739-NEGRO"</f>
        <v>4739-NEGRO</v>
      </c>
      <c r="D14167" s="1" t="str">
        <f>"4739-NEGRO"</f>
        <v>4739-NEGRO</v>
      </c>
      <c r="E14167" s="1" t="s">
        <v>4579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</row>
    <row r="14168" spans="1:11" x14ac:dyDescent="0.2">
      <c r="A14168" s="1" t="s">
        <v>18</v>
      </c>
      <c r="B14168" s="1" t="s">
        <v>3732</v>
      </c>
      <c r="C14168" s="1" t="str">
        <f>"4739-PLATEADO"</f>
        <v>4739-PLATEADO</v>
      </c>
      <c r="D14168" s="1" t="str">
        <f>"4739-PLATEADO"</f>
        <v>4739-PLATEADO</v>
      </c>
      <c r="E14168" s="1" t="s">
        <v>4579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</row>
    <row r="14169" spans="1:11" x14ac:dyDescent="0.2">
      <c r="A14169" s="1" t="s">
        <v>18</v>
      </c>
      <c r="B14169" s="1" t="s">
        <v>3733</v>
      </c>
      <c r="C14169" s="1" t="str">
        <f>"4739-ROJO"</f>
        <v>4739-ROJO</v>
      </c>
      <c r="D14169" s="1" t="str">
        <f>"4739-ROJO"</f>
        <v>4739-ROJO</v>
      </c>
      <c r="E14169" s="1" t="s">
        <v>4579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</row>
    <row r="14170" spans="1:11" x14ac:dyDescent="0.2">
      <c r="A14170" s="1" t="s">
        <v>18</v>
      </c>
      <c r="B14170" s="1" t="s">
        <v>3734</v>
      </c>
      <c r="C14170" s="1" t="str">
        <f>"66298929242820"</f>
        <v>66298929242820</v>
      </c>
      <c r="D14170" s="1" t="str">
        <f>"J021"</f>
        <v>J021</v>
      </c>
      <c r="E14170" s="1" t="s">
        <v>4579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</row>
    <row r="14171" spans="1:11" x14ac:dyDescent="0.2">
      <c r="A14171" s="1" t="s">
        <v>18</v>
      </c>
      <c r="B14171" s="1" t="s">
        <v>3734</v>
      </c>
      <c r="C14171" s="1" t="str">
        <f>"66298929250383"</f>
        <v>66298929250383</v>
      </c>
      <c r="D14171" s="1" t="str">
        <f>"J020"</f>
        <v>J020</v>
      </c>
      <c r="E14171" s="1" t="s">
        <v>4579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</row>
    <row r="14172" spans="1:11" x14ac:dyDescent="0.2">
      <c r="A14172" s="1" t="s">
        <v>18</v>
      </c>
      <c r="B14172" s="1" t="s">
        <v>3734</v>
      </c>
      <c r="C14172" s="1" t="str">
        <f>"JA004"</f>
        <v>JA004</v>
      </c>
      <c r="D14172" s="1" t="str">
        <f>"JA004"</f>
        <v>JA004</v>
      </c>
      <c r="E14172" s="1" t="s">
        <v>4579</v>
      </c>
      <c r="F14172" s="1">
        <v>3</v>
      </c>
      <c r="G14172" s="1">
        <v>990</v>
      </c>
      <c r="H14172" s="1">
        <v>2970</v>
      </c>
      <c r="I14172" s="1">
        <v>0</v>
      </c>
      <c r="J14172" s="1">
        <v>3</v>
      </c>
      <c r="K14172" s="1">
        <v>0</v>
      </c>
    </row>
    <row r="14173" spans="1:11" x14ac:dyDescent="0.2">
      <c r="A14173" s="1" t="s">
        <v>18</v>
      </c>
      <c r="B14173" s="1" t="s">
        <v>3734</v>
      </c>
      <c r="C14173" s="1" t="str">
        <f>"J065"</f>
        <v>J065</v>
      </c>
      <c r="D14173" s="1" t="str">
        <f>"J065"</f>
        <v>J065</v>
      </c>
      <c r="E14173" s="1" t="s">
        <v>4579</v>
      </c>
      <c r="F14173" s="1">
        <v>2</v>
      </c>
      <c r="G14173" s="1">
        <v>2780</v>
      </c>
      <c r="H14173" s="1">
        <v>5560</v>
      </c>
      <c r="I14173" s="1">
        <v>0</v>
      </c>
      <c r="J14173" s="1">
        <v>2</v>
      </c>
      <c r="K14173" s="1">
        <v>0</v>
      </c>
    </row>
    <row r="14174" spans="1:11" x14ac:dyDescent="0.2">
      <c r="A14174" s="1" t="s">
        <v>18</v>
      </c>
      <c r="B14174" s="1" t="s">
        <v>3734</v>
      </c>
      <c r="C14174" s="1" t="str">
        <f>"J064"</f>
        <v>J064</v>
      </c>
      <c r="D14174" s="1" t="str">
        <f>"J064"</f>
        <v>J064</v>
      </c>
      <c r="E14174" s="1" t="s">
        <v>4579</v>
      </c>
      <c r="F14174" s="1">
        <v>2</v>
      </c>
      <c r="G14174" s="1">
        <v>2780</v>
      </c>
      <c r="H14174" s="1">
        <v>5560</v>
      </c>
      <c r="I14174" s="1">
        <v>0</v>
      </c>
      <c r="J14174" s="1">
        <v>2</v>
      </c>
      <c r="K14174" s="1">
        <v>0</v>
      </c>
    </row>
    <row r="14175" spans="1:11" x14ac:dyDescent="0.2">
      <c r="A14175" s="1" t="s">
        <v>18</v>
      </c>
      <c r="B14175" s="1" t="s">
        <v>3734</v>
      </c>
      <c r="C14175" s="1" t="str">
        <f>"J062"</f>
        <v>J062</v>
      </c>
      <c r="D14175" s="1" t="str">
        <f>"J062"</f>
        <v>J062</v>
      </c>
      <c r="E14175" s="1" t="s">
        <v>4579</v>
      </c>
      <c r="F14175" s="1">
        <v>5</v>
      </c>
      <c r="G14175" s="1">
        <v>2150</v>
      </c>
      <c r="H14175" s="1">
        <v>10750</v>
      </c>
      <c r="I14175" s="1">
        <v>0</v>
      </c>
      <c r="J14175" s="1">
        <v>5</v>
      </c>
      <c r="K14175" s="1">
        <v>0</v>
      </c>
    </row>
    <row r="14176" spans="1:11" x14ac:dyDescent="0.2">
      <c r="A14176" s="1" t="s">
        <v>18</v>
      </c>
      <c r="B14176" s="1" t="s">
        <v>3734</v>
      </c>
      <c r="C14176" s="1" t="str">
        <f>"J054"</f>
        <v>J054</v>
      </c>
      <c r="D14176" s="1" t="str">
        <f>"J054"</f>
        <v>J054</v>
      </c>
      <c r="E14176" s="1" t="s">
        <v>4579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</row>
    <row r="14177" spans="1:11" x14ac:dyDescent="0.2">
      <c r="A14177" s="1" t="s">
        <v>18</v>
      </c>
      <c r="B14177" s="1" t="s">
        <v>3734</v>
      </c>
      <c r="C14177" s="1" t="str">
        <f>"AC015A"</f>
        <v>AC015A</v>
      </c>
      <c r="D14177" s="1" t="str">
        <f>"AC015A"</f>
        <v>AC015A</v>
      </c>
      <c r="E14177" s="1" t="s">
        <v>4579</v>
      </c>
      <c r="F14177" s="1">
        <v>1</v>
      </c>
      <c r="G14177" s="1">
        <v>2800</v>
      </c>
      <c r="H14177" s="1">
        <v>2800</v>
      </c>
      <c r="I14177" s="1">
        <v>0</v>
      </c>
      <c r="J14177" s="1">
        <v>1</v>
      </c>
      <c r="K14177" s="1">
        <v>0</v>
      </c>
    </row>
    <row r="14178" spans="1:11" x14ac:dyDescent="0.2">
      <c r="A14178" s="1" t="s">
        <v>18</v>
      </c>
      <c r="B14178" s="1" t="s">
        <v>3734</v>
      </c>
      <c r="C14178" s="1" t="str">
        <f>"AC015R"</f>
        <v>AC015R</v>
      </c>
      <c r="D14178" s="1" t="str">
        <f>"AC015R"</f>
        <v>AC015R</v>
      </c>
      <c r="E14178" s="1" t="s">
        <v>4579</v>
      </c>
      <c r="F14178" s="1">
        <v>2</v>
      </c>
      <c r="G14178" s="1">
        <v>2800</v>
      </c>
      <c r="H14178" s="1">
        <v>5600</v>
      </c>
      <c r="I14178" s="1">
        <v>0</v>
      </c>
      <c r="J14178" s="1">
        <v>2</v>
      </c>
      <c r="K14178" s="1">
        <v>0</v>
      </c>
    </row>
    <row r="14179" spans="1:11" x14ac:dyDescent="0.2">
      <c r="A14179" s="1" t="s">
        <v>18</v>
      </c>
      <c r="B14179" s="1" t="s">
        <v>3735</v>
      </c>
      <c r="C14179" s="1" t="str">
        <f>"66298929350225"</f>
        <v>66298929350225</v>
      </c>
      <c r="D14179" s="1" t="str">
        <f>"400799"</f>
        <v>400799</v>
      </c>
      <c r="E14179" s="1" t="s">
        <v>4579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</row>
    <row r="14180" spans="1:11" x14ac:dyDescent="0.2">
      <c r="A14180" s="1" t="s">
        <v>18</v>
      </c>
      <c r="B14180" s="1" t="s">
        <v>3736</v>
      </c>
      <c r="C14180" s="1" t="str">
        <f>"66298929394285"</f>
        <v>66298929394285</v>
      </c>
      <c r="D14180" s="1" t="str">
        <f>"400798"</f>
        <v>400798</v>
      </c>
      <c r="E14180" s="1" t="s">
        <v>4579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</row>
    <row r="14181" spans="1:11" x14ac:dyDescent="0.2">
      <c r="A14181" s="1" t="s">
        <v>18</v>
      </c>
      <c r="B14181" s="1" t="s">
        <v>3737</v>
      </c>
      <c r="C14181" s="1" t="str">
        <f>"66298929432449"</f>
        <v>66298929432449</v>
      </c>
      <c r="D14181" s="1" t="str">
        <f>"400797"</f>
        <v>400797</v>
      </c>
      <c r="E14181" s="1" t="s">
        <v>4579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</row>
    <row r="14182" spans="1:11" x14ac:dyDescent="0.2">
      <c r="A14182" s="1" t="s">
        <v>18</v>
      </c>
      <c r="B14182" s="1" t="s">
        <v>3738</v>
      </c>
      <c r="C14182" s="1" t="str">
        <f>"66298929469556"</f>
        <v>66298929469556</v>
      </c>
      <c r="D14182" s="1" t="str">
        <f>"82062"</f>
        <v>82062</v>
      </c>
      <c r="E14182" s="1" t="s">
        <v>4579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</row>
    <row r="14183" spans="1:11" x14ac:dyDescent="0.2">
      <c r="A14183" s="1" t="s">
        <v>18</v>
      </c>
      <c r="B14183" s="1" t="s">
        <v>3739</v>
      </c>
      <c r="C14183" s="1" t="str">
        <f>"JA003"</f>
        <v>JA003</v>
      </c>
      <c r="D14183" s="1" t="str">
        <f>"JA003"</f>
        <v>JA003</v>
      </c>
      <c r="E14183" s="1" t="s">
        <v>4579</v>
      </c>
      <c r="F14183" s="1">
        <v>1</v>
      </c>
      <c r="G14183" s="1">
        <v>990</v>
      </c>
      <c r="H14183" s="1">
        <v>990</v>
      </c>
      <c r="I14183" s="1">
        <v>0</v>
      </c>
      <c r="J14183" s="1">
        <v>1</v>
      </c>
      <c r="K14183" s="1">
        <v>0</v>
      </c>
    </row>
    <row r="14184" spans="1:11" x14ac:dyDescent="0.2">
      <c r="A14184" s="1" t="s">
        <v>18</v>
      </c>
      <c r="B14184" s="1" t="s">
        <v>3739</v>
      </c>
      <c r="C14184" s="1" t="str">
        <f>"JA005"</f>
        <v>JA005</v>
      </c>
      <c r="D14184" s="1" t="str">
        <f>"JA005"</f>
        <v>JA005</v>
      </c>
      <c r="E14184" s="1" t="s">
        <v>4579</v>
      </c>
      <c r="F14184" s="1">
        <v>3</v>
      </c>
      <c r="G14184" s="1">
        <v>850</v>
      </c>
      <c r="H14184" s="1">
        <v>2550</v>
      </c>
      <c r="I14184" s="1">
        <v>0</v>
      </c>
      <c r="J14184" s="1">
        <v>3</v>
      </c>
      <c r="K14184" s="1">
        <v>0</v>
      </c>
    </row>
    <row r="14185" spans="1:11" x14ac:dyDescent="0.2">
      <c r="A14185" s="1" t="s">
        <v>18</v>
      </c>
      <c r="B14185" s="1" t="s">
        <v>3740</v>
      </c>
      <c r="C14185" s="1" t="str">
        <f>"66298929516470"</f>
        <v>66298929516470</v>
      </c>
      <c r="D14185" s="1" t="str">
        <f>"C071"</f>
        <v>C071</v>
      </c>
      <c r="E14185" s="1" t="s">
        <v>4579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</row>
    <row r="14186" spans="1:11" x14ac:dyDescent="0.2">
      <c r="A14186" s="1" t="s">
        <v>18</v>
      </c>
      <c r="B14186" s="1" t="s">
        <v>3741</v>
      </c>
      <c r="C14186" s="1" t="str">
        <f>"0116-AMARILLO"</f>
        <v>0116-AMARILLO</v>
      </c>
      <c r="D14186" s="1" t="str">
        <f>"0116-AMARILLO"</f>
        <v>0116-AMARILLO</v>
      </c>
      <c r="E14186" s="1" t="s">
        <v>4579</v>
      </c>
      <c r="F14186" s="1">
        <v>1</v>
      </c>
      <c r="G14186" s="1">
        <v>1588.17</v>
      </c>
      <c r="H14186" s="1">
        <v>1588</v>
      </c>
      <c r="I14186" s="1">
        <v>0</v>
      </c>
      <c r="J14186" s="1">
        <v>1</v>
      </c>
      <c r="K14186" s="1">
        <v>0</v>
      </c>
    </row>
    <row r="14187" spans="1:11" x14ac:dyDescent="0.2">
      <c r="A14187" s="1" t="s">
        <v>18</v>
      </c>
      <c r="B14187" s="1" t="s">
        <v>3742</v>
      </c>
      <c r="C14187" s="1" t="str">
        <f>"0116-ROJO"</f>
        <v>0116-ROJO</v>
      </c>
      <c r="D14187" s="1" t="str">
        <f>"0116-ROJO"</f>
        <v>0116-ROJO</v>
      </c>
      <c r="E14187" s="1" t="s">
        <v>4579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</row>
    <row r="14188" spans="1:11" x14ac:dyDescent="0.2">
      <c r="A14188" s="1" t="s">
        <v>18</v>
      </c>
      <c r="B14188" s="1" t="s">
        <v>3743</v>
      </c>
      <c r="C14188" s="1" t="str">
        <f>"66298929556263"</f>
        <v>66298929556263</v>
      </c>
      <c r="D14188" s="1" t="str">
        <f>"400800"</f>
        <v>400800</v>
      </c>
      <c r="E14188" s="1" t="s">
        <v>4579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</row>
    <row r="14189" spans="1:11" x14ac:dyDescent="0.2">
      <c r="A14189" s="1" t="s">
        <v>18</v>
      </c>
      <c r="B14189" s="1" t="s">
        <v>3744</v>
      </c>
      <c r="C14189" s="1" t="str">
        <f>"RIZO-AZUL"</f>
        <v>RIZO-AZUL</v>
      </c>
      <c r="D14189" s="1" t="str">
        <f>"RIZO-AZUL"</f>
        <v>RIZO-AZUL</v>
      </c>
      <c r="E14189" s="1" t="s">
        <v>4579</v>
      </c>
      <c r="F14189" s="1">
        <v>1</v>
      </c>
      <c r="G14189" s="1">
        <v>1756.67</v>
      </c>
      <c r="H14189" s="1">
        <v>1757</v>
      </c>
      <c r="I14189" s="1">
        <v>0</v>
      </c>
      <c r="J14189" s="1">
        <v>1</v>
      </c>
      <c r="K14189" s="1">
        <v>0</v>
      </c>
    </row>
    <row r="14190" spans="1:11" x14ac:dyDescent="0.2">
      <c r="A14190" s="1" t="s">
        <v>18</v>
      </c>
      <c r="B14190" s="1" t="s">
        <v>3745</v>
      </c>
      <c r="C14190" s="1" t="str">
        <f>"RIZO-DORADOV"</f>
        <v>RIZO-DORADOV</v>
      </c>
      <c r="D14190" s="1" t="str">
        <f>"RIZO-DORADO"</f>
        <v>RIZO-DORADO</v>
      </c>
      <c r="E14190" s="1" t="s">
        <v>4579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</row>
    <row r="14191" spans="1:11" x14ac:dyDescent="0.2">
      <c r="A14191" s="1" t="s">
        <v>18</v>
      </c>
      <c r="B14191" s="1" t="s">
        <v>3746</v>
      </c>
      <c r="C14191" s="1" t="str">
        <f>"RIZO-NEGRO"</f>
        <v>RIZO-NEGRO</v>
      </c>
      <c r="D14191" s="1" t="str">
        <f>"RIZO-NEGRO"</f>
        <v>RIZO-NEGRO</v>
      </c>
      <c r="E14191" s="1" t="s">
        <v>4579</v>
      </c>
      <c r="F14191" s="1">
        <v>1</v>
      </c>
      <c r="G14191" s="1">
        <v>1756.67</v>
      </c>
      <c r="H14191" s="1">
        <v>1757</v>
      </c>
      <c r="I14191" s="1">
        <v>0</v>
      </c>
      <c r="J14191" s="1">
        <v>1</v>
      </c>
      <c r="K14191" s="1">
        <v>0</v>
      </c>
    </row>
    <row r="14192" spans="1:11" x14ac:dyDescent="0.2">
      <c r="A14192" s="1" t="s">
        <v>18</v>
      </c>
      <c r="B14192" s="1" t="s">
        <v>3747</v>
      </c>
      <c r="C14192" s="1" t="str">
        <f>"RIZO-PLATEADO"</f>
        <v>RIZO-PLATEADO</v>
      </c>
      <c r="D14192" s="1" t="str">
        <f>"RIZO-PLATEADO"</f>
        <v>RIZO-PLATEADO</v>
      </c>
      <c r="E14192" s="1" t="s">
        <v>4579</v>
      </c>
      <c r="F14192" s="1">
        <v>1</v>
      </c>
      <c r="G14192" s="1">
        <v>1756.67</v>
      </c>
      <c r="H14192" s="1">
        <v>1757</v>
      </c>
      <c r="I14192" s="1">
        <v>0</v>
      </c>
      <c r="J14192" s="1">
        <v>1</v>
      </c>
      <c r="K14192" s="1">
        <v>0</v>
      </c>
    </row>
    <row r="14193" spans="1:11" x14ac:dyDescent="0.2">
      <c r="A14193" s="1" t="s">
        <v>18</v>
      </c>
      <c r="B14193" s="1" t="s">
        <v>3748</v>
      </c>
      <c r="C14193" s="1" t="str">
        <f>"RIZO-ROJO"</f>
        <v>RIZO-ROJO</v>
      </c>
      <c r="D14193" s="1" t="str">
        <f>"RIZO-ROJO"</f>
        <v>RIZO-ROJO</v>
      </c>
      <c r="E14193" s="1" t="s">
        <v>4579</v>
      </c>
      <c r="F14193" s="1">
        <v>1</v>
      </c>
      <c r="G14193" s="1">
        <v>1756.67</v>
      </c>
      <c r="H14193" s="1">
        <v>1757</v>
      </c>
      <c r="I14193" s="1">
        <v>0</v>
      </c>
      <c r="J14193" s="1">
        <v>1</v>
      </c>
      <c r="K14193" s="1">
        <v>0</v>
      </c>
    </row>
    <row r="14194" spans="1:11" x14ac:dyDescent="0.2">
      <c r="A14194" s="1" t="s">
        <v>18</v>
      </c>
      <c r="B14194" s="1" t="s">
        <v>3749</v>
      </c>
      <c r="C14194" s="1" t="str">
        <f>"66298929595675"</f>
        <v>66298929595675</v>
      </c>
      <c r="D14194" s="1" t="str">
        <f>"0052P-NEGRO"</f>
        <v>0052P-NEGRO</v>
      </c>
      <c r="E14194" s="1" t="s">
        <v>4579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</row>
    <row r="14195" spans="1:11" x14ac:dyDescent="0.2">
      <c r="A14195" s="1" t="s">
        <v>98</v>
      </c>
      <c r="B14195" s="1" t="s">
        <v>3750</v>
      </c>
      <c r="C14195" s="1" t="str">
        <f>"56270H2C010H000"</f>
        <v>56270H2C010H000</v>
      </c>
      <c r="D14195" s="1" t="str">
        <f>"56270H2C010H000"</f>
        <v>56270H2C010H000</v>
      </c>
      <c r="E14195" s="1" t="s">
        <v>4579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</row>
    <row r="14196" spans="1:11" x14ac:dyDescent="0.2">
      <c r="A14196" s="1" t="s">
        <v>98</v>
      </c>
      <c r="B14196" s="1" t="s">
        <v>3751</v>
      </c>
      <c r="C14196" s="1" t="str">
        <f>"66298929127335"</f>
        <v>66298929127335</v>
      </c>
      <c r="D14196" s="1" t="str">
        <f>"JB030-B"</f>
        <v>JB030-B</v>
      </c>
      <c r="E14196" s="1" t="s">
        <v>4579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</row>
    <row r="14197" spans="1:11" x14ac:dyDescent="0.2">
      <c r="A14197" s="1" t="s">
        <v>98</v>
      </c>
      <c r="B14197" s="1" t="s">
        <v>3751</v>
      </c>
      <c r="C14197" s="1" t="str">
        <f>"66298929134709"</f>
        <v>66298929134709</v>
      </c>
      <c r="D14197" s="1" t="str">
        <f>"JB030-A"</f>
        <v>JB030-A</v>
      </c>
      <c r="E14197" s="1" t="s">
        <v>4579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</row>
    <row r="14198" spans="1:11" x14ac:dyDescent="0.2">
      <c r="A14198" s="1" t="s">
        <v>98</v>
      </c>
      <c r="B14198" s="1" t="s">
        <v>3752</v>
      </c>
      <c r="C14198" s="1" t="str">
        <f>"66298929079455"</f>
        <v>66298929079455</v>
      </c>
      <c r="D14198" s="1" t="str">
        <f>"9656"</f>
        <v>9656</v>
      </c>
      <c r="E14198" s="1" t="s">
        <v>4579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</row>
    <row r="14199" spans="1:11" x14ac:dyDescent="0.2">
      <c r="A14199" s="1" t="s">
        <v>98</v>
      </c>
      <c r="B14199" s="1" t="s">
        <v>3753</v>
      </c>
      <c r="C14199" s="1" t="str">
        <f>"JB012-TORNASOL"</f>
        <v>JB012-TORNASOL</v>
      </c>
      <c r="D14199" s="1" t="str">
        <f>"JB012-TORNASOL"</f>
        <v>JB012-TORNASOL</v>
      </c>
      <c r="E14199" s="1" t="s">
        <v>4579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</row>
    <row r="14200" spans="1:11" x14ac:dyDescent="0.2">
      <c r="A14200" s="1" t="s">
        <v>98</v>
      </c>
      <c r="B14200" s="1" t="s">
        <v>3754</v>
      </c>
      <c r="C14200" s="1" t="str">
        <f>"66298929197422"</f>
        <v>66298929197422</v>
      </c>
      <c r="D14200" s="1" t="str">
        <f>"JB001-AZUL"</f>
        <v>JB001-AZUL</v>
      </c>
      <c r="E14200" s="1" t="s">
        <v>4579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</row>
    <row r="14201" spans="1:11" x14ac:dyDescent="0.2">
      <c r="A14201" s="1" t="s">
        <v>18</v>
      </c>
      <c r="B14201" s="1" t="s">
        <v>3755</v>
      </c>
      <c r="C14201" s="1" t="str">
        <f>"JB005"</f>
        <v>JB005</v>
      </c>
      <c r="D14201" s="1" t="str">
        <f>"JB005"</f>
        <v>JB005</v>
      </c>
      <c r="E14201" s="1" t="s">
        <v>4579</v>
      </c>
      <c r="F14201" s="1">
        <v>4</v>
      </c>
      <c r="G14201" s="1">
        <v>2980</v>
      </c>
      <c r="H14201" s="1">
        <v>11920</v>
      </c>
      <c r="I14201" s="1">
        <v>0</v>
      </c>
      <c r="J14201" s="1">
        <v>4</v>
      </c>
      <c r="K14201" s="1">
        <v>0</v>
      </c>
    </row>
    <row r="14202" spans="1:11" x14ac:dyDescent="0.2">
      <c r="A14202" s="1" t="s">
        <v>18</v>
      </c>
      <c r="B14202" s="1" t="s">
        <v>3755</v>
      </c>
      <c r="C14202" s="1" t="str">
        <f>"JB007"</f>
        <v>JB007</v>
      </c>
      <c r="D14202" s="1" t="str">
        <f>"JB007"</f>
        <v>JB007</v>
      </c>
      <c r="E14202" s="1" t="s">
        <v>4579</v>
      </c>
      <c r="F14202" s="1">
        <v>9</v>
      </c>
      <c r="G14202" s="1">
        <v>2490</v>
      </c>
      <c r="H14202" s="1">
        <v>22410</v>
      </c>
      <c r="I14202" s="1">
        <v>0</v>
      </c>
      <c r="J14202" s="1">
        <v>9</v>
      </c>
      <c r="K14202" s="1">
        <v>0</v>
      </c>
    </row>
    <row r="14203" spans="1:11" x14ac:dyDescent="0.2">
      <c r="A14203" s="1" t="s">
        <v>18</v>
      </c>
      <c r="B14203" s="1" t="s">
        <v>3755</v>
      </c>
      <c r="C14203" s="1" t="str">
        <f>"JB009"</f>
        <v>JB009</v>
      </c>
      <c r="D14203" s="1" t="str">
        <f>"JB009"</f>
        <v>JB009</v>
      </c>
      <c r="E14203" s="1" t="s">
        <v>4579</v>
      </c>
      <c r="F14203" s="1">
        <v>2</v>
      </c>
      <c r="G14203" s="1">
        <v>2350</v>
      </c>
      <c r="H14203" s="1">
        <v>4700</v>
      </c>
      <c r="I14203" s="1">
        <v>0</v>
      </c>
      <c r="J14203" s="1">
        <v>2</v>
      </c>
      <c r="K14203" s="1">
        <v>0</v>
      </c>
    </row>
    <row r="14204" spans="1:11" x14ac:dyDescent="0.2">
      <c r="A14204" s="1" t="s">
        <v>18</v>
      </c>
      <c r="B14204" s="1" t="s">
        <v>3755</v>
      </c>
      <c r="C14204" s="1" t="str">
        <f>"JB010"</f>
        <v>JB010</v>
      </c>
      <c r="D14204" s="1" t="str">
        <f>"JB010"</f>
        <v>JB010</v>
      </c>
      <c r="E14204" s="1" t="s">
        <v>4579</v>
      </c>
      <c r="F14204" s="1">
        <v>3</v>
      </c>
      <c r="G14204" s="1">
        <v>1720</v>
      </c>
      <c r="H14204" s="1">
        <v>5160</v>
      </c>
      <c r="I14204" s="1">
        <v>0</v>
      </c>
      <c r="J14204" s="1">
        <v>3</v>
      </c>
      <c r="K14204" s="1">
        <v>0</v>
      </c>
    </row>
    <row r="14205" spans="1:11" x14ac:dyDescent="0.2">
      <c r="A14205" s="1" t="s">
        <v>98</v>
      </c>
      <c r="B14205" s="1" t="s">
        <v>3756</v>
      </c>
      <c r="C14205" s="1" t="str">
        <f>"JB010-AZUL"</f>
        <v>JB010-AZUL</v>
      </c>
      <c r="D14205" s="1" t="str">
        <f>"JB010-AZUL"</f>
        <v>JB010-AZUL</v>
      </c>
      <c r="E14205" s="1" t="s">
        <v>4579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</row>
    <row r="14206" spans="1:11" x14ac:dyDescent="0.2">
      <c r="A14206" s="1" t="s">
        <v>98</v>
      </c>
      <c r="B14206" s="1" t="s">
        <v>3757</v>
      </c>
      <c r="C14206" s="1" t="str">
        <f>"JB010-DORADO"</f>
        <v>JB010-DORADO</v>
      </c>
      <c r="D14206" s="1" t="str">
        <f>"JB010-DORADO"</f>
        <v>JB010-DORADO</v>
      </c>
      <c r="E14206" s="1" t="s">
        <v>4579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</row>
    <row r="14207" spans="1:11" x14ac:dyDescent="0.2">
      <c r="A14207" s="1" t="s">
        <v>98</v>
      </c>
      <c r="B14207" s="1" t="s">
        <v>3758</v>
      </c>
      <c r="C14207" s="1" t="str">
        <f>"JB010-NEGRO"</f>
        <v>JB010-NEGRO</v>
      </c>
      <c r="D14207" s="1" t="str">
        <f>"JB010-NEGRO"</f>
        <v>JB010-NEGRO</v>
      </c>
      <c r="E14207" s="1" t="s">
        <v>4579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</row>
    <row r="14208" spans="1:11" x14ac:dyDescent="0.2">
      <c r="A14208" s="1" t="s">
        <v>98</v>
      </c>
      <c r="B14208" s="1" t="s">
        <v>3759</v>
      </c>
      <c r="C14208" s="1" t="str">
        <f>"JB010-ROJO"</f>
        <v>JB010-ROJO</v>
      </c>
      <c r="D14208" s="1" t="str">
        <f>"JB010-ROJO"</f>
        <v>JB010-ROJO</v>
      </c>
      <c r="E14208" s="1" t="s">
        <v>4579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</row>
    <row r="14209" spans="1:11" x14ac:dyDescent="0.2">
      <c r="A14209" s="1" t="s">
        <v>98</v>
      </c>
      <c r="B14209" s="1" t="s">
        <v>3760</v>
      </c>
      <c r="C14209" s="1" t="str">
        <f>"66298929636548"</f>
        <v>66298929636548</v>
      </c>
      <c r="D14209" s="1" t="str">
        <f>"006441-KRH-900"</f>
        <v>006441-KRH-900</v>
      </c>
      <c r="E14209" s="1" t="s">
        <v>4579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</row>
    <row r="14210" spans="1:11" x14ac:dyDescent="0.2">
      <c r="A14210" s="1" t="s">
        <v>98</v>
      </c>
      <c r="B14210" s="1" t="s">
        <v>3761</v>
      </c>
      <c r="C14210" s="1" t="str">
        <f>"66298929677666"</f>
        <v>66298929677666</v>
      </c>
      <c r="D14210" s="1" t="str">
        <f>"44604-KPE-900GH"</f>
        <v>44604-KPE-900GH</v>
      </c>
      <c r="E14210" s="1" t="s">
        <v>4579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</row>
    <row r="14211" spans="1:11" x14ac:dyDescent="0.2">
      <c r="A14211" s="1" t="s">
        <v>98</v>
      </c>
      <c r="B14211" s="1" t="s">
        <v>3762</v>
      </c>
      <c r="C14211" s="1" t="str">
        <f>"66298929720636"</f>
        <v>66298929720636</v>
      </c>
      <c r="D14211" s="1" t="str">
        <f>"RAYO-13CMS"</f>
        <v>RAYO-13CMS</v>
      </c>
      <c r="E14211" s="1" t="s">
        <v>4579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</row>
    <row r="14212" spans="1:11" x14ac:dyDescent="0.2">
      <c r="A14212" s="1" t="s">
        <v>98</v>
      </c>
      <c r="B14212" s="1" t="s">
        <v>3763</v>
      </c>
      <c r="C14212" s="1" t="str">
        <f>"66298929765796"</f>
        <v>66298929765796</v>
      </c>
      <c r="D14212" s="1" t="str">
        <f>"80948"</f>
        <v>80948</v>
      </c>
      <c r="E14212" s="1" t="s">
        <v>4579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</row>
    <row r="14213" spans="1:11" x14ac:dyDescent="0.2">
      <c r="A14213" s="1" t="s">
        <v>98</v>
      </c>
      <c r="B14213" s="1" t="s">
        <v>3764</v>
      </c>
      <c r="C14213" s="1" t="str">
        <f>"66298929806890"</f>
        <v>66298929806890</v>
      </c>
      <c r="D14213" s="1" t="str">
        <f>"80949"</f>
        <v>80949</v>
      </c>
      <c r="E14213" s="1" t="s">
        <v>4579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</row>
    <row r="14214" spans="1:11" x14ac:dyDescent="0.2">
      <c r="A14214" s="1" t="s">
        <v>98</v>
      </c>
      <c r="B14214" s="1" t="s">
        <v>3765</v>
      </c>
      <c r="C14214" s="1" t="str">
        <f>"66298929851605"</f>
        <v>66298929851605</v>
      </c>
      <c r="D14214" s="1" t="str">
        <f>"82619"</f>
        <v>82619</v>
      </c>
      <c r="E14214" s="1" t="s">
        <v>4579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</row>
    <row r="14215" spans="1:11" x14ac:dyDescent="0.2">
      <c r="A14215" s="1" t="s">
        <v>98</v>
      </c>
      <c r="B14215" s="1" t="s">
        <v>3766</v>
      </c>
      <c r="C14215" s="1" t="str">
        <f>"66298929890855"</f>
        <v>66298929890855</v>
      </c>
      <c r="D14215" s="1" t="str">
        <f>"82620"</f>
        <v>82620</v>
      </c>
      <c r="E14215" s="1" t="s">
        <v>4579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</row>
    <row r="14216" spans="1:11" x14ac:dyDescent="0.2">
      <c r="A14216" s="1" t="s">
        <v>98</v>
      </c>
      <c r="B14216" s="1" t="s">
        <v>3767</v>
      </c>
      <c r="C14216" s="1" t="str">
        <f>"66298929933354"</f>
        <v>66298929933354</v>
      </c>
      <c r="D14216" s="1" t="str">
        <f>"4Y0-25304-00GY"</f>
        <v>4Y0-25304-00GY</v>
      </c>
      <c r="E14216" s="1" t="s">
        <v>4579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</row>
    <row r="14217" spans="1:11" x14ac:dyDescent="0.2">
      <c r="A14217" s="1" t="s">
        <v>98</v>
      </c>
      <c r="B14217" s="1" t="s">
        <v>3768</v>
      </c>
      <c r="C14217" s="1" t="str">
        <f>"66298929976886"</f>
        <v>66298929976886</v>
      </c>
      <c r="D14217" s="1" t="str">
        <f>"80951"</f>
        <v>80951</v>
      </c>
      <c r="E14217" s="1" t="s">
        <v>4579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</row>
    <row r="14218" spans="1:11" x14ac:dyDescent="0.2">
      <c r="A14218" s="1" t="s">
        <v>98</v>
      </c>
      <c r="B14218" s="1" t="s">
        <v>3769</v>
      </c>
      <c r="C14218" s="1" t="str">
        <f>"66298930024576"</f>
        <v>66298930024576</v>
      </c>
      <c r="D14218" s="1" t="str">
        <f>"80332"</f>
        <v>80332</v>
      </c>
      <c r="E14218" s="1" t="s">
        <v>4579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</row>
    <row r="14219" spans="1:11" x14ac:dyDescent="0.2">
      <c r="A14219" s="1" t="s">
        <v>98</v>
      </c>
      <c r="B14219" s="1" t="s">
        <v>3770</v>
      </c>
      <c r="C14219" s="1" t="str">
        <f>"66298930070956"</f>
        <v>66298930070956</v>
      </c>
      <c r="D14219" s="1" t="str">
        <f>"84806"</f>
        <v>84806</v>
      </c>
      <c r="E14219" s="1" t="s">
        <v>4579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</row>
    <row r="14220" spans="1:11" x14ac:dyDescent="0.2">
      <c r="A14220" s="1" t="s">
        <v>98</v>
      </c>
      <c r="B14220" s="1" t="s">
        <v>3771</v>
      </c>
      <c r="C14220" s="1" t="str">
        <f>"66298930122359"</f>
        <v>66298930122359</v>
      </c>
      <c r="D14220" s="1" t="str">
        <f>"AE010"</f>
        <v>AE010</v>
      </c>
      <c r="E14220" s="1" t="s">
        <v>4579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</row>
    <row r="14221" spans="1:11" x14ac:dyDescent="0.2">
      <c r="A14221" s="1" t="s">
        <v>3772</v>
      </c>
      <c r="B14221" s="1" t="s">
        <v>3773</v>
      </c>
      <c r="C14221" s="1" t="str">
        <f>"66298930167045"</f>
        <v>66298930167045</v>
      </c>
      <c r="D14221" s="1" t="str">
        <f>"32800-16A00"</f>
        <v>32800-16A00</v>
      </c>
      <c r="E14221" s="1" t="s">
        <v>4579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</row>
    <row r="14222" spans="1:11" x14ac:dyDescent="0.2">
      <c r="A14222" s="1" t="s">
        <v>3772</v>
      </c>
      <c r="B14222" s="1" t="s">
        <v>3774</v>
      </c>
      <c r="C14222" s="1" t="str">
        <f>"66298930246239"</f>
        <v>66298930246239</v>
      </c>
      <c r="D14222" s="1" t="str">
        <f>"80404"</f>
        <v>80404</v>
      </c>
      <c r="E14222" s="1" t="s">
        <v>4579</v>
      </c>
      <c r="F14222" s="1">
        <v>1</v>
      </c>
      <c r="G14222" s="1">
        <v>3213</v>
      </c>
      <c r="H14222" s="1">
        <v>3213</v>
      </c>
      <c r="I14222" s="1">
        <v>0</v>
      </c>
      <c r="J14222" s="1">
        <v>1</v>
      </c>
      <c r="K14222" s="1">
        <v>0</v>
      </c>
    </row>
    <row r="14223" spans="1:11" x14ac:dyDescent="0.2">
      <c r="A14223" s="1" t="s">
        <v>3772</v>
      </c>
      <c r="B14223" s="1" t="s">
        <v>3775</v>
      </c>
      <c r="C14223" s="1" t="str">
        <f>"66298930207511"</f>
        <v>66298930207511</v>
      </c>
      <c r="D14223" s="1" t="str">
        <f>"V019"</f>
        <v>V019</v>
      </c>
      <c r="E14223" s="1" t="s">
        <v>4579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</row>
    <row r="14224" spans="1:11" x14ac:dyDescent="0.2">
      <c r="A14224" s="1" t="s">
        <v>3772</v>
      </c>
      <c r="B14224" s="1" t="s">
        <v>3775</v>
      </c>
      <c r="C14224" s="1" t="str">
        <f>"RECT-4-CN"</f>
        <v>RECT-4-CN</v>
      </c>
      <c r="D14224" s="1" t="str">
        <f>"RECT-4-CN"</f>
        <v>RECT-4-CN</v>
      </c>
      <c r="E14224" s="1" t="s">
        <v>4579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</row>
    <row r="14225" spans="1:11" x14ac:dyDescent="0.2">
      <c r="A14225" s="1" t="s">
        <v>3772</v>
      </c>
      <c r="B14225" s="1" t="s">
        <v>3776</v>
      </c>
      <c r="C14225" s="1" t="str">
        <f>"RECT-5/CABLES"</f>
        <v>RECT-5/CABLES</v>
      </c>
      <c r="D14225" s="1" t="str">
        <f>"RECT-5/CABLES"</f>
        <v>RECT-5/CABLES</v>
      </c>
      <c r="E14225" s="1" t="s">
        <v>4579</v>
      </c>
      <c r="F14225" s="1">
        <v>1</v>
      </c>
      <c r="G14225" s="1">
        <v>2436.98</v>
      </c>
      <c r="H14225" s="1">
        <v>2437</v>
      </c>
      <c r="I14225" s="1">
        <v>0</v>
      </c>
      <c r="J14225" s="1">
        <v>1</v>
      </c>
      <c r="K14225" s="1">
        <v>0</v>
      </c>
    </row>
    <row r="14226" spans="1:11" x14ac:dyDescent="0.2">
      <c r="A14226" s="1" t="s">
        <v>3772</v>
      </c>
      <c r="B14226" s="1" t="s">
        <v>3777</v>
      </c>
      <c r="C14226" s="1" t="str">
        <f>"66298930374024"</f>
        <v>66298930374024</v>
      </c>
      <c r="D14226" s="1" t="str">
        <f>"B068"</f>
        <v>B068</v>
      </c>
      <c r="E14226" s="1" t="s">
        <v>4579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</row>
    <row r="14227" spans="1:11" ht="30" x14ac:dyDescent="0.2">
      <c r="A14227" s="1" t="s">
        <v>3772</v>
      </c>
      <c r="B14227" s="1" t="s">
        <v>3778</v>
      </c>
      <c r="C14227" s="1" t="str">
        <f>"V016"</f>
        <v>V016</v>
      </c>
      <c r="D14227" s="1" t="str">
        <f>"V016"</f>
        <v>V016</v>
      </c>
      <c r="E14227" s="1" t="s">
        <v>4579</v>
      </c>
      <c r="F14227" s="1">
        <v>1</v>
      </c>
      <c r="G14227" s="1">
        <v>4340</v>
      </c>
      <c r="H14227" s="1">
        <v>4340</v>
      </c>
      <c r="I14227" s="1">
        <v>0</v>
      </c>
      <c r="J14227" s="1">
        <v>1</v>
      </c>
      <c r="K14227" s="1">
        <v>0</v>
      </c>
    </row>
    <row r="14228" spans="1:11" x14ac:dyDescent="0.2">
      <c r="A14228" s="1" t="s">
        <v>3772</v>
      </c>
      <c r="B14228" s="1" t="s">
        <v>3779</v>
      </c>
      <c r="C14228" s="1" t="str">
        <f>"66298930418933"</f>
        <v>66298930418933</v>
      </c>
      <c r="D14228" s="1" t="str">
        <f>"80402"</f>
        <v>80402</v>
      </c>
      <c r="E14228" s="1" t="s">
        <v>4579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</row>
    <row r="14229" spans="1:11" x14ac:dyDescent="0.2">
      <c r="A14229" s="1" t="s">
        <v>3772</v>
      </c>
      <c r="B14229" s="1" t="s">
        <v>3780</v>
      </c>
      <c r="C14229" s="1" t="str">
        <f>"66298930289477"</f>
        <v>66298930289477</v>
      </c>
      <c r="D14229" s="1" t="str">
        <f>"80391"</f>
        <v>80391</v>
      </c>
      <c r="E14229" s="1" t="s">
        <v>4579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</row>
    <row r="14230" spans="1:11" x14ac:dyDescent="0.2">
      <c r="A14230" s="1" t="s">
        <v>3772</v>
      </c>
      <c r="B14230" s="1" t="s">
        <v>3780</v>
      </c>
      <c r="C14230" s="1" t="str">
        <f>"66298930333128"</f>
        <v>66298930333128</v>
      </c>
      <c r="D14230" s="1" t="str">
        <f>"V015"</f>
        <v>V015</v>
      </c>
      <c r="E14230" s="1" t="s">
        <v>4579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</row>
    <row r="14231" spans="1:11" x14ac:dyDescent="0.2">
      <c r="A14231" s="1" t="s">
        <v>3772</v>
      </c>
      <c r="B14231" s="1" t="s">
        <v>3781</v>
      </c>
      <c r="C14231" s="1" t="str">
        <f>"66298930462776"</f>
        <v>66298930462776</v>
      </c>
      <c r="D14231" s="1" t="str">
        <f>"84964-RECTIFI"</f>
        <v>84964-RECTIFI</v>
      </c>
      <c r="E14231" s="1" t="s">
        <v>4579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</row>
    <row r="14232" spans="1:11" x14ac:dyDescent="0.2">
      <c r="A14232" s="1" t="s">
        <v>3772</v>
      </c>
      <c r="B14232" s="1" t="s">
        <v>3781</v>
      </c>
      <c r="C14232" s="1" t="str">
        <f>"66298930470621"</f>
        <v>66298930470621</v>
      </c>
      <c r="D14232" s="1" t="str">
        <f>"RECT-6/CABLES"</f>
        <v>RECT-6/CABLES</v>
      </c>
      <c r="E14232" s="1" t="s">
        <v>4579</v>
      </c>
      <c r="F14232" s="1">
        <v>1</v>
      </c>
      <c r="G14232" s="1">
        <v>3277</v>
      </c>
      <c r="H14232" s="1">
        <v>3277</v>
      </c>
      <c r="I14232" s="1">
        <v>0</v>
      </c>
      <c r="J14232" s="1">
        <v>1</v>
      </c>
      <c r="K14232" s="1">
        <v>0</v>
      </c>
    </row>
    <row r="14233" spans="1:11" x14ac:dyDescent="0.2">
      <c r="A14233" s="1" t="s">
        <v>3772</v>
      </c>
      <c r="B14233" s="1" t="s">
        <v>3781</v>
      </c>
      <c r="C14233" s="1" t="str">
        <f>"66298930478111"</f>
        <v>66298930478111</v>
      </c>
      <c r="D14233" s="1" t="str">
        <f>"V004"</f>
        <v>V004</v>
      </c>
      <c r="E14233" s="1" t="s">
        <v>4579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</row>
    <row r="14234" spans="1:11" x14ac:dyDescent="0.2">
      <c r="A14234" s="1" t="s">
        <v>3772</v>
      </c>
      <c r="B14234" s="1" t="s">
        <v>3782</v>
      </c>
      <c r="C14234" s="1" t="str">
        <f>"66298930550952"</f>
        <v>66298930550952</v>
      </c>
      <c r="D14234" s="1" t="str">
        <f>"V030"</f>
        <v>V030</v>
      </c>
      <c r="E14234" s="1" t="s">
        <v>4579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</row>
    <row r="14235" spans="1:11" x14ac:dyDescent="0.2">
      <c r="A14235" s="1" t="s">
        <v>3772</v>
      </c>
      <c r="B14235" s="1" t="s">
        <v>3783</v>
      </c>
      <c r="C14235" s="1" t="str">
        <f>"66298930595302"</f>
        <v>66298930595302</v>
      </c>
      <c r="D14235" s="1" t="str">
        <f>"RECT-7/CABLES"</f>
        <v>RECT-7/CABLES</v>
      </c>
      <c r="E14235" s="1" t="s">
        <v>4579</v>
      </c>
      <c r="F14235" s="1">
        <v>1</v>
      </c>
      <c r="G14235" s="1">
        <v>3529</v>
      </c>
      <c r="H14235" s="1">
        <v>3529</v>
      </c>
      <c r="I14235" s="1">
        <v>0</v>
      </c>
      <c r="J14235" s="1">
        <v>1</v>
      </c>
      <c r="K14235" s="1">
        <v>0</v>
      </c>
    </row>
    <row r="14236" spans="1:11" x14ac:dyDescent="0.2">
      <c r="A14236" s="1" t="s">
        <v>3772</v>
      </c>
      <c r="B14236" s="1" t="s">
        <v>3784</v>
      </c>
      <c r="C14236" s="1" t="str">
        <f>"66298930636426"</f>
        <v>66298930636426</v>
      </c>
      <c r="D14236" s="1" t="str">
        <f>"V017"</f>
        <v>V017</v>
      </c>
      <c r="E14236" s="1" t="s">
        <v>4579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</row>
    <row r="14237" spans="1:11" x14ac:dyDescent="0.2">
      <c r="A14237" s="1" t="s">
        <v>3772</v>
      </c>
      <c r="B14237" s="1" t="s">
        <v>3785</v>
      </c>
      <c r="C14237" s="1" t="str">
        <f>"66298930674445"</f>
        <v>66298930674445</v>
      </c>
      <c r="D14237" s="1" t="str">
        <f>"U017"</f>
        <v>U017</v>
      </c>
      <c r="E14237" s="1" t="s">
        <v>4579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</row>
    <row r="14238" spans="1:11" x14ac:dyDescent="0.2">
      <c r="A14238" s="1" t="s">
        <v>3772</v>
      </c>
      <c r="B14238" s="1" t="s">
        <v>3786</v>
      </c>
      <c r="C14238" s="1" t="str">
        <f>"66298930758831"</f>
        <v>66298930758831</v>
      </c>
      <c r="D14238" s="1" t="str">
        <f>"V011"</f>
        <v>V011</v>
      </c>
      <c r="E14238" s="1" t="s">
        <v>4579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</row>
    <row r="14239" spans="1:11" x14ac:dyDescent="0.2">
      <c r="A14239" s="1" t="s">
        <v>3772</v>
      </c>
      <c r="B14239" s="1" t="s">
        <v>3787</v>
      </c>
      <c r="C14239" s="1" t="str">
        <f>"66298930716536"</f>
        <v>66298930716536</v>
      </c>
      <c r="D14239" s="1" t="str">
        <f>"V032"</f>
        <v>V032</v>
      </c>
      <c r="E14239" s="1" t="s">
        <v>4579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</row>
    <row r="14240" spans="1:11" x14ac:dyDescent="0.2">
      <c r="A14240" s="1" t="s">
        <v>3772</v>
      </c>
      <c r="B14240" s="1" t="s">
        <v>3788</v>
      </c>
      <c r="C14240" s="1" t="str">
        <f>"11175"</f>
        <v>11175</v>
      </c>
      <c r="D14240" s="1" t="str">
        <f>"11175"</f>
        <v>11175</v>
      </c>
      <c r="E14240" s="1" t="s">
        <v>4579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</row>
    <row r="14241" spans="1:11" x14ac:dyDescent="0.2">
      <c r="A14241" s="1" t="s">
        <v>3772</v>
      </c>
      <c r="B14241" s="1" t="s">
        <v>3789</v>
      </c>
      <c r="C14241" s="1" t="str">
        <f>"66298930802174"</f>
        <v>66298930802174</v>
      </c>
      <c r="D14241" s="1" t="str">
        <f>"V022"</f>
        <v>V022</v>
      </c>
      <c r="E14241" s="1" t="s">
        <v>4579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</row>
    <row r="14242" spans="1:11" x14ac:dyDescent="0.2">
      <c r="A14242" s="1" t="s">
        <v>3772</v>
      </c>
      <c r="B14242" s="1" t="s">
        <v>3790</v>
      </c>
      <c r="C14242" s="1" t="str">
        <f>"66298930844259"</f>
        <v>66298930844259</v>
      </c>
      <c r="D14242" s="1" t="str">
        <f>"V012"</f>
        <v>V012</v>
      </c>
      <c r="E14242" s="1" t="s">
        <v>4579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</row>
    <row r="14243" spans="1:11" x14ac:dyDescent="0.2">
      <c r="A14243" s="1" t="s">
        <v>3772</v>
      </c>
      <c r="B14243" s="1" t="s">
        <v>3791</v>
      </c>
      <c r="C14243" s="1" t="str">
        <f>"665"</f>
        <v>665</v>
      </c>
      <c r="D14243" s="1" t="str">
        <f>"665"</f>
        <v>665</v>
      </c>
      <c r="E14243" s="1" t="s">
        <v>4579</v>
      </c>
      <c r="F14243" s="1">
        <v>10</v>
      </c>
      <c r="G14243" s="1">
        <v>595</v>
      </c>
      <c r="H14243" s="1">
        <v>5950</v>
      </c>
      <c r="I14243" s="1">
        <v>0</v>
      </c>
      <c r="J14243" s="1">
        <v>10</v>
      </c>
      <c r="K14243" s="1">
        <v>0</v>
      </c>
    </row>
    <row r="14244" spans="1:11" x14ac:dyDescent="0.2">
      <c r="A14244" s="1" t="s">
        <v>3772</v>
      </c>
      <c r="B14244" s="1" t="s">
        <v>3792</v>
      </c>
      <c r="C14244" s="1" t="str">
        <f>"66298930905712"</f>
        <v>66298930905712</v>
      </c>
      <c r="D14244" s="1" t="str">
        <f>"81090"</f>
        <v>81090</v>
      </c>
      <c r="E14244" s="1" t="s">
        <v>4579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</row>
    <row r="14245" spans="1:11" x14ac:dyDescent="0.2">
      <c r="A14245" s="1" t="s">
        <v>3772</v>
      </c>
      <c r="B14245" s="1" t="s">
        <v>3792</v>
      </c>
      <c r="C14245" s="1" t="str">
        <f>"66298930920746"</f>
        <v>66298930920746</v>
      </c>
      <c r="D14245" s="1" t="str">
        <f>"V020"</f>
        <v>V020</v>
      </c>
      <c r="E14245" s="1" t="s">
        <v>4579</v>
      </c>
      <c r="F14245" s="1">
        <v>2</v>
      </c>
      <c r="G14245" s="1">
        <v>2750</v>
      </c>
      <c r="H14245" s="1">
        <v>5500</v>
      </c>
      <c r="I14245" s="1">
        <v>0</v>
      </c>
      <c r="J14245" s="1">
        <v>2</v>
      </c>
      <c r="K14245" s="1">
        <v>0</v>
      </c>
    </row>
    <row r="14246" spans="1:11" x14ac:dyDescent="0.2">
      <c r="A14246" s="1" t="s">
        <v>3772</v>
      </c>
      <c r="B14246" s="1" t="s">
        <v>3793</v>
      </c>
      <c r="C14246" s="1" t="str">
        <f>"66298930989958"</f>
        <v>66298930989958</v>
      </c>
      <c r="D14246" s="1" t="str">
        <f>"V006"</f>
        <v>V006</v>
      </c>
      <c r="E14246" s="1" t="s">
        <v>4579</v>
      </c>
      <c r="F14246" s="1">
        <v>1</v>
      </c>
      <c r="G14246" s="1">
        <v>3220</v>
      </c>
      <c r="H14246" s="1">
        <v>3220</v>
      </c>
      <c r="I14246" s="1">
        <v>0</v>
      </c>
      <c r="J14246" s="1">
        <v>1</v>
      </c>
      <c r="K14246" s="1">
        <v>0</v>
      </c>
    </row>
    <row r="14247" spans="1:11" x14ac:dyDescent="0.2">
      <c r="A14247" s="1" t="s">
        <v>3772</v>
      </c>
      <c r="B14247" s="1" t="s">
        <v>3794</v>
      </c>
      <c r="C14247" s="1" t="str">
        <f>"66298931052889"</f>
        <v>66298931052889</v>
      </c>
      <c r="D14247" s="1" t="str">
        <f>"82340"</f>
        <v>82340</v>
      </c>
      <c r="E14247" s="1" t="s">
        <v>4579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</row>
    <row r="14248" spans="1:11" x14ac:dyDescent="0.2">
      <c r="A14248" s="1" t="s">
        <v>3772</v>
      </c>
      <c r="B14248" s="1" t="s">
        <v>3795</v>
      </c>
      <c r="C14248" s="1" t="str">
        <f>"66298931096115"</f>
        <v>66298931096115</v>
      </c>
      <c r="D14248" s="1" t="str">
        <f>"V010"</f>
        <v>V010</v>
      </c>
      <c r="E14248" s="1" t="s">
        <v>4579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</row>
    <row r="14249" spans="1:11" x14ac:dyDescent="0.2">
      <c r="A14249" s="1" t="s">
        <v>3772</v>
      </c>
      <c r="B14249" s="1" t="s">
        <v>3796</v>
      </c>
      <c r="C14249" s="1" t="str">
        <f>"66298931136218"</f>
        <v>66298931136218</v>
      </c>
      <c r="D14249" s="1" t="str">
        <f>"RECT-GS"</f>
        <v>RECT-GS</v>
      </c>
      <c r="E14249" s="1" t="s">
        <v>4579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</row>
    <row r="14250" spans="1:11" x14ac:dyDescent="0.2">
      <c r="A14250" s="1" t="s">
        <v>3772</v>
      </c>
      <c r="B14250" s="1" t="s">
        <v>3797</v>
      </c>
      <c r="C14250" s="1" t="str">
        <f>"32800H51001H000"</f>
        <v>32800H51001H000</v>
      </c>
      <c r="D14250" s="1" t="str">
        <f>"32800H51001H000"</f>
        <v>32800H51001H000</v>
      </c>
      <c r="E14250" s="1" t="s">
        <v>4579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</row>
    <row r="14251" spans="1:11" x14ac:dyDescent="0.2">
      <c r="A14251" s="1" t="s">
        <v>3772</v>
      </c>
      <c r="B14251" s="1" t="s">
        <v>3798</v>
      </c>
      <c r="C14251" s="1" t="str">
        <f>"66298931175721"</f>
        <v>66298931175721</v>
      </c>
      <c r="D14251" s="1" t="str">
        <f>"02137"</f>
        <v>02137</v>
      </c>
      <c r="E14251" s="1" t="s">
        <v>4579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</row>
    <row r="14252" spans="1:11" x14ac:dyDescent="0.2">
      <c r="A14252" s="1" t="s">
        <v>3772</v>
      </c>
      <c r="B14252" s="1" t="s">
        <v>3799</v>
      </c>
      <c r="C14252" s="1" t="str">
        <f>"66298931243454"</f>
        <v>66298931243454</v>
      </c>
      <c r="D14252" s="1" t="str">
        <f>"32800H05523H000"</f>
        <v>32800H05523H000</v>
      </c>
      <c r="E14252" s="1" t="s">
        <v>4579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</row>
    <row r="14253" spans="1:11" x14ac:dyDescent="0.2">
      <c r="A14253" s="1" t="s">
        <v>3772</v>
      </c>
      <c r="B14253" s="1" t="s">
        <v>3800</v>
      </c>
      <c r="C14253" s="1" t="str">
        <f>"66298931286265"</f>
        <v>66298931286265</v>
      </c>
      <c r="D14253" s="1" t="str">
        <f>"V005"</f>
        <v>V005</v>
      </c>
      <c r="E14253" s="1" t="s">
        <v>4579</v>
      </c>
      <c r="F14253" s="1">
        <v>1</v>
      </c>
      <c r="G14253" s="1">
        <v>5096</v>
      </c>
      <c r="H14253" s="1">
        <v>5096</v>
      </c>
      <c r="I14253" s="1">
        <v>0</v>
      </c>
      <c r="J14253" s="1">
        <v>1</v>
      </c>
      <c r="K14253" s="1">
        <v>0</v>
      </c>
    </row>
    <row r="14254" spans="1:11" x14ac:dyDescent="0.2">
      <c r="A14254" s="1" t="s">
        <v>3772</v>
      </c>
      <c r="B14254" s="1" t="s">
        <v>3801</v>
      </c>
      <c r="C14254" s="1" t="str">
        <f>"66298931324870"</f>
        <v>66298931324870</v>
      </c>
      <c r="D14254" s="1" t="str">
        <f>"83639"</f>
        <v>83639</v>
      </c>
      <c r="E14254" s="1" t="s">
        <v>4579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</row>
    <row r="14255" spans="1:11" x14ac:dyDescent="0.2">
      <c r="A14255" s="1" t="s">
        <v>3772</v>
      </c>
      <c r="B14255" s="1" t="s">
        <v>3802</v>
      </c>
      <c r="C14255" s="1" t="str">
        <f>"66298931365419"</f>
        <v>66298931365419</v>
      </c>
      <c r="D14255" s="1" t="str">
        <f>"32800H51001H0"</f>
        <v>32800H51001H0</v>
      </c>
      <c r="E14255" s="1" t="s">
        <v>4579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</row>
    <row r="14256" spans="1:11" x14ac:dyDescent="0.2">
      <c r="A14256" s="1" t="s">
        <v>3772</v>
      </c>
      <c r="B14256" s="1" t="s">
        <v>3803</v>
      </c>
      <c r="C14256" s="1" t="str">
        <f>"66298931410393"</f>
        <v>66298931410393</v>
      </c>
      <c r="D14256" s="1" t="str">
        <f>"V008"</f>
        <v>V008</v>
      </c>
      <c r="E14256" s="1" t="s">
        <v>4579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</row>
    <row r="14257" spans="1:11" x14ac:dyDescent="0.2">
      <c r="A14257" s="1" t="s">
        <v>3772</v>
      </c>
      <c r="B14257" s="1" t="s">
        <v>3804</v>
      </c>
      <c r="C14257" s="1" t="str">
        <f>"V007"</f>
        <v>V007</v>
      </c>
      <c r="D14257" s="1" t="str">
        <f>"V007"</f>
        <v>V007</v>
      </c>
      <c r="E14257" s="1" t="s">
        <v>4579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</row>
    <row r="14258" spans="1:11" ht="30" x14ac:dyDescent="0.2">
      <c r="A14258" s="1" t="s">
        <v>3772</v>
      </c>
      <c r="B14258" s="1" t="s">
        <v>3805</v>
      </c>
      <c r="C14258" s="1" t="str">
        <f>"R12849"</f>
        <v>R12849</v>
      </c>
      <c r="D14258" s="1" t="str">
        <f>"R12849"</f>
        <v>R12849</v>
      </c>
      <c r="E14258" s="1" t="s">
        <v>4579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</row>
    <row r="14259" spans="1:11" x14ac:dyDescent="0.2">
      <c r="A14259" s="1" t="s">
        <v>3772</v>
      </c>
      <c r="B14259" s="1" t="s">
        <v>3806</v>
      </c>
      <c r="C14259" s="1" t="str">
        <f>"66298931495291"</f>
        <v>66298931495291</v>
      </c>
      <c r="D14259" s="1" t="str">
        <f>"400300"</f>
        <v>400300</v>
      </c>
      <c r="E14259" s="1" t="s">
        <v>4579</v>
      </c>
      <c r="F14259" s="1">
        <v>1</v>
      </c>
      <c r="G14259" s="1">
        <v>2734</v>
      </c>
      <c r="H14259" s="1">
        <v>2734</v>
      </c>
      <c r="I14259" s="1">
        <v>0</v>
      </c>
      <c r="J14259" s="1">
        <v>1</v>
      </c>
      <c r="K14259" s="1">
        <v>0</v>
      </c>
    </row>
    <row r="14260" spans="1:11" x14ac:dyDescent="0.2">
      <c r="A14260" s="1" t="s">
        <v>3772</v>
      </c>
      <c r="B14260" s="1" t="s">
        <v>3807</v>
      </c>
      <c r="C14260" s="1" t="str">
        <f>"66298931451981"</f>
        <v>66298931451981</v>
      </c>
      <c r="D14260" s="1" t="str">
        <f>"82326"</f>
        <v>82326</v>
      </c>
      <c r="E14260" s="1" t="s">
        <v>4579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</row>
    <row r="14261" spans="1:11" x14ac:dyDescent="0.2">
      <c r="A14261" s="1" t="s">
        <v>3772</v>
      </c>
      <c r="B14261" s="1" t="s">
        <v>3808</v>
      </c>
      <c r="C14261" s="1" t="str">
        <f>"66298931536707"</f>
        <v>66298931536707</v>
      </c>
      <c r="D14261" s="1" t="str">
        <f>"V003"</f>
        <v>V003</v>
      </c>
      <c r="E14261" s="1" t="s">
        <v>4579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</row>
    <row r="14262" spans="1:11" x14ac:dyDescent="0.2">
      <c r="A14262" s="1" t="s">
        <v>3772</v>
      </c>
      <c r="B14262" s="1" t="s">
        <v>3809</v>
      </c>
      <c r="C14262" s="1" t="str">
        <f>"66298931577340"</f>
        <v>66298931577340</v>
      </c>
      <c r="D14262" s="1" t="str">
        <f>"85019"</f>
        <v>85019</v>
      </c>
      <c r="E14262" s="1" t="s">
        <v>4579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</row>
    <row r="14263" spans="1:11" x14ac:dyDescent="0.2">
      <c r="A14263" s="1" t="s">
        <v>3772</v>
      </c>
      <c r="B14263" s="1" t="s">
        <v>3810</v>
      </c>
      <c r="C14263" s="1" t="str">
        <f>"66298931621847"</f>
        <v>66298931621847</v>
      </c>
      <c r="D14263" s="1" t="str">
        <f>"R1060070HB"</f>
        <v>R1060070HB</v>
      </c>
      <c r="E14263" s="1" t="s">
        <v>4579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</row>
    <row r="14264" spans="1:11" x14ac:dyDescent="0.2">
      <c r="A14264" s="1" t="s">
        <v>3772</v>
      </c>
      <c r="B14264" s="1" t="s">
        <v>3811</v>
      </c>
      <c r="C14264" s="1" t="str">
        <f>"66298931665504"</f>
        <v>66298931665504</v>
      </c>
      <c r="D14264" s="1" t="str">
        <f>"82420"</f>
        <v>82420</v>
      </c>
      <c r="E14264" s="1" t="s">
        <v>4579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</row>
    <row r="14265" spans="1:11" x14ac:dyDescent="0.2">
      <c r="A14265" s="1" t="s">
        <v>3772</v>
      </c>
      <c r="B14265" s="1" t="s">
        <v>3812</v>
      </c>
      <c r="C14265" s="1" t="str">
        <f>"66298931712857"</f>
        <v>66298931712857</v>
      </c>
      <c r="D14265" s="1" t="str">
        <f>"32800H51031H000"</f>
        <v>32800H51031H000</v>
      </c>
      <c r="E14265" s="1" t="s">
        <v>4579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</row>
    <row r="14266" spans="1:11" x14ac:dyDescent="0.2">
      <c r="A14266" s="1" t="s">
        <v>3772</v>
      </c>
      <c r="B14266" s="1" t="s">
        <v>3813</v>
      </c>
      <c r="C14266" s="1" t="str">
        <f>"66298931756457"</f>
        <v>66298931756457</v>
      </c>
      <c r="D14266" s="1" t="str">
        <f>"V029"</f>
        <v>V029</v>
      </c>
      <c r="E14266" s="1" t="s">
        <v>4579</v>
      </c>
      <c r="F14266" s="1">
        <v>1</v>
      </c>
      <c r="G14266" s="1">
        <v>5690</v>
      </c>
      <c r="H14266" s="1">
        <v>5690</v>
      </c>
      <c r="I14266" s="1">
        <v>0</v>
      </c>
      <c r="J14266" s="1">
        <v>1</v>
      </c>
      <c r="K14266" s="1">
        <v>0</v>
      </c>
    </row>
    <row r="14267" spans="1:11" x14ac:dyDescent="0.2">
      <c r="A14267" s="1" t="s">
        <v>3772</v>
      </c>
      <c r="B14267" s="1" t="s">
        <v>3814</v>
      </c>
      <c r="C14267" s="1" t="str">
        <f>"66298931799914"</f>
        <v>66298931799914</v>
      </c>
      <c r="D14267" s="1" t="str">
        <f>"589005"</f>
        <v>589005</v>
      </c>
      <c r="E14267" s="1" t="s">
        <v>4579</v>
      </c>
      <c r="F14267" s="1">
        <v>1</v>
      </c>
      <c r="G14267" s="1">
        <v>2190</v>
      </c>
      <c r="H14267" s="1">
        <v>2190</v>
      </c>
      <c r="I14267" s="1">
        <v>0</v>
      </c>
      <c r="J14267" s="1">
        <v>1</v>
      </c>
      <c r="K14267" s="1">
        <v>0</v>
      </c>
    </row>
    <row r="14268" spans="1:11" x14ac:dyDescent="0.2">
      <c r="A14268" s="1" t="s">
        <v>3772</v>
      </c>
      <c r="B14268" s="1" t="s">
        <v>3815</v>
      </c>
      <c r="C14268" s="1" t="str">
        <f>"66298931842460"</f>
        <v>66298931842460</v>
      </c>
      <c r="D14268" s="1" t="str">
        <f>"82419"</f>
        <v>82419</v>
      </c>
      <c r="E14268" s="1" t="s">
        <v>4579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</row>
    <row r="14269" spans="1:11" x14ac:dyDescent="0.2">
      <c r="A14269" s="1" t="s">
        <v>3772</v>
      </c>
      <c r="B14269" s="1" t="s">
        <v>3816</v>
      </c>
      <c r="C14269" s="1" t="str">
        <f>"66298931880859"</f>
        <v>66298931880859</v>
      </c>
      <c r="D14269" s="1" t="str">
        <f>"85184"</f>
        <v>85184</v>
      </c>
      <c r="E14269" s="1" t="s">
        <v>4579</v>
      </c>
      <c r="F14269" s="1">
        <v>1</v>
      </c>
      <c r="G14269" s="1">
        <v>9068</v>
      </c>
      <c r="H14269" s="1">
        <v>9068</v>
      </c>
      <c r="I14269" s="1">
        <v>0</v>
      </c>
      <c r="J14269" s="1">
        <v>1</v>
      </c>
      <c r="K14269" s="1">
        <v>0</v>
      </c>
    </row>
    <row r="14270" spans="1:11" x14ac:dyDescent="0.2">
      <c r="A14270" s="1" t="s">
        <v>3772</v>
      </c>
      <c r="B14270" s="1" t="s">
        <v>3817</v>
      </c>
      <c r="C14270" s="1" t="str">
        <f>"66298931924141"</f>
        <v>66298931924141</v>
      </c>
      <c r="D14270" s="1" t="str">
        <f>"V009"</f>
        <v>V009</v>
      </c>
      <c r="E14270" s="1" t="s">
        <v>4579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</row>
    <row r="14271" spans="1:11" x14ac:dyDescent="0.2">
      <c r="A14271" s="1" t="s">
        <v>3772</v>
      </c>
      <c r="B14271" s="1" t="s">
        <v>3818</v>
      </c>
      <c r="C14271" s="1" t="str">
        <f>"66298931964424"</f>
        <v>66298931964424</v>
      </c>
      <c r="D14271" s="1" t="str">
        <f>"V026"</f>
        <v>V026</v>
      </c>
      <c r="E14271" s="1" t="s">
        <v>4579</v>
      </c>
      <c r="F14271" s="1">
        <v>1</v>
      </c>
      <c r="G14271" s="1">
        <v>8352</v>
      </c>
      <c r="H14271" s="1">
        <v>8352</v>
      </c>
      <c r="I14271" s="1">
        <v>0</v>
      </c>
      <c r="J14271" s="1">
        <v>1</v>
      </c>
      <c r="K14271" s="1">
        <v>0</v>
      </c>
    </row>
    <row r="14272" spans="1:11" x14ac:dyDescent="0.2">
      <c r="A14272" s="1" t="s">
        <v>3772</v>
      </c>
      <c r="B14272" s="1" t="s">
        <v>3819</v>
      </c>
      <c r="C14272" s="1" t="str">
        <f>"66298932010483"</f>
        <v>66298932010483</v>
      </c>
      <c r="D14272" s="1" t="str">
        <f>"84917"</f>
        <v>84917</v>
      </c>
      <c r="E14272" s="1" t="s">
        <v>4579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</row>
    <row r="14273" spans="1:11" x14ac:dyDescent="0.2">
      <c r="A14273" s="1" t="s">
        <v>3772</v>
      </c>
      <c r="B14273" s="1" t="s">
        <v>3819</v>
      </c>
      <c r="C14273" s="1" t="str">
        <f>"66298932016899"</f>
        <v>66298932016899</v>
      </c>
      <c r="D14273" s="1" t="str">
        <f>"V018"</f>
        <v>V018</v>
      </c>
      <c r="E14273" s="1" t="s">
        <v>4579</v>
      </c>
      <c r="F14273" s="1">
        <v>1</v>
      </c>
      <c r="G14273" s="1">
        <v>4580</v>
      </c>
      <c r="H14273" s="1">
        <v>4580</v>
      </c>
      <c r="I14273" s="1">
        <v>0</v>
      </c>
      <c r="J14273" s="1">
        <v>1</v>
      </c>
      <c r="K14273" s="1">
        <v>0</v>
      </c>
    </row>
    <row r="14274" spans="1:11" x14ac:dyDescent="0.2">
      <c r="A14274" s="1" t="s">
        <v>3772</v>
      </c>
      <c r="B14274" s="1" t="s">
        <v>3820</v>
      </c>
      <c r="C14274" s="1" t="str">
        <f>"12033"</f>
        <v>12033</v>
      </c>
      <c r="D14274" s="1" t="str">
        <f>"12033"</f>
        <v>12033</v>
      </c>
      <c r="E14274" s="1" t="s">
        <v>4579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</row>
    <row r="14275" spans="1:11" x14ac:dyDescent="0.2">
      <c r="A14275" s="1" t="s">
        <v>3772</v>
      </c>
      <c r="B14275" s="1" t="s">
        <v>3821</v>
      </c>
      <c r="C14275" s="1" t="str">
        <f>"66298932078634"</f>
        <v>66298932078634</v>
      </c>
      <c r="D14275" s="1" t="str">
        <f>"V023"</f>
        <v>V023</v>
      </c>
      <c r="E14275" s="1" t="s">
        <v>4579</v>
      </c>
      <c r="F14275" s="1">
        <v>2</v>
      </c>
      <c r="G14275" s="1">
        <v>2950</v>
      </c>
      <c r="H14275" s="1">
        <v>5900</v>
      </c>
      <c r="I14275" s="1">
        <v>0</v>
      </c>
      <c r="J14275" s="1">
        <v>2</v>
      </c>
      <c r="K14275" s="1">
        <v>0</v>
      </c>
    </row>
    <row r="14276" spans="1:11" x14ac:dyDescent="0.2">
      <c r="A14276" s="1" t="s">
        <v>3772</v>
      </c>
      <c r="B14276" s="1" t="s">
        <v>3821</v>
      </c>
      <c r="C14276" s="1" t="str">
        <f>"66298932083579"</f>
        <v>66298932083579</v>
      </c>
      <c r="D14276" s="1" t="str">
        <f>"V001"</f>
        <v>V001</v>
      </c>
      <c r="E14276" s="1" t="s">
        <v>4579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0</v>
      </c>
    </row>
    <row r="14277" spans="1:11" x14ac:dyDescent="0.2">
      <c r="A14277" s="1" t="s">
        <v>3772</v>
      </c>
      <c r="B14277" s="1" t="s">
        <v>3822</v>
      </c>
      <c r="C14277" s="1" t="str">
        <f>"66298932136719"</f>
        <v>66298932136719</v>
      </c>
      <c r="D14277" s="1" t="str">
        <f>"VH004"</f>
        <v>VH004</v>
      </c>
      <c r="E14277" s="1" t="s">
        <v>4579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</row>
    <row r="14278" spans="1:11" x14ac:dyDescent="0.2">
      <c r="A14278" s="1" t="s">
        <v>18</v>
      </c>
      <c r="B14278" s="1" t="s">
        <v>3823</v>
      </c>
      <c r="C14278" s="1" t="str">
        <f>"E010"</f>
        <v>E010</v>
      </c>
      <c r="D14278" s="1" t="str">
        <f>"E010"</f>
        <v>E010</v>
      </c>
      <c r="E14278" s="1" t="s">
        <v>4579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</row>
    <row r="14279" spans="1:11" x14ac:dyDescent="0.2">
      <c r="A14279" s="1" t="s">
        <v>18</v>
      </c>
      <c r="B14279" s="1" t="s">
        <v>3824</v>
      </c>
      <c r="C14279" s="1" t="str">
        <f>"REFLEC-C-ROJO"</f>
        <v>REFLEC-C-ROJO</v>
      </c>
      <c r="D14279" s="1" t="str">
        <f>"REFLEC-C-ROJO"</f>
        <v>REFLEC-C-ROJO</v>
      </c>
      <c r="E14279" s="1" t="s">
        <v>4579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</row>
    <row r="14280" spans="1:11" x14ac:dyDescent="0.2">
      <c r="A14280" s="1" t="s">
        <v>18</v>
      </c>
      <c r="B14280" s="1" t="s">
        <v>3825</v>
      </c>
      <c r="C14280" s="1" t="str">
        <f>"66298932177892"</f>
        <v>66298932177892</v>
      </c>
      <c r="D14280" s="1" t="str">
        <f>"PB009"</f>
        <v>PB009</v>
      </c>
      <c r="E14280" s="1" t="s">
        <v>4579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</row>
    <row r="14281" spans="1:11" x14ac:dyDescent="0.2">
      <c r="A14281" s="1" t="s">
        <v>18</v>
      </c>
      <c r="B14281" s="1" t="s">
        <v>3825</v>
      </c>
      <c r="C14281" s="1" t="str">
        <f>"B097"</f>
        <v>B097</v>
      </c>
      <c r="D14281" s="1" t="str">
        <f>"B097"</f>
        <v>B097</v>
      </c>
      <c r="E14281" s="1" t="s">
        <v>4579</v>
      </c>
      <c r="F14281" s="1">
        <v>10</v>
      </c>
      <c r="G14281" s="1">
        <v>790</v>
      </c>
      <c r="H14281" s="1">
        <v>7900</v>
      </c>
      <c r="I14281" s="1">
        <v>0</v>
      </c>
      <c r="J14281" s="1">
        <v>10</v>
      </c>
      <c r="K14281" s="1">
        <v>0</v>
      </c>
    </row>
    <row r="14282" spans="1:11" x14ac:dyDescent="0.2">
      <c r="A14282" s="1" t="s">
        <v>15</v>
      </c>
      <c r="B14282" s="1" t="s">
        <v>3826</v>
      </c>
      <c r="C14282" s="1" t="str">
        <f>"66298932219701"</f>
        <v>66298932219701</v>
      </c>
      <c r="D14282" s="1" t="str">
        <f>"15AFE4"</f>
        <v>15AFE4</v>
      </c>
      <c r="E14282" s="1" t="s">
        <v>4579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</row>
    <row r="14283" spans="1:11" x14ac:dyDescent="0.2">
      <c r="A14283" s="1" t="s">
        <v>15</v>
      </c>
      <c r="B14283" s="1" t="s">
        <v>3827</v>
      </c>
      <c r="C14283" s="1" t="str">
        <f>"66298932261089"</f>
        <v>66298932261089</v>
      </c>
      <c r="D14283" s="1" t="str">
        <f>"800219"</f>
        <v>800219</v>
      </c>
      <c r="E14283" s="1" t="s">
        <v>4579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</row>
    <row r="14284" spans="1:11" x14ac:dyDescent="0.2">
      <c r="A14284" s="1" t="s">
        <v>15</v>
      </c>
      <c r="B14284" s="1" t="s">
        <v>3828</v>
      </c>
      <c r="C14284" s="1" t="str">
        <f>"66298932299040"</f>
        <v>66298932299040</v>
      </c>
      <c r="D14284" s="1" t="str">
        <f>"6924"</f>
        <v>6924</v>
      </c>
      <c r="E14284" s="1" t="s">
        <v>4579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</row>
    <row r="14285" spans="1:11" x14ac:dyDescent="0.2">
      <c r="A14285" s="1" t="s">
        <v>15</v>
      </c>
      <c r="B14285" s="1" t="s">
        <v>3829</v>
      </c>
      <c r="C14285" s="1" t="str">
        <f>"66298932346625"</f>
        <v>66298932346625</v>
      </c>
      <c r="D14285" s="1" t="str">
        <f>"105914"</f>
        <v>105914</v>
      </c>
      <c r="E14285" s="1" t="s">
        <v>4579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</row>
    <row r="14286" spans="1:11" x14ac:dyDescent="0.2">
      <c r="A14286" s="1" t="s">
        <v>15</v>
      </c>
      <c r="B14286" s="1" t="s">
        <v>3830</v>
      </c>
      <c r="C14286" s="1" t="str">
        <f>"66298932388900"</f>
        <v>66298932388900</v>
      </c>
      <c r="D14286" s="1" t="str">
        <f>"714W51"</f>
        <v>714W51</v>
      </c>
      <c r="E14286" s="1" t="s">
        <v>4579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</row>
    <row r="14287" spans="1:11" x14ac:dyDescent="0.2">
      <c r="A14287" s="1" t="s">
        <v>15</v>
      </c>
      <c r="B14287" s="1" t="s">
        <v>3831</v>
      </c>
      <c r="C14287" s="1" t="str">
        <f>"66298932426035"</f>
        <v>66298932426035</v>
      </c>
      <c r="D14287" s="1" t="str">
        <f>"702025"</f>
        <v>702025</v>
      </c>
      <c r="E14287" s="1" t="s">
        <v>4579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</row>
    <row r="14288" spans="1:11" x14ac:dyDescent="0.2">
      <c r="A14288" s="1" t="s">
        <v>15</v>
      </c>
      <c r="B14288" s="1" t="s">
        <v>3832</v>
      </c>
      <c r="C14288" s="1" t="str">
        <f>"66298932465334"</f>
        <v>66298932465334</v>
      </c>
      <c r="D14288" s="1" t="str">
        <f>"701975"</f>
        <v>701975</v>
      </c>
      <c r="E14288" s="1" t="s">
        <v>4579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</row>
    <row r="14289" spans="1:11" x14ac:dyDescent="0.2">
      <c r="A14289" s="1" t="s">
        <v>15</v>
      </c>
      <c r="B14289" s="1" t="s">
        <v>3833</v>
      </c>
      <c r="C14289" s="1" t="str">
        <f>"66298932507022"</f>
        <v>66298932507022</v>
      </c>
      <c r="D14289" s="1" t="str">
        <f>"702027"</f>
        <v>702027</v>
      </c>
      <c r="E14289" s="1" t="s">
        <v>4579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</row>
    <row r="14290" spans="1:11" x14ac:dyDescent="0.2">
      <c r="A14290" s="1" t="s">
        <v>98</v>
      </c>
      <c r="B14290" s="1" t="s">
        <v>3834</v>
      </c>
      <c r="C14290" s="1" t="str">
        <f>"66298932548104"</f>
        <v>66298932548104</v>
      </c>
      <c r="D14290" s="1" t="str">
        <f>"QQ001"</f>
        <v>QQ001</v>
      </c>
      <c r="E14290" s="1" t="s">
        <v>4579</v>
      </c>
      <c r="F14290" s="1">
        <v>4</v>
      </c>
      <c r="G14290" s="1">
        <v>420</v>
      </c>
      <c r="H14290" s="1">
        <v>1680</v>
      </c>
      <c r="I14290" s="1">
        <v>0</v>
      </c>
      <c r="J14290" s="1">
        <v>4</v>
      </c>
      <c r="K14290" s="1">
        <v>0</v>
      </c>
    </row>
    <row r="14291" spans="1:11" x14ac:dyDescent="0.2">
      <c r="A14291" s="1" t="s">
        <v>2004</v>
      </c>
      <c r="B14291" s="1" t="s">
        <v>3835</v>
      </c>
      <c r="C14291" s="1" t="str">
        <f>"66298932594806"</f>
        <v>66298932594806</v>
      </c>
      <c r="D14291" s="1" t="str">
        <f>"81271"</f>
        <v>81271</v>
      </c>
      <c r="E14291" s="1" t="s">
        <v>4579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</row>
    <row r="14292" spans="1:11" x14ac:dyDescent="0.2">
      <c r="A14292" s="1" t="s">
        <v>2004</v>
      </c>
      <c r="B14292" s="1" t="s">
        <v>3835</v>
      </c>
      <c r="C14292" s="1" t="str">
        <f>"66298932602858"</f>
        <v>66298932602858</v>
      </c>
      <c r="D14292" s="1" t="str">
        <f>"S006"</f>
        <v>S006</v>
      </c>
      <c r="E14292" s="1" t="s">
        <v>4579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</row>
    <row r="14293" spans="1:11" x14ac:dyDescent="0.2">
      <c r="A14293" s="1" t="s">
        <v>2004</v>
      </c>
      <c r="B14293" s="1" t="s">
        <v>3835</v>
      </c>
      <c r="C14293" s="1" t="str">
        <f>"66298932609324"</f>
        <v>66298932609324</v>
      </c>
      <c r="D14293" s="1" t="str">
        <f>"H1093"</f>
        <v>H1093</v>
      </c>
      <c r="E14293" s="1" t="s">
        <v>4579</v>
      </c>
      <c r="F14293" s="1">
        <v>10</v>
      </c>
      <c r="G14293" s="1">
        <v>230</v>
      </c>
      <c r="H14293" s="1">
        <v>2300</v>
      </c>
      <c r="I14293" s="1">
        <v>0</v>
      </c>
      <c r="J14293" s="1">
        <v>10</v>
      </c>
      <c r="K14293" s="1">
        <v>0</v>
      </c>
    </row>
    <row r="14294" spans="1:11" x14ac:dyDescent="0.2">
      <c r="A14294" s="1" t="s">
        <v>98</v>
      </c>
      <c r="B14294" s="1" t="s">
        <v>3836</v>
      </c>
      <c r="C14294" s="1" t="str">
        <f>"66298932677231"</f>
        <v>66298932677231</v>
      </c>
      <c r="D14294" s="1" t="str">
        <f>"1080"</f>
        <v>1080</v>
      </c>
      <c r="E14294" s="1" t="s">
        <v>4579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</row>
    <row r="14295" spans="1:11" x14ac:dyDescent="0.2">
      <c r="A14295" s="1" t="s">
        <v>98</v>
      </c>
      <c r="B14295" s="1" t="s">
        <v>3837</v>
      </c>
      <c r="C14295" s="1" t="str">
        <f>"66298932728389"</f>
        <v>66298932728389</v>
      </c>
      <c r="D14295" s="1" t="str">
        <f>"83133"</f>
        <v>83133</v>
      </c>
      <c r="E14295" s="1" t="s">
        <v>4579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</row>
    <row r="14296" spans="1:11" x14ac:dyDescent="0.2">
      <c r="A14296" s="1" t="s">
        <v>98</v>
      </c>
      <c r="B14296" s="1" t="s">
        <v>3838</v>
      </c>
      <c r="C14296" s="1" t="str">
        <f>"66298932767649"</f>
        <v>66298932767649</v>
      </c>
      <c r="D14296" s="1" t="str">
        <f>"5YY-H1950-10GY"</f>
        <v>5YY-H1950-10GY</v>
      </c>
      <c r="E14296" s="1" t="s">
        <v>4579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</row>
    <row r="14297" spans="1:11" x14ac:dyDescent="0.2">
      <c r="A14297" s="1" t="s">
        <v>98</v>
      </c>
      <c r="B14297" s="1" t="s">
        <v>3839</v>
      </c>
      <c r="C14297" s="1" t="str">
        <f>"66298932813273"</f>
        <v>66298932813273</v>
      </c>
      <c r="D14297" s="1" t="str">
        <f>"DK-2010-16HB"</f>
        <v>DK-2010-16HB</v>
      </c>
      <c r="E14297" s="1" t="s">
        <v>4579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</row>
    <row r="14298" spans="1:11" x14ac:dyDescent="0.2">
      <c r="A14298" s="1" t="s">
        <v>15</v>
      </c>
      <c r="B14298" s="1" t="s">
        <v>3840</v>
      </c>
      <c r="C14298" s="1" t="str">
        <f>"11699"</f>
        <v>11699</v>
      </c>
      <c r="D14298" s="1" t="str">
        <f>"11699"</f>
        <v>11699</v>
      </c>
      <c r="E14298" s="1" t="s">
        <v>4579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</row>
    <row r="14299" spans="1:11" x14ac:dyDescent="0.2">
      <c r="A14299" s="1" t="s">
        <v>15</v>
      </c>
      <c r="B14299" s="1" t="s">
        <v>3841</v>
      </c>
      <c r="C14299" s="1" t="str">
        <f>"11610"</f>
        <v>11610</v>
      </c>
      <c r="D14299" s="1" t="str">
        <f>"11610"</f>
        <v>11610</v>
      </c>
      <c r="E14299" s="1" t="s">
        <v>4579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</row>
    <row r="14300" spans="1:11" x14ac:dyDescent="0.2">
      <c r="A14300" s="1" t="s">
        <v>98</v>
      </c>
      <c r="B14300" s="1" t="s">
        <v>3842</v>
      </c>
      <c r="C14300" s="1" t="str">
        <f>"66298932856440"</f>
        <v>66298932856440</v>
      </c>
      <c r="D14300" s="1" t="str">
        <f>"800665"</f>
        <v>800665</v>
      </c>
      <c r="E14300" s="1" t="s">
        <v>4579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</row>
    <row r="14301" spans="1:11" x14ac:dyDescent="0.2">
      <c r="A14301" s="1" t="s">
        <v>3843</v>
      </c>
      <c r="B14301" s="1" t="s">
        <v>3844</v>
      </c>
      <c r="C14301" s="1" t="str">
        <f>"66298932898266"</f>
        <v>66298932898266</v>
      </c>
      <c r="D14301" s="1" t="str">
        <f>"ZZA019"</f>
        <v>ZZA019</v>
      </c>
      <c r="E14301" s="1" t="s">
        <v>4579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</row>
    <row r="14302" spans="1:11" x14ac:dyDescent="0.2">
      <c r="A14302" s="1" t="s">
        <v>3843</v>
      </c>
      <c r="B14302" s="1" t="s">
        <v>3845</v>
      </c>
      <c r="C14302" s="1" t="str">
        <f>"66298932938128"</f>
        <v>66298932938128</v>
      </c>
      <c r="D14302" s="1" t="str">
        <f>"ZZA017"</f>
        <v>ZZA017</v>
      </c>
      <c r="E14302" s="1" t="s">
        <v>4579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</row>
    <row r="14303" spans="1:11" x14ac:dyDescent="0.2">
      <c r="A14303" s="1" t="s">
        <v>3843</v>
      </c>
      <c r="B14303" s="1" t="s">
        <v>3846</v>
      </c>
      <c r="C14303" s="1" t="str">
        <f>"66298932980376"</f>
        <v>66298932980376</v>
      </c>
      <c r="D14303" s="1" t="str">
        <f>"ZZA018"</f>
        <v>ZZA018</v>
      </c>
      <c r="E14303" s="1" t="s">
        <v>4579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</row>
    <row r="14304" spans="1:11" x14ac:dyDescent="0.2">
      <c r="A14304" s="1" t="s">
        <v>3843</v>
      </c>
      <c r="B14304" s="1" t="s">
        <v>3847</v>
      </c>
      <c r="C14304" s="1" t="str">
        <f>"66298933023843"</f>
        <v>66298933023843</v>
      </c>
      <c r="D14304" s="1" t="str">
        <f>"ZZA021"</f>
        <v>ZZA021</v>
      </c>
      <c r="E14304" s="1" t="s">
        <v>4579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</row>
    <row r="14305" spans="1:11" x14ac:dyDescent="0.2">
      <c r="A14305" s="1" t="s">
        <v>3843</v>
      </c>
      <c r="B14305" s="1" t="s">
        <v>3848</v>
      </c>
      <c r="C14305" s="1" t="str">
        <f>"66298933064594"</f>
        <v>66298933064594</v>
      </c>
      <c r="D14305" s="1" t="str">
        <f>"ZZA016"</f>
        <v>ZZA016</v>
      </c>
      <c r="E14305" s="1" t="s">
        <v>4579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</row>
    <row r="14306" spans="1:11" x14ac:dyDescent="0.2">
      <c r="A14306" s="1" t="s">
        <v>3843</v>
      </c>
      <c r="B14306" s="1" t="s">
        <v>3849</v>
      </c>
      <c r="C14306" s="1" t="str">
        <f>"66298933107391"</f>
        <v>66298933107391</v>
      </c>
      <c r="D14306" s="1" t="str">
        <f>"SB005"</f>
        <v>SB005</v>
      </c>
      <c r="E14306" s="1" t="s">
        <v>4579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</row>
    <row r="14307" spans="1:11" x14ac:dyDescent="0.2">
      <c r="A14307" s="1" t="s">
        <v>3850</v>
      </c>
      <c r="B14307" s="1" t="s">
        <v>3851</v>
      </c>
      <c r="C14307" s="1" t="str">
        <f>"B074"</f>
        <v>B074</v>
      </c>
      <c r="D14307" s="1" t="str">
        <f>"B074"</f>
        <v>B074</v>
      </c>
      <c r="E14307" s="1" t="s">
        <v>4579</v>
      </c>
      <c r="F14307" s="1">
        <v>2</v>
      </c>
      <c r="G14307" s="1">
        <v>2210</v>
      </c>
      <c r="H14307" s="1">
        <v>4420</v>
      </c>
      <c r="I14307" s="1">
        <v>0</v>
      </c>
      <c r="J14307" s="1">
        <v>2</v>
      </c>
      <c r="K14307" s="1">
        <v>0</v>
      </c>
    </row>
    <row r="14308" spans="1:11" x14ac:dyDescent="0.2">
      <c r="A14308" s="1" t="s">
        <v>3850</v>
      </c>
      <c r="B14308" s="1" t="s">
        <v>3852</v>
      </c>
      <c r="C14308" s="1" t="str">
        <f>"66298933152756"</f>
        <v>66298933152756</v>
      </c>
      <c r="D14308" s="1" t="str">
        <f>"80321"</f>
        <v>80321</v>
      </c>
      <c r="E14308" s="1" t="s">
        <v>4579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</row>
    <row r="14309" spans="1:11" x14ac:dyDescent="0.2">
      <c r="A14309" s="1" t="s">
        <v>3850</v>
      </c>
      <c r="B14309" s="1" t="s">
        <v>3853</v>
      </c>
      <c r="C14309" s="1" t="str">
        <f>"66298933194484"</f>
        <v>66298933194484</v>
      </c>
      <c r="D14309" s="1" t="str">
        <f>"XA017"</f>
        <v>XA017</v>
      </c>
      <c r="E14309" s="1" t="s">
        <v>4579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</row>
    <row r="14310" spans="1:11" x14ac:dyDescent="0.2">
      <c r="A14310" s="1" t="s">
        <v>3850</v>
      </c>
      <c r="B14310" s="1" t="s">
        <v>3854</v>
      </c>
      <c r="C14310" s="1" t="str">
        <f>"66298933237857"</f>
        <v>66298933237857</v>
      </c>
      <c r="D14310" s="1" t="str">
        <f>"KB-0204N"</f>
        <v>KB-0204N</v>
      </c>
      <c r="E14310" s="1" t="s">
        <v>4579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</row>
    <row r="14311" spans="1:11" x14ac:dyDescent="0.2">
      <c r="A14311" s="1" t="s">
        <v>3850</v>
      </c>
      <c r="B14311" s="1" t="s">
        <v>3855</v>
      </c>
      <c r="C14311" s="1" t="str">
        <f>"66298933282115"</f>
        <v>66298933282115</v>
      </c>
      <c r="D14311" s="1" t="str">
        <f>"80323"</f>
        <v>80323</v>
      </c>
      <c r="E14311" s="1" t="s">
        <v>4579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</row>
    <row r="14312" spans="1:11" x14ac:dyDescent="0.2">
      <c r="A14312" s="1" t="s">
        <v>3850</v>
      </c>
      <c r="B14312" s="1" t="s">
        <v>3856</v>
      </c>
      <c r="C14312" s="1" t="str">
        <f>"66298933326418"</f>
        <v>66298933326418</v>
      </c>
      <c r="D14312" s="1" t="str">
        <f>"KY-0563JP"</f>
        <v>KY-0563JP</v>
      </c>
      <c r="E14312" s="1" t="s">
        <v>4579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</row>
    <row r="14313" spans="1:11" x14ac:dyDescent="0.2">
      <c r="A14313" s="1" t="s">
        <v>1359</v>
      </c>
      <c r="B14313" s="1" t="s">
        <v>3857</v>
      </c>
      <c r="C14313" s="1" t="str">
        <f>"66298933365262"</f>
        <v>66298933365262</v>
      </c>
      <c r="D14313" s="1" t="str">
        <f>"35400-K70-601GH"</f>
        <v>35400-K70-601GH</v>
      </c>
      <c r="E14313" s="1" t="s">
        <v>4579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</row>
    <row r="14314" spans="1:11" x14ac:dyDescent="0.2">
      <c r="A14314" s="1" t="s">
        <v>1359</v>
      </c>
      <c r="B14314" s="1" t="s">
        <v>3858</v>
      </c>
      <c r="C14314" s="1" t="str">
        <f>"66298933407092"</f>
        <v>66298933407092</v>
      </c>
      <c r="D14314" s="1" t="str">
        <f>"VH002"</f>
        <v>VH002</v>
      </c>
      <c r="E14314" s="1" t="s">
        <v>4579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</row>
    <row r="14315" spans="1:11" x14ac:dyDescent="0.2">
      <c r="A14315" s="1" t="s">
        <v>3859</v>
      </c>
      <c r="B14315" s="1" t="s">
        <v>3860</v>
      </c>
      <c r="C14315" s="1" t="str">
        <f>"66298933452950"</f>
        <v>66298933452950</v>
      </c>
      <c r="D14315" s="1" t="str">
        <f>"G311"</f>
        <v>G311</v>
      </c>
      <c r="E14315" s="1" t="s">
        <v>4579</v>
      </c>
      <c r="F14315" s="1">
        <v>2</v>
      </c>
      <c r="G14315" s="1">
        <v>378</v>
      </c>
      <c r="H14315" s="1">
        <v>756</v>
      </c>
      <c r="I14315" s="1">
        <v>0</v>
      </c>
      <c r="J14315" s="1">
        <v>2</v>
      </c>
      <c r="K14315" s="1">
        <v>0</v>
      </c>
    </row>
    <row r="14316" spans="1:11" x14ac:dyDescent="0.2">
      <c r="A14316" s="1" t="s">
        <v>3859</v>
      </c>
      <c r="B14316" s="1" t="s">
        <v>3861</v>
      </c>
      <c r="C14316" s="1" t="str">
        <f>"66298933495915"</f>
        <v>66298933495915</v>
      </c>
      <c r="D14316" s="1" t="str">
        <f>"BY11013-E5-10"</f>
        <v>BY11013-E5-10</v>
      </c>
      <c r="E14316" s="1" t="s">
        <v>4579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</row>
    <row r="14317" spans="1:11" x14ac:dyDescent="0.2">
      <c r="A14317" s="1" t="s">
        <v>3859</v>
      </c>
      <c r="B14317" s="1" t="s">
        <v>3862</v>
      </c>
      <c r="C14317" s="1" t="str">
        <f>"66298933537538"</f>
        <v>66298933537538</v>
      </c>
      <c r="D14317" s="1" t="str">
        <f>"21C-E6333-00"</f>
        <v>21C-E6333-00</v>
      </c>
      <c r="E14317" s="1" t="s">
        <v>4579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</row>
    <row r="14318" spans="1:11" x14ac:dyDescent="0.2">
      <c r="A14318" s="1" t="s">
        <v>3859</v>
      </c>
      <c r="B14318" s="1" t="s">
        <v>3863</v>
      </c>
      <c r="C14318" s="1" t="str">
        <f>"FY2005A-E4-23"</f>
        <v>FY2005A-E4-23</v>
      </c>
      <c r="D14318" s="1" t="str">
        <f>"FY2005A-E4-23"</f>
        <v>FY2005A-E4-23</v>
      </c>
      <c r="E14318" s="1" t="s">
        <v>4579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</row>
    <row r="14319" spans="1:11" x14ac:dyDescent="0.2">
      <c r="A14319" s="1" t="s">
        <v>3859</v>
      </c>
      <c r="B14319" s="1" t="s">
        <v>3864</v>
      </c>
      <c r="C14319" s="1" t="str">
        <f>"66298933578597"</f>
        <v>66298933578597</v>
      </c>
      <c r="D14319" s="1" t="str">
        <f>"G302"</f>
        <v>G302</v>
      </c>
      <c r="E14319" s="1" t="s">
        <v>4579</v>
      </c>
      <c r="F14319" s="1">
        <v>5</v>
      </c>
      <c r="G14319" s="1">
        <v>403.2</v>
      </c>
      <c r="H14319" s="1">
        <v>2016</v>
      </c>
      <c r="I14319" s="1">
        <v>0</v>
      </c>
      <c r="J14319" s="1">
        <v>5</v>
      </c>
      <c r="K14319" s="1">
        <v>0</v>
      </c>
    </row>
    <row r="14320" spans="1:11" x14ac:dyDescent="0.2">
      <c r="A14320" s="1" t="s">
        <v>3859</v>
      </c>
      <c r="B14320" s="1" t="s">
        <v>3865</v>
      </c>
      <c r="C14320" s="1" t="str">
        <f>"66298933624900"</f>
        <v>66298933624900</v>
      </c>
      <c r="D14320" s="1" t="str">
        <f>"G303"</f>
        <v>G303</v>
      </c>
      <c r="E14320" s="1" t="s">
        <v>4579</v>
      </c>
      <c r="F14320" s="1">
        <v>3</v>
      </c>
      <c r="G14320" s="1">
        <v>392</v>
      </c>
      <c r="H14320" s="1">
        <v>1176</v>
      </c>
      <c r="I14320" s="1">
        <v>0</v>
      </c>
      <c r="J14320" s="1">
        <v>3</v>
      </c>
      <c r="K14320" s="1">
        <v>0</v>
      </c>
    </row>
    <row r="14321" spans="1:11" x14ac:dyDescent="0.2">
      <c r="A14321" s="1" t="s">
        <v>3859</v>
      </c>
      <c r="B14321" s="1" t="s">
        <v>3866</v>
      </c>
      <c r="C14321" s="1" t="str">
        <f>"66298933664540"</f>
        <v>66298933664540</v>
      </c>
      <c r="D14321" s="1" t="str">
        <f>"82842"</f>
        <v>82842</v>
      </c>
      <c r="E14321" s="1" t="s">
        <v>4579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</row>
    <row r="14322" spans="1:11" x14ac:dyDescent="0.2">
      <c r="A14322" s="1" t="s">
        <v>3859</v>
      </c>
      <c r="B14322" s="1" t="s">
        <v>3867</v>
      </c>
      <c r="C14322" s="1" t="str">
        <f>"66298933703780"</f>
        <v>66298933703780</v>
      </c>
      <c r="D14322" s="1" t="str">
        <f>"G309"</f>
        <v>G309</v>
      </c>
      <c r="E14322" s="1" t="s">
        <v>4579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</row>
    <row r="14323" spans="1:11" x14ac:dyDescent="0.2">
      <c r="A14323" s="1" t="s">
        <v>3859</v>
      </c>
      <c r="B14323" s="1" t="s">
        <v>3868</v>
      </c>
      <c r="C14323" s="1" t="str">
        <f>"RES-LATERAL"</f>
        <v>RES-LATERAL</v>
      </c>
      <c r="D14323" s="1" t="str">
        <f>"RES-LATERAL"</f>
        <v>RES-LATERAL</v>
      </c>
      <c r="E14323" s="1" t="s">
        <v>4579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</row>
    <row r="14324" spans="1:11" x14ac:dyDescent="0.2">
      <c r="A14324" s="1" t="s">
        <v>3859</v>
      </c>
      <c r="B14324" s="1" t="s">
        <v>3869</v>
      </c>
      <c r="C14324" s="1" t="str">
        <f>"66298933748622"</f>
        <v>66298933748622</v>
      </c>
      <c r="D14324" s="1" t="str">
        <f>"G301"</f>
        <v>G301</v>
      </c>
      <c r="E14324" s="1" t="s">
        <v>4579</v>
      </c>
      <c r="F14324" s="1">
        <v>2</v>
      </c>
      <c r="G14324" s="1">
        <v>378</v>
      </c>
      <c r="H14324" s="1">
        <v>756</v>
      </c>
      <c r="I14324" s="1">
        <v>0</v>
      </c>
      <c r="J14324" s="1">
        <v>2</v>
      </c>
      <c r="K14324" s="1">
        <v>0</v>
      </c>
    </row>
    <row r="14325" spans="1:11" x14ac:dyDescent="0.2">
      <c r="A14325" s="1" t="s">
        <v>3859</v>
      </c>
      <c r="B14325" s="1" t="s">
        <v>3870</v>
      </c>
      <c r="C14325" s="1" t="str">
        <f>"66298933788546"</f>
        <v>66298933788546</v>
      </c>
      <c r="D14325" s="1" t="str">
        <f>"90506-35816GY"</f>
        <v>90506-35816GY</v>
      </c>
      <c r="E14325" s="1" t="s">
        <v>4579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</row>
    <row r="14326" spans="1:11" x14ac:dyDescent="0.2">
      <c r="A14326" s="1" t="s">
        <v>3859</v>
      </c>
      <c r="B14326" s="1" t="s">
        <v>3871</v>
      </c>
      <c r="C14326" s="1" t="str">
        <f>"RES-CENTRAL"</f>
        <v>RES-CENTRAL</v>
      </c>
      <c r="D14326" s="1" t="str">
        <f>"RES-CENTRAL"</f>
        <v>RES-CENTRAL</v>
      </c>
      <c r="E14326" s="1" t="s">
        <v>4579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</row>
    <row r="14327" spans="1:11" x14ac:dyDescent="0.2">
      <c r="A14327" s="1" t="s">
        <v>3859</v>
      </c>
      <c r="B14327" s="1" t="s">
        <v>3872</v>
      </c>
      <c r="C14327" s="1" t="str">
        <f>"66298933826173"</f>
        <v>66298933826173</v>
      </c>
      <c r="D14327" s="1" t="str">
        <f>"G304"</f>
        <v>G304</v>
      </c>
      <c r="E14327" s="1" t="s">
        <v>4579</v>
      </c>
      <c r="F14327" s="1">
        <v>3</v>
      </c>
      <c r="G14327" s="1">
        <v>326.67</v>
      </c>
      <c r="H14327" s="1">
        <v>980</v>
      </c>
      <c r="I14327" s="1">
        <v>0</v>
      </c>
      <c r="J14327" s="1">
        <v>3</v>
      </c>
      <c r="K14327" s="1">
        <v>0</v>
      </c>
    </row>
    <row r="14328" spans="1:11" x14ac:dyDescent="0.2">
      <c r="A14328" s="1" t="s">
        <v>3859</v>
      </c>
      <c r="B14328" s="1" t="s">
        <v>3873</v>
      </c>
      <c r="C14328" s="1" t="str">
        <f>"66298933868267"</f>
        <v>66298933868267</v>
      </c>
      <c r="D14328" s="1" t="str">
        <f>"90506-23807GY"</f>
        <v>90506-23807GY</v>
      </c>
      <c r="E14328" s="1" t="s">
        <v>4579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</row>
    <row r="14329" spans="1:11" x14ac:dyDescent="0.2">
      <c r="A14329" s="1" t="s">
        <v>3859</v>
      </c>
      <c r="B14329" s="1" t="s">
        <v>3874</v>
      </c>
      <c r="C14329" s="1" t="str">
        <f>"66298933910273"</f>
        <v>66298933910273</v>
      </c>
      <c r="D14329" s="1" t="str">
        <f>"90506-16034"</f>
        <v>90506-16034</v>
      </c>
      <c r="E14329" s="1" t="s">
        <v>4579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</row>
    <row r="14330" spans="1:11" x14ac:dyDescent="0.2">
      <c r="A14330" s="1" t="s">
        <v>3859</v>
      </c>
      <c r="B14330" s="1" t="s">
        <v>3875</v>
      </c>
      <c r="C14330" s="1" t="str">
        <f>"66298933952653"</f>
        <v>66298933952653</v>
      </c>
      <c r="D14330" s="1" t="str">
        <f>"43151-110-000"</f>
        <v>43151-110-000</v>
      </c>
      <c r="E14330" s="1" t="s">
        <v>4579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</row>
    <row r="14331" spans="1:11" x14ac:dyDescent="0.2">
      <c r="A14331" s="1" t="s">
        <v>3859</v>
      </c>
      <c r="B14331" s="1" t="s">
        <v>3876</v>
      </c>
      <c r="C14331" s="1" t="str">
        <f>"66298933997383"</f>
        <v>66298933997383</v>
      </c>
      <c r="D14331" s="1" t="str">
        <f>"90506-YBR125"</f>
        <v>90506-YBR125</v>
      </c>
      <c r="E14331" s="1" t="s">
        <v>4579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</row>
    <row r="14332" spans="1:11" x14ac:dyDescent="0.2">
      <c r="A14332" s="1" t="s">
        <v>3859</v>
      </c>
      <c r="B14332" s="1" t="s">
        <v>3877</v>
      </c>
      <c r="C14332" s="1" t="str">
        <f>"66298934040925"</f>
        <v>66298934040925</v>
      </c>
      <c r="D14332" s="1" t="str">
        <f>"G312"</f>
        <v>G312</v>
      </c>
      <c r="E14332" s="1" t="s">
        <v>4579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</row>
    <row r="14333" spans="1:11" x14ac:dyDescent="0.2">
      <c r="A14333" s="1" t="s">
        <v>3859</v>
      </c>
      <c r="B14333" s="1" t="s">
        <v>3878</v>
      </c>
      <c r="C14333" s="1" t="str">
        <f>"66298934080750"</f>
        <v>66298934080750</v>
      </c>
      <c r="D14333" s="1" t="str">
        <f>"DH-1910-06"</f>
        <v>DH-1910-06</v>
      </c>
      <c r="E14333" s="1" t="s">
        <v>4579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</row>
    <row r="14334" spans="1:11" x14ac:dyDescent="0.2">
      <c r="A14334" s="1" t="s">
        <v>3859</v>
      </c>
      <c r="B14334" s="1" t="s">
        <v>3879</v>
      </c>
      <c r="C14334" s="1" t="str">
        <f>"RES-PEFRENO"</f>
        <v>RES-PEFRENO</v>
      </c>
      <c r="D14334" s="1" t="str">
        <f>"RES-PEFRENO"</f>
        <v>RES-PEFRENO</v>
      </c>
      <c r="E14334" s="1" t="s">
        <v>4579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</row>
    <row r="14335" spans="1:11" x14ac:dyDescent="0.2">
      <c r="A14335" s="1" t="s">
        <v>3859</v>
      </c>
      <c r="B14335" s="1" t="s">
        <v>3880</v>
      </c>
      <c r="C14335" s="1" t="str">
        <f>"66298934124178"</f>
        <v>66298934124178</v>
      </c>
      <c r="D14335" s="1" t="str">
        <f>"G314"</f>
        <v>G314</v>
      </c>
      <c r="E14335" s="1" t="s">
        <v>4579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</row>
    <row r="14336" spans="1:11" x14ac:dyDescent="0.2">
      <c r="A14336" s="1" t="s">
        <v>3859</v>
      </c>
      <c r="B14336" s="1" t="s">
        <v>3881</v>
      </c>
      <c r="C14336" s="1" t="str">
        <f>"66298934166758"</f>
        <v>66298934166758</v>
      </c>
      <c r="D14336" s="1" t="str">
        <f>"G313"</f>
        <v>G313</v>
      </c>
      <c r="E14336" s="1" t="s">
        <v>4579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</row>
    <row r="14337" spans="1:11" x14ac:dyDescent="0.2">
      <c r="A14337" s="1" t="s">
        <v>3859</v>
      </c>
      <c r="B14337" s="1" t="s">
        <v>3882</v>
      </c>
      <c r="C14337" s="1" t="str">
        <f>"66298934223891"</f>
        <v>66298934223891</v>
      </c>
      <c r="D14337" s="1" t="str">
        <f>"11518"</f>
        <v>11518</v>
      </c>
      <c r="E14337" s="1" t="s">
        <v>4579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</row>
    <row r="14338" spans="1:11" x14ac:dyDescent="0.2">
      <c r="A14338" s="1" t="s">
        <v>3859</v>
      </c>
      <c r="B14338" s="1" t="s">
        <v>3883</v>
      </c>
      <c r="C14338" s="1" t="str">
        <f>"66298934267074"</f>
        <v>66298934267074</v>
      </c>
      <c r="D14338" s="1" t="str">
        <f>"11519"</f>
        <v>11519</v>
      </c>
      <c r="E14338" s="1" t="s">
        <v>4579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</row>
    <row r="14339" spans="1:11" x14ac:dyDescent="0.2">
      <c r="A14339" s="1" t="s">
        <v>3859</v>
      </c>
      <c r="B14339" s="1" t="s">
        <v>3884</v>
      </c>
      <c r="C14339" s="1" t="str">
        <f>"66298934311527"</f>
        <v>66298934311527</v>
      </c>
      <c r="D14339" s="1" t="str">
        <f>"90501-10245"</f>
        <v>90501-10245</v>
      </c>
      <c r="E14339" s="1" t="s">
        <v>4579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</row>
    <row r="14340" spans="1:11" x14ac:dyDescent="0.2">
      <c r="A14340" s="1" t="s">
        <v>3859</v>
      </c>
      <c r="B14340" s="1" t="s">
        <v>3885</v>
      </c>
      <c r="C14340" s="1" t="str">
        <f>"66298934353393"</f>
        <v>66298934353393</v>
      </c>
      <c r="D14340" s="1" t="str">
        <f>"83015"</f>
        <v>83015</v>
      </c>
      <c r="E14340" s="1" t="s">
        <v>4579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</row>
    <row r="14341" spans="1:11" x14ac:dyDescent="0.2">
      <c r="A14341" s="1" t="s">
        <v>3859</v>
      </c>
      <c r="B14341" s="1" t="s">
        <v>3886</v>
      </c>
      <c r="C14341" s="1" t="str">
        <f>"66298934399034"</f>
        <v>66298934399034</v>
      </c>
      <c r="D14341" s="1" t="str">
        <f>"36-JL00-11"</f>
        <v>36-JL00-11</v>
      </c>
      <c r="E14341" s="1" t="s">
        <v>4579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</row>
    <row r="14342" spans="1:11" x14ac:dyDescent="0.2">
      <c r="A14342" s="1" t="s">
        <v>3887</v>
      </c>
      <c r="B14342" s="1" t="s">
        <v>3888</v>
      </c>
      <c r="C14342" s="1" t="str">
        <f>"66298936682557"</f>
        <v>66298936682557</v>
      </c>
      <c r="D14342" s="1" t="str">
        <f>"93109-08058JP"</f>
        <v>93109-08058JP</v>
      </c>
      <c r="E14342" s="1" t="s">
        <v>4579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</row>
    <row r="14343" spans="1:11" x14ac:dyDescent="0.2">
      <c r="A14343" s="1" t="s">
        <v>3887</v>
      </c>
      <c r="B14343" s="1" t="s">
        <v>3889</v>
      </c>
      <c r="C14343" s="1" t="str">
        <f>"66298936723811"</f>
        <v>66298936723811</v>
      </c>
      <c r="D14343" s="1" t="str">
        <f>"91204-MB0-013JP"</f>
        <v>91204-MB0-013JP</v>
      </c>
      <c r="E14343" s="1" t="s">
        <v>4579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</row>
    <row r="14344" spans="1:11" x14ac:dyDescent="0.2">
      <c r="A14344" s="1" t="s">
        <v>3887</v>
      </c>
      <c r="B14344" s="1" t="s">
        <v>3890</v>
      </c>
      <c r="C14344" s="1" t="str">
        <f>"66298936847598"</f>
        <v>66298936847598</v>
      </c>
      <c r="D14344" s="1" t="str">
        <f>"09282-10012"</f>
        <v>09282-10012</v>
      </c>
      <c r="E14344" s="1" t="s">
        <v>4579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</row>
    <row r="14345" spans="1:11" x14ac:dyDescent="0.2">
      <c r="A14345" s="1" t="s">
        <v>3887</v>
      </c>
      <c r="B14345" s="1" t="s">
        <v>3891</v>
      </c>
      <c r="C14345" s="1" t="str">
        <f>"66298936805151"</f>
        <v>66298936805151</v>
      </c>
      <c r="D14345" s="1" t="str">
        <f>"40R055"</f>
        <v>40R055</v>
      </c>
      <c r="E14345" s="1" t="s">
        <v>4579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</row>
    <row r="14346" spans="1:11" x14ac:dyDescent="0.2">
      <c r="A14346" s="1" t="s">
        <v>3887</v>
      </c>
      <c r="B14346" s="1" t="s">
        <v>3892</v>
      </c>
      <c r="C14346" s="1" t="str">
        <f>"93103-10147JP"</f>
        <v>93103-10147JP</v>
      </c>
      <c r="D14346" s="1" t="str">
        <f>"93103-10147JP"</f>
        <v>93103-10147JP</v>
      </c>
      <c r="E14346" s="1" t="s">
        <v>4579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</row>
    <row r="14347" spans="1:11" x14ac:dyDescent="0.2">
      <c r="A14347" s="1" t="s">
        <v>3887</v>
      </c>
      <c r="B14347" s="1" t="s">
        <v>3893</v>
      </c>
      <c r="C14347" s="1" t="str">
        <f>"66298934844875"</f>
        <v>66298934844875</v>
      </c>
      <c r="D14347" s="1" t="str">
        <f>"11-25-7"</f>
        <v>11-25-7</v>
      </c>
      <c r="E14347" s="1" t="s">
        <v>4579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</row>
    <row r="14348" spans="1:11" x14ac:dyDescent="0.2">
      <c r="A14348" s="1" t="s">
        <v>3887</v>
      </c>
      <c r="B14348" s="1" t="s">
        <v>3894</v>
      </c>
      <c r="C14348" s="1" t="str">
        <f>"66298934887940"</f>
        <v>66298934887940</v>
      </c>
      <c r="D14348" s="1" t="str">
        <f>"91211-KRN-671GH"</f>
        <v>91211-KRN-671GH</v>
      </c>
      <c r="E14348" s="1" t="s">
        <v>4579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</row>
    <row r="14349" spans="1:11" x14ac:dyDescent="0.2">
      <c r="A14349" s="1" t="s">
        <v>3887</v>
      </c>
      <c r="B14349" s="1" t="s">
        <v>3895</v>
      </c>
      <c r="C14349" s="1" t="str">
        <f>"66298935625499"</f>
        <v>66298935625499</v>
      </c>
      <c r="D14349" s="1" t="str">
        <f>"91205-KF0-003JP"</f>
        <v>91205-KF0-003JP</v>
      </c>
      <c r="E14349" s="1" t="s">
        <v>4579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</row>
    <row r="14350" spans="1:11" x14ac:dyDescent="0.2">
      <c r="A14350" s="1" t="s">
        <v>3887</v>
      </c>
      <c r="B14350" s="1" t="s">
        <v>3896</v>
      </c>
      <c r="C14350" s="1" t="str">
        <f>"66298935663697"</f>
        <v>66298935663697</v>
      </c>
      <c r="D14350" s="1" t="str">
        <f>"39-1041-19"</f>
        <v>39-1041-19</v>
      </c>
      <c r="E14350" s="1" t="s">
        <v>4579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</row>
    <row r="14351" spans="1:11" x14ac:dyDescent="0.2">
      <c r="A14351" s="1" t="s">
        <v>3887</v>
      </c>
      <c r="B14351" s="1" t="s">
        <v>3897</v>
      </c>
      <c r="C14351" s="1" t="str">
        <f>"91201-035-015JP"</f>
        <v>91201-035-015JP</v>
      </c>
      <c r="D14351" s="1" t="str">
        <f>"91201-035-015JP"</f>
        <v>91201-035-015JP</v>
      </c>
      <c r="E14351" s="1" t="s">
        <v>4579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</row>
    <row r="14352" spans="1:11" x14ac:dyDescent="0.2">
      <c r="A14352" s="1" t="s">
        <v>3887</v>
      </c>
      <c r="B14352" s="1" t="s">
        <v>3898</v>
      </c>
      <c r="C14352" s="1" t="str">
        <f>"66298936891207"</f>
        <v>66298936891207</v>
      </c>
      <c r="D14352" s="1" t="str">
        <f>"91201-148-003JP"</f>
        <v>91201-148-003JP</v>
      </c>
      <c r="E14352" s="1" t="s">
        <v>4579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</row>
    <row r="14353" spans="1:11" x14ac:dyDescent="0.2">
      <c r="A14353" s="1" t="s">
        <v>3887</v>
      </c>
      <c r="B14353" s="1" t="s">
        <v>3899</v>
      </c>
      <c r="C14353" s="1" t="str">
        <f>"RE-12-22-5"</f>
        <v>RE-12-22-5</v>
      </c>
      <c r="D14353" s="1" t="str">
        <f>"RE-12-22-5"</f>
        <v>RE-12-22-5</v>
      </c>
      <c r="E14353" s="1" t="s">
        <v>4579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</row>
    <row r="14354" spans="1:11" x14ac:dyDescent="0.2">
      <c r="A14354" s="1" t="s">
        <v>3887</v>
      </c>
      <c r="B14354" s="1" t="s">
        <v>3900</v>
      </c>
      <c r="C14354" s="1" t="str">
        <f>"66298934442994"</f>
        <v>66298934442994</v>
      </c>
      <c r="D14354" s="1" t="str">
        <f>"93102-12321GY"</f>
        <v>93102-12321GY</v>
      </c>
      <c r="E14354" s="1" t="s">
        <v>4579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</row>
    <row r="14355" spans="1:11" x14ac:dyDescent="0.2">
      <c r="A14355" s="1" t="s">
        <v>3887</v>
      </c>
      <c r="B14355" s="1" t="s">
        <v>3901</v>
      </c>
      <c r="C14355" s="1" t="str">
        <f>"66298935703696"</f>
        <v>66298935703696</v>
      </c>
      <c r="D14355" s="1" t="str">
        <f>"09285-14001"</f>
        <v>09285-14001</v>
      </c>
      <c r="E14355" s="1" t="s">
        <v>4579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</row>
    <row r="14356" spans="1:11" x14ac:dyDescent="0.2">
      <c r="A14356" s="1" t="s">
        <v>3887</v>
      </c>
      <c r="B14356" s="1" t="s">
        <v>3902</v>
      </c>
      <c r="C14356" s="1" t="str">
        <f>"66298936942471"</f>
        <v>66298936942471</v>
      </c>
      <c r="D14356" s="1" t="str">
        <f>"93104-14004JP"</f>
        <v>93104-14004JP</v>
      </c>
      <c r="E14356" s="1" t="s">
        <v>4579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</row>
    <row r="14357" spans="1:11" x14ac:dyDescent="0.2">
      <c r="A14357" s="1" t="s">
        <v>3887</v>
      </c>
      <c r="B14357" s="1" t="s">
        <v>3903</v>
      </c>
      <c r="C14357" s="1" t="str">
        <f>"66298935791563"</f>
        <v>66298935791563</v>
      </c>
      <c r="D14357" s="1" t="str">
        <f>"91202-107-003"</f>
        <v>91202-107-003</v>
      </c>
      <c r="E14357" s="1" t="s">
        <v>4579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</row>
    <row r="14358" spans="1:11" x14ac:dyDescent="0.2">
      <c r="A14358" s="1" t="s">
        <v>3887</v>
      </c>
      <c r="B14358" s="1" t="s">
        <v>3904</v>
      </c>
      <c r="C14358" s="1" t="str">
        <f>"66298936994932"</f>
        <v>66298936994932</v>
      </c>
      <c r="D14358" s="1" t="str">
        <f>"16-28-7"</f>
        <v>16-28-7</v>
      </c>
      <c r="E14358" s="1" t="s">
        <v>4579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</row>
    <row r="14359" spans="1:11" x14ac:dyDescent="0.2">
      <c r="A14359" s="1" t="s">
        <v>3887</v>
      </c>
      <c r="B14359" s="1" t="s">
        <v>3904</v>
      </c>
      <c r="C14359" s="1" t="str">
        <f>"66298937000368"</f>
        <v>66298937000368</v>
      </c>
      <c r="D14359" s="1" t="str">
        <f>"40R012"</f>
        <v>40R012</v>
      </c>
      <c r="E14359" s="1" t="s">
        <v>4579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</row>
    <row r="14360" spans="1:11" x14ac:dyDescent="0.2">
      <c r="A14360" s="1" t="s">
        <v>3887</v>
      </c>
      <c r="B14360" s="1" t="s">
        <v>3904</v>
      </c>
      <c r="C14360" s="1" t="str">
        <f>"66298937007058"</f>
        <v>66298937007058</v>
      </c>
      <c r="D14360" s="1" t="str">
        <f>"91204-259-003"</f>
        <v>91204-259-003</v>
      </c>
      <c r="E14360" s="1" t="s">
        <v>4579</v>
      </c>
      <c r="F14360" s="1">
        <v>1</v>
      </c>
      <c r="G14360" s="1">
        <v>189</v>
      </c>
      <c r="H14360" s="1">
        <v>189</v>
      </c>
      <c r="I14360" s="1">
        <v>0</v>
      </c>
      <c r="J14360" s="1">
        <v>1</v>
      </c>
      <c r="K14360" s="1">
        <v>0</v>
      </c>
    </row>
    <row r="14361" spans="1:11" x14ac:dyDescent="0.2">
      <c r="A14361" s="1" t="s">
        <v>3887</v>
      </c>
      <c r="B14361" s="1" t="s">
        <v>3905</v>
      </c>
      <c r="C14361" s="1" t="str">
        <f>"66298935749412"</f>
        <v>66298935749412</v>
      </c>
      <c r="D14361" s="1" t="str">
        <f>"91205-KA3-712GH"</f>
        <v>91205-KA3-712GH</v>
      </c>
      <c r="E14361" s="1" t="s">
        <v>4579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</row>
    <row r="14362" spans="1:11" x14ac:dyDescent="0.2">
      <c r="A14362" s="1" t="s">
        <v>3887</v>
      </c>
      <c r="B14362" s="1" t="s">
        <v>3906</v>
      </c>
      <c r="C14362" s="1" t="str">
        <f>"66298934485923"</f>
        <v>66298934485923</v>
      </c>
      <c r="D14362" s="1" t="str">
        <f>"293"</f>
        <v>293</v>
      </c>
      <c r="E14362" s="1" t="s">
        <v>4579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</row>
    <row r="14363" spans="1:11" x14ac:dyDescent="0.2">
      <c r="A14363" s="1" t="s">
        <v>3887</v>
      </c>
      <c r="B14363" s="1" t="s">
        <v>3907</v>
      </c>
      <c r="C14363" s="1" t="str">
        <f>"66298936763636"</f>
        <v>66298936763636</v>
      </c>
      <c r="D14363" s="1" t="str">
        <f>"18,9-28-5"</f>
        <v>18,9-28-5</v>
      </c>
      <c r="E14363" s="1" t="s">
        <v>4579</v>
      </c>
      <c r="F14363" s="1">
        <v>2</v>
      </c>
      <c r="G14363" s="1">
        <v>270</v>
      </c>
      <c r="H14363" s="1">
        <v>540</v>
      </c>
      <c r="I14363" s="1">
        <v>0</v>
      </c>
      <c r="J14363" s="1">
        <v>2</v>
      </c>
      <c r="K14363" s="1">
        <v>0</v>
      </c>
    </row>
    <row r="14364" spans="1:11" x14ac:dyDescent="0.2">
      <c r="A14364" s="1" t="s">
        <v>3887</v>
      </c>
      <c r="B14364" s="1" t="s">
        <v>3908</v>
      </c>
      <c r="C14364" s="1" t="str">
        <f>"66298935063753"</f>
        <v>66298935063753</v>
      </c>
      <c r="D14364" s="1" t="str">
        <f>"91202-GE0-005JP"</f>
        <v>91202-GE0-005JP</v>
      </c>
      <c r="E14364" s="1" t="s">
        <v>4579</v>
      </c>
      <c r="F14364" s="1">
        <v>2</v>
      </c>
      <c r="G14364" s="1">
        <v>267</v>
      </c>
      <c r="H14364" s="1">
        <v>534</v>
      </c>
      <c r="I14364" s="1">
        <v>0</v>
      </c>
      <c r="J14364" s="1">
        <v>2</v>
      </c>
      <c r="K14364" s="1">
        <v>0</v>
      </c>
    </row>
    <row r="14365" spans="1:11" x14ac:dyDescent="0.2">
      <c r="A14365" s="1" t="s">
        <v>3887</v>
      </c>
      <c r="B14365" s="1" t="s">
        <v>3909</v>
      </c>
      <c r="C14365" s="1" t="str">
        <f>"66298935104172"</f>
        <v>66298935104172</v>
      </c>
      <c r="D14365" s="1" t="str">
        <f>"91202-035-000"</f>
        <v>91202-035-000</v>
      </c>
      <c r="E14365" s="1" t="s">
        <v>4579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</row>
    <row r="14366" spans="1:11" x14ac:dyDescent="0.2">
      <c r="A14366" s="1" t="s">
        <v>3887</v>
      </c>
      <c r="B14366" s="1" t="s">
        <v>3910</v>
      </c>
      <c r="C14366" s="1" t="str">
        <f>"66298937077632"</f>
        <v>66298937077632</v>
      </c>
      <c r="D14366" s="1" t="str">
        <f>"40R087"</f>
        <v>40R087</v>
      </c>
      <c r="E14366" s="1" t="s">
        <v>4579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</row>
    <row r="14367" spans="1:11" x14ac:dyDescent="0.2">
      <c r="A14367" s="1" t="s">
        <v>3887</v>
      </c>
      <c r="B14367" s="1" t="s">
        <v>3910</v>
      </c>
      <c r="C14367" s="1" t="str">
        <f>"66298937119173"</f>
        <v>66298937119173</v>
      </c>
      <c r="D14367" s="1" t="str">
        <f>"93102-20309JP"</f>
        <v>93102-20309JP</v>
      </c>
      <c r="E14367" s="1" t="s">
        <v>4579</v>
      </c>
      <c r="F14367" s="1">
        <v>2</v>
      </c>
      <c r="G14367" s="1">
        <v>1528</v>
      </c>
      <c r="H14367" s="1">
        <v>3056</v>
      </c>
      <c r="I14367" s="1">
        <v>0</v>
      </c>
      <c r="J14367" s="1">
        <v>2</v>
      </c>
      <c r="K14367" s="1">
        <v>0</v>
      </c>
    </row>
    <row r="14368" spans="1:11" x14ac:dyDescent="0.2">
      <c r="A14368" s="1" t="s">
        <v>3887</v>
      </c>
      <c r="B14368" s="1" t="s">
        <v>3911</v>
      </c>
      <c r="C14368" s="1" t="str">
        <f>"66298935148696"</f>
        <v>66298935148696</v>
      </c>
      <c r="D14368" s="1" t="str">
        <f>"93101-20169JP"</f>
        <v>93101-20169JP</v>
      </c>
      <c r="E14368" s="1" t="s">
        <v>4579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</row>
    <row r="14369" spans="1:11" x14ac:dyDescent="0.2">
      <c r="A14369" s="1" t="s">
        <v>3887</v>
      </c>
      <c r="B14369" s="1" t="s">
        <v>3912</v>
      </c>
      <c r="C14369" s="1" t="str">
        <f>"66298934932117"</f>
        <v>66298934932117</v>
      </c>
      <c r="D14369" s="1" t="str">
        <f>"09282-20005"</f>
        <v>09282-20005</v>
      </c>
      <c r="E14369" s="1" t="s">
        <v>4579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</row>
    <row r="14370" spans="1:11" x14ac:dyDescent="0.2">
      <c r="A14370" s="1" t="s">
        <v>3887</v>
      </c>
      <c r="B14370" s="1" t="s">
        <v>3913</v>
      </c>
      <c r="C14370" s="1" t="str">
        <f>"66298937159267"</f>
        <v>66298937159267</v>
      </c>
      <c r="D14370" s="1" t="str">
        <f>"91201-KK0-005JP"</f>
        <v>91201-KK0-005JP</v>
      </c>
      <c r="E14370" s="1" t="s">
        <v>4579</v>
      </c>
      <c r="F14370" s="1">
        <v>2</v>
      </c>
      <c r="G14370" s="1">
        <v>2545</v>
      </c>
      <c r="H14370" s="1">
        <v>5090</v>
      </c>
      <c r="I14370" s="1">
        <v>0</v>
      </c>
      <c r="J14370" s="1">
        <v>2</v>
      </c>
      <c r="K14370" s="1">
        <v>0</v>
      </c>
    </row>
    <row r="14371" spans="1:11" x14ac:dyDescent="0.2">
      <c r="A14371" s="1" t="s">
        <v>3887</v>
      </c>
      <c r="B14371" s="1" t="s">
        <v>3914</v>
      </c>
      <c r="C14371" s="1" t="str">
        <f>"66298934529672"</f>
        <v>66298934529672</v>
      </c>
      <c r="D14371" s="1" t="str">
        <f>"5535"</f>
        <v>5535</v>
      </c>
      <c r="E14371" s="1" t="s">
        <v>4579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</row>
    <row r="14372" spans="1:11" x14ac:dyDescent="0.2">
      <c r="A14372" s="1" t="s">
        <v>3887</v>
      </c>
      <c r="B14372" s="1" t="s">
        <v>3915</v>
      </c>
      <c r="C14372" s="1" t="str">
        <f>"93102-20143JP"</f>
        <v>93102-20143JP</v>
      </c>
      <c r="D14372" s="1" t="str">
        <f>"93102-20143JP"</f>
        <v>93102-20143JP</v>
      </c>
      <c r="E14372" s="1" t="s">
        <v>4579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</row>
    <row r="14373" spans="1:11" x14ac:dyDescent="0.2">
      <c r="A14373" s="1" t="s">
        <v>3887</v>
      </c>
      <c r="B14373" s="1" t="s">
        <v>3916</v>
      </c>
      <c r="C14373" s="1" t="str">
        <f>"66298934597248"</f>
        <v>66298934597248</v>
      </c>
      <c r="D14373" s="1" t="str">
        <f>"5092"</f>
        <v>5092</v>
      </c>
      <c r="E14373" s="1" t="s">
        <v>4579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</row>
    <row r="14374" spans="1:11" x14ac:dyDescent="0.2">
      <c r="A14374" s="1" t="s">
        <v>3887</v>
      </c>
      <c r="B14374" s="1" t="s">
        <v>3917</v>
      </c>
      <c r="C14374" s="1" t="str">
        <f>"66298937200186"</f>
        <v>66298937200186</v>
      </c>
      <c r="D14374" s="1" t="str">
        <f>"91201-KCZ-003JP"</f>
        <v>91201-KCZ-003JP</v>
      </c>
      <c r="E14374" s="1" t="s">
        <v>4579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</row>
    <row r="14375" spans="1:11" x14ac:dyDescent="0.2">
      <c r="A14375" s="1" t="s">
        <v>3887</v>
      </c>
      <c r="B14375" s="1" t="s">
        <v>3918</v>
      </c>
      <c r="C14375" s="1" t="str">
        <f>"66298934979946"</f>
        <v>66298934979946</v>
      </c>
      <c r="D14375" s="1" t="str">
        <f>"93102-22464JP"</f>
        <v>93102-22464JP</v>
      </c>
      <c r="E14375" s="1" t="s">
        <v>4579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</row>
    <row r="14376" spans="1:11" x14ac:dyDescent="0.2">
      <c r="A14376" s="1" t="s">
        <v>3887</v>
      </c>
      <c r="B14376" s="1" t="s">
        <v>3919</v>
      </c>
      <c r="C14376" s="1" t="str">
        <f>"66298934636995"</f>
        <v>66298934636995</v>
      </c>
      <c r="D14376" s="1" t="str">
        <f>"5221"</f>
        <v>5221</v>
      </c>
      <c r="E14376" s="1" t="s">
        <v>4579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</row>
    <row r="14377" spans="1:11" x14ac:dyDescent="0.2">
      <c r="A14377" s="1" t="s">
        <v>3887</v>
      </c>
      <c r="B14377" s="1" t="s">
        <v>3920</v>
      </c>
      <c r="C14377" s="1" t="str">
        <f>"66298937237980"</f>
        <v>66298937237980</v>
      </c>
      <c r="D14377" s="1" t="str">
        <f>"93102-25270JP"</f>
        <v>93102-25270JP</v>
      </c>
      <c r="E14377" s="1" t="s">
        <v>4579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</row>
    <row r="14378" spans="1:11" x14ac:dyDescent="0.2">
      <c r="A14378" s="1" t="s">
        <v>3887</v>
      </c>
      <c r="B14378" s="1" t="s">
        <v>3921</v>
      </c>
      <c r="C14378" s="1" t="str">
        <f>"66298935020735"</f>
        <v>66298935020735</v>
      </c>
      <c r="D14378" s="1" t="str">
        <f>"62220"</f>
        <v>62220</v>
      </c>
      <c r="E14378" s="1" t="s">
        <v>4579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</row>
    <row r="14379" spans="1:11" x14ac:dyDescent="0.2">
      <c r="A14379" s="1" t="s">
        <v>3887</v>
      </c>
      <c r="B14379" s="1" t="s">
        <v>3922</v>
      </c>
      <c r="C14379" s="1" t="str">
        <f>"66298935189969"</f>
        <v>66298935189969</v>
      </c>
      <c r="D14379" s="1" t="str">
        <f>"653B-25407JP"</f>
        <v>653B-25407JP</v>
      </c>
      <c r="E14379" s="1" t="s">
        <v>4579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</row>
    <row r="14380" spans="1:11" x14ac:dyDescent="0.2">
      <c r="A14380" s="1" t="s">
        <v>3887</v>
      </c>
      <c r="B14380" s="1" t="s">
        <v>3923</v>
      </c>
      <c r="C14380" s="1" t="str">
        <f>"66298935232901"</f>
        <v>66298935232901</v>
      </c>
      <c r="D14380" s="1" t="str">
        <f>"93102-25061JP"</f>
        <v>93102-25061JP</v>
      </c>
      <c r="E14380" s="1" t="s">
        <v>4579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</row>
    <row r="14381" spans="1:11" x14ac:dyDescent="0.2">
      <c r="A14381" s="1" t="s">
        <v>3887</v>
      </c>
      <c r="B14381" s="1" t="s">
        <v>3924</v>
      </c>
      <c r="C14381" s="1" t="str">
        <f>"66298935277588"</f>
        <v>66298935277588</v>
      </c>
      <c r="D14381" s="1" t="str">
        <f>"93102-25331JP"</f>
        <v>93102-25331JP</v>
      </c>
      <c r="E14381" s="1" t="s">
        <v>4579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</row>
    <row r="14382" spans="1:11" x14ac:dyDescent="0.2">
      <c r="A14382" s="1" t="s">
        <v>3887</v>
      </c>
      <c r="B14382" s="1" t="s">
        <v>3925</v>
      </c>
      <c r="C14382" s="1" t="str">
        <f>"66298937279436"</f>
        <v>66298937279436</v>
      </c>
      <c r="D14382" s="1" t="str">
        <f>"91204-MG3-003JP"</f>
        <v>91204-MG3-003JP</v>
      </c>
      <c r="E14382" s="1" t="s">
        <v>4579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</row>
    <row r="14383" spans="1:11" x14ac:dyDescent="0.2">
      <c r="A14383" s="1" t="s">
        <v>3887</v>
      </c>
      <c r="B14383" s="1" t="s">
        <v>3926</v>
      </c>
      <c r="C14383" s="1" t="str">
        <f>"66298934676510"</f>
        <v>66298934676510</v>
      </c>
      <c r="D14383" s="1" t="str">
        <f>"5310"</f>
        <v>5310</v>
      </c>
      <c r="E14383" s="1" t="s">
        <v>4579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</row>
    <row r="14384" spans="1:11" x14ac:dyDescent="0.2">
      <c r="A14384" s="1" t="s">
        <v>3887</v>
      </c>
      <c r="B14384" s="1" t="s">
        <v>3927</v>
      </c>
      <c r="C14384" s="1" t="str">
        <f>"66298937322806"</f>
        <v>66298937322806</v>
      </c>
      <c r="D14384" s="1" t="str">
        <f>"26-38-5"</f>
        <v>26-38-5</v>
      </c>
      <c r="E14384" s="1" t="s">
        <v>4579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</row>
    <row r="14385" spans="1:11" x14ac:dyDescent="0.2">
      <c r="A14385" s="1" t="s">
        <v>3887</v>
      </c>
      <c r="B14385" s="1" t="s">
        <v>3928</v>
      </c>
      <c r="C14385" s="1" t="str">
        <f>"66298937360140"</f>
        <v>66298937360140</v>
      </c>
      <c r="D14385" s="1" t="str">
        <f>"93102-26042JP"</f>
        <v>93102-26042JP</v>
      </c>
      <c r="E14385" s="1" t="s">
        <v>4579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</row>
    <row r="14386" spans="1:11" x14ac:dyDescent="0.2">
      <c r="A14386" s="1" t="s">
        <v>3887</v>
      </c>
      <c r="B14386" s="1" t="s">
        <v>3929</v>
      </c>
      <c r="C14386" s="1" t="str">
        <f>"66298934716784"</f>
        <v>66298934716784</v>
      </c>
      <c r="D14386" s="1" t="str">
        <f>"5308"</f>
        <v>5308</v>
      </c>
      <c r="E14386" s="1" t="s">
        <v>4579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</row>
    <row r="14387" spans="1:11" x14ac:dyDescent="0.2">
      <c r="A14387" s="1" t="s">
        <v>3887</v>
      </c>
      <c r="B14387" s="1" t="s">
        <v>3930</v>
      </c>
      <c r="C14387" s="1" t="str">
        <f>"66298935323387"</f>
        <v>66298935323387</v>
      </c>
      <c r="D14387" s="1" t="str">
        <f>"09283-26002JP"</f>
        <v>09283-26002JP</v>
      </c>
      <c r="E14387" s="1" t="s">
        <v>4579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</row>
    <row r="14388" spans="1:11" x14ac:dyDescent="0.2">
      <c r="A14388" s="1" t="s">
        <v>3887</v>
      </c>
      <c r="B14388" s="1" t="s">
        <v>3931</v>
      </c>
      <c r="C14388" s="1" t="str">
        <f>"66298935363996"</f>
        <v>66298935363996</v>
      </c>
      <c r="D14388" s="1" t="str">
        <f>"40R015"</f>
        <v>40R015</v>
      </c>
      <c r="E14388" s="1" t="s">
        <v>4579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</row>
    <row r="14389" spans="1:11" x14ac:dyDescent="0.2">
      <c r="A14389" s="1" t="s">
        <v>3887</v>
      </c>
      <c r="B14389" s="1" t="s">
        <v>3932</v>
      </c>
      <c r="C14389" s="1" t="str">
        <f>"66298935990459"</f>
        <v>66298935990459</v>
      </c>
      <c r="D14389" s="1" t="str">
        <f>"90756-118-000"</f>
        <v>90756-118-000</v>
      </c>
      <c r="E14389" s="1" t="s">
        <v>4579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</row>
    <row r="14390" spans="1:11" x14ac:dyDescent="0.2">
      <c r="A14390" s="1" t="s">
        <v>3887</v>
      </c>
      <c r="B14390" s="1" t="s">
        <v>3933</v>
      </c>
      <c r="C14390" s="1" t="str">
        <f>"66298935952606"</f>
        <v>66298935952606</v>
      </c>
      <c r="D14390" s="1" t="str">
        <f>"276-23145-51JP"</f>
        <v>276-23145-51JP</v>
      </c>
      <c r="E14390" s="1" t="s">
        <v>4579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</row>
    <row r="14391" spans="1:11" x14ac:dyDescent="0.2">
      <c r="A14391" s="1" t="s">
        <v>3887</v>
      </c>
      <c r="B14391" s="1" t="s">
        <v>3934</v>
      </c>
      <c r="C14391" s="1" t="str">
        <f>"66298935406298"</f>
        <v>66298935406298</v>
      </c>
      <c r="D14391" s="1" t="str">
        <f>"93103-28011JP"</f>
        <v>93103-28011JP</v>
      </c>
      <c r="E14391" s="1" t="s">
        <v>4579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</row>
    <row r="14392" spans="1:11" x14ac:dyDescent="0.2">
      <c r="A14392" s="1" t="s">
        <v>3887</v>
      </c>
      <c r="B14392" s="1" t="s">
        <v>3935</v>
      </c>
      <c r="C14392" s="1" t="str">
        <f>"90765"</f>
        <v>90765</v>
      </c>
      <c r="D14392" s="1" t="str">
        <f>"90765"</f>
        <v>90765</v>
      </c>
      <c r="E14392" s="1" t="s">
        <v>4579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</row>
    <row r="14393" spans="1:11" ht="30" x14ac:dyDescent="0.2">
      <c r="A14393" s="1" t="s">
        <v>3887</v>
      </c>
      <c r="B14393" s="1" t="s">
        <v>3936</v>
      </c>
      <c r="C14393" s="1" t="str">
        <f>"66298936031908"</f>
        <v>66298936031908</v>
      </c>
      <c r="D14393" s="1" t="str">
        <f>"36L-F3145-00JP"</f>
        <v>36L-F3145-00JP</v>
      </c>
      <c r="E14393" s="1" t="s">
        <v>4579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</row>
    <row r="14394" spans="1:11" ht="30" x14ac:dyDescent="0.2">
      <c r="A14394" s="1" t="s">
        <v>3887</v>
      </c>
      <c r="B14394" s="1" t="s">
        <v>3936</v>
      </c>
      <c r="C14394" s="1" t="str">
        <f>"P40FORK455012"</f>
        <v>P40FORK455012</v>
      </c>
      <c r="D14394" s="1" t="str">
        <f>"P40FORK455012"</f>
        <v>P40FORK455012</v>
      </c>
      <c r="E14394" s="1" t="s">
        <v>4579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</row>
    <row r="14395" spans="1:11" ht="30" x14ac:dyDescent="0.2">
      <c r="A14395" s="1" t="s">
        <v>3887</v>
      </c>
      <c r="B14395" s="1" t="s">
        <v>3936</v>
      </c>
      <c r="C14395" s="1" t="str">
        <f>"40R046"</f>
        <v>40R046</v>
      </c>
      <c r="D14395" s="1" t="str">
        <f>"40R046"</f>
        <v>40R046</v>
      </c>
      <c r="E14395" s="1" t="s">
        <v>4579</v>
      </c>
      <c r="F14395" s="1">
        <v>6</v>
      </c>
      <c r="G14395" s="1">
        <v>2147</v>
      </c>
      <c r="H14395" s="1">
        <v>12882</v>
      </c>
      <c r="I14395" s="1">
        <v>0</v>
      </c>
      <c r="J14395" s="1">
        <v>6</v>
      </c>
      <c r="K14395" s="1">
        <v>0</v>
      </c>
    </row>
    <row r="14396" spans="1:11" x14ac:dyDescent="0.2">
      <c r="A14396" s="1" t="s">
        <v>3887</v>
      </c>
      <c r="B14396" s="1" t="s">
        <v>3937</v>
      </c>
      <c r="C14396" s="1" t="str">
        <f>"66298935828563"</f>
        <v>66298935828563</v>
      </c>
      <c r="D14396" s="1" t="str">
        <f>"93106-30004"</f>
        <v>93106-30004</v>
      </c>
      <c r="E14396" s="1" t="s">
        <v>4579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</row>
    <row r="14397" spans="1:11" x14ac:dyDescent="0.2">
      <c r="A14397" s="1" t="s">
        <v>3887</v>
      </c>
      <c r="B14397" s="1" t="s">
        <v>3938</v>
      </c>
      <c r="C14397" s="1" t="str">
        <f>"BR2332RTO"</f>
        <v>BR2332RTO</v>
      </c>
      <c r="D14397" s="1" t="str">
        <f>"BR2332RTO"</f>
        <v>BR2332RTO</v>
      </c>
      <c r="E14397" s="1" t="s">
        <v>4579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</row>
    <row r="14398" spans="1:11" ht="30" x14ac:dyDescent="0.2">
      <c r="A14398" s="1" t="s">
        <v>3887</v>
      </c>
      <c r="B14398" s="1" t="s">
        <v>3939</v>
      </c>
      <c r="C14398" s="1" t="str">
        <f>"CR006"</f>
        <v>CR006</v>
      </c>
      <c r="D14398" s="1" t="str">
        <f>"CR006"</f>
        <v>CR006</v>
      </c>
      <c r="E14398" s="1" t="s">
        <v>4579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</row>
    <row r="14399" spans="1:11" ht="30" x14ac:dyDescent="0.2">
      <c r="A14399" s="1" t="s">
        <v>3887</v>
      </c>
      <c r="B14399" s="1" t="s">
        <v>3939</v>
      </c>
      <c r="C14399" s="1" t="str">
        <f>"530"</f>
        <v>530</v>
      </c>
      <c r="D14399" s="1" t="str">
        <f>"530"</f>
        <v>530</v>
      </c>
      <c r="E14399" s="1" t="s">
        <v>4579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</row>
    <row r="14400" spans="1:11" ht="30" x14ac:dyDescent="0.2">
      <c r="A14400" s="1" t="s">
        <v>3887</v>
      </c>
      <c r="B14400" s="1" t="s">
        <v>3939</v>
      </c>
      <c r="C14400" s="1" t="str">
        <f>"12420"</f>
        <v>12420</v>
      </c>
      <c r="D14400" s="1" t="str">
        <f>"12420"</f>
        <v>12420</v>
      </c>
      <c r="E14400" s="1" t="s">
        <v>4579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</row>
    <row r="14401" spans="1:11" ht="30" x14ac:dyDescent="0.2">
      <c r="A14401" s="1" t="s">
        <v>3887</v>
      </c>
      <c r="B14401" s="1" t="s">
        <v>3939</v>
      </c>
      <c r="C14401" s="1" t="str">
        <f>"40R029"</f>
        <v>40R029</v>
      </c>
      <c r="D14401" s="1" t="str">
        <f>"40R029"</f>
        <v>40R029</v>
      </c>
      <c r="E14401" s="1" t="s">
        <v>4579</v>
      </c>
      <c r="F14401" s="1">
        <v>6</v>
      </c>
      <c r="G14401" s="1">
        <v>1735</v>
      </c>
      <c r="H14401" s="1">
        <v>10410</v>
      </c>
      <c r="I14401" s="1">
        <v>0</v>
      </c>
      <c r="J14401" s="1">
        <v>6</v>
      </c>
      <c r="K14401" s="1">
        <v>0</v>
      </c>
    </row>
    <row r="14402" spans="1:11" ht="30" x14ac:dyDescent="0.2">
      <c r="A14402" s="1" t="s">
        <v>3887</v>
      </c>
      <c r="B14402" s="1" t="s">
        <v>3940</v>
      </c>
      <c r="C14402" s="1" t="str">
        <f>"5656"</f>
        <v>5656</v>
      </c>
      <c r="D14402" s="1" t="str">
        <f>"5656"</f>
        <v>5656</v>
      </c>
      <c r="E14402" s="1" t="s">
        <v>4579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</row>
    <row r="14403" spans="1:11" x14ac:dyDescent="0.2">
      <c r="A14403" s="1" t="s">
        <v>3887</v>
      </c>
      <c r="B14403" s="1" t="s">
        <v>3941</v>
      </c>
      <c r="C14403" s="1" t="str">
        <f>"66298935447831"</f>
        <v>66298935447831</v>
      </c>
      <c r="D14403" s="1" t="str">
        <f>"93103-32099JP"</f>
        <v>93103-32099JP</v>
      </c>
      <c r="E14403" s="1" t="s">
        <v>4579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</row>
    <row r="14404" spans="1:11" x14ac:dyDescent="0.2">
      <c r="A14404" s="1" t="s">
        <v>3887</v>
      </c>
      <c r="B14404" s="1" t="s">
        <v>3942</v>
      </c>
      <c r="C14404" s="1" t="str">
        <f>"66298935497860"</f>
        <v>66298935497860</v>
      </c>
      <c r="D14404" s="1" t="str">
        <f>"92049-1301HB"</f>
        <v>92049-1301HB</v>
      </c>
      <c r="E14404" s="1" t="s">
        <v>4579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</row>
    <row r="14405" spans="1:11" x14ac:dyDescent="0.2">
      <c r="A14405" s="1" t="s">
        <v>3887</v>
      </c>
      <c r="B14405" s="1" t="s">
        <v>3943</v>
      </c>
      <c r="C14405" s="1" t="str">
        <f>"66298935536561"</f>
        <v>66298935536561</v>
      </c>
      <c r="D14405" s="1" t="str">
        <f>"09283-32016JP"</f>
        <v>09283-32016JP</v>
      </c>
      <c r="E14405" s="1" t="s">
        <v>4579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</row>
    <row r="14406" spans="1:11" x14ac:dyDescent="0.2">
      <c r="A14406" s="1" t="s">
        <v>3887</v>
      </c>
      <c r="B14406" s="1" t="s">
        <v>3944</v>
      </c>
      <c r="C14406" s="1" t="str">
        <f>"66298936072313"</f>
        <v>66298936072313</v>
      </c>
      <c r="D14406" s="1" t="str">
        <f>"20P-F3145-00JP"</f>
        <v>20P-F3145-00JP</v>
      </c>
      <c r="E14406" s="1" t="s">
        <v>4579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</row>
    <row r="14407" spans="1:11" x14ac:dyDescent="0.2">
      <c r="A14407" s="1" t="s">
        <v>3887</v>
      </c>
      <c r="B14407" s="1" t="s">
        <v>3945</v>
      </c>
      <c r="C14407" s="1" t="str">
        <f>"66298936120767"</f>
        <v>66298936120767</v>
      </c>
      <c r="D14407" s="1" t="str">
        <f>"40R223"</f>
        <v>40R223</v>
      </c>
      <c r="E14407" s="1" t="s">
        <v>4579</v>
      </c>
      <c r="F14407" s="1">
        <v>4</v>
      </c>
      <c r="G14407" s="1">
        <v>2324</v>
      </c>
      <c r="H14407" s="1">
        <v>9296</v>
      </c>
      <c r="I14407" s="1">
        <v>0</v>
      </c>
      <c r="J14407" s="1">
        <v>4</v>
      </c>
      <c r="K14407" s="1">
        <v>0</v>
      </c>
    </row>
    <row r="14408" spans="1:11" x14ac:dyDescent="0.2">
      <c r="A14408" s="1" t="s">
        <v>3887</v>
      </c>
      <c r="B14408" s="1" t="s">
        <v>3946</v>
      </c>
      <c r="C14408" s="1" t="str">
        <f>"P40FORK455023"</f>
        <v>P40FORK455023</v>
      </c>
      <c r="D14408" s="1" t="str">
        <f>"P40FORK455023"</f>
        <v>P40FORK455023</v>
      </c>
      <c r="E14408" s="1" t="s">
        <v>4579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</row>
    <row r="14409" spans="1:11" x14ac:dyDescent="0.2">
      <c r="A14409" s="1" t="s">
        <v>3887</v>
      </c>
      <c r="B14409" s="1" t="s">
        <v>3947</v>
      </c>
      <c r="C14409" s="1" t="str">
        <f>"66298936165004"</f>
        <v>66298936165004</v>
      </c>
      <c r="D14409" s="1" t="str">
        <f>"4C6-F3145-00JP"</f>
        <v>4C6-F3145-00JP</v>
      </c>
      <c r="E14409" s="1" t="s">
        <v>4579</v>
      </c>
      <c r="F14409" s="1">
        <v>2</v>
      </c>
      <c r="G14409" s="1">
        <v>558</v>
      </c>
      <c r="H14409" s="1">
        <v>1116</v>
      </c>
      <c r="I14409" s="1">
        <v>0</v>
      </c>
      <c r="J14409" s="1">
        <v>2</v>
      </c>
      <c r="K14409" s="1">
        <v>0</v>
      </c>
    </row>
    <row r="14410" spans="1:11" x14ac:dyDescent="0.2">
      <c r="A14410" s="1" t="s">
        <v>3887</v>
      </c>
      <c r="B14410" s="1" t="s">
        <v>3948</v>
      </c>
      <c r="C14410" s="1" t="str">
        <f>"66298935585769"</f>
        <v>66298935585769</v>
      </c>
      <c r="D14410" s="1" t="str">
        <f>"08014-34507JP"</f>
        <v>08014-34507JP</v>
      </c>
      <c r="E14410" s="1" t="s">
        <v>4579</v>
      </c>
      <c r="F14410" s="1">
        <v>2</v>
      </c>
      <c r="G14410" s="1">
        <v>355</v>
      </c>
      <c r="H14410" s="1">
        <v>710</v>
      </c>
      <c r="I14410" s="1">
        <v>0</v>
      </c>
      <c r="J14410" s="1">
        <v>2</v>
      </c>
      <c r="K14410" s="1">
        <v>0</v>
      </c>
    </row>
    <row r="14411" spans="1:11" x14ac:dyDescent="0.2">
      <c r="A14411" s="1" t="s">
        <v>3887</v>
      </c>
      <c r="B14411" s="1" t="s">
        <v>3949</v>
      </c>
      <c r="C14411" s="1" t="str">
        <f>"66298936206203"</f>
        <v>66298936206203</v>
      </c>
      <c r="D14411" s="1" t="str">
        <f>"2TW-F1345-A0JP"</f>
        <v>2TW-F1345-A0JP</v>
      </c>
      <c r="E14411" s="1" t="s">
        <v>4579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</row>
    <row r="14412" spans="1:11" x14ac:dyDescent="0.2">
      <c r="A14412" s="1" t="s">
        <v>3887</v>
      </c>
      <c r="B14412" s="1" t="s">
        <v>3950</v>
      </c>
      <c r="C14412" s="1" t="str">
        <f>"66298935868282"</f>
        <v>66298935868282</v>
      </c>
      <c r="D14412" s="1" t="str">
        <f>"91252-HA0-004GH"</f>
        <v>91252-HA0-004GH</v>
      </c>
      <c r="E14412" s="1" t="s">
        <v>4579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</row>
    <row r="14413" spans="1:11" x14ac:dyDescent="0.2">
      <c r="A14413" s="1" t="s">
        <v>3887</v>
      </c>
      <c r="B14413" s="1" t="s">
        <v>3951</v>
      </c>
      <c r="C14413" s="1" t="str">
        <f>"66298934761370"</f>
        <v>66298934761370</v>
      </c>
      <c r="D14413" s="1" t="str">
        <f>"5011"</f>
        <v>5011</v>
      </c>
      <c r="E14413" s="1" t="s">
        <v>4579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</row>
    <row r="14414" spans="1:11" x14ac:dyDescent="0.2">
      <c r="A14414" s="1" t="s">
        <v>3887</v>
      </c>
      <c r="B14414" s="1" t="s">
        <v>3952</v>
      </c>
      <c r="C14414" s="1" t="str">
        <f>"66298936247014"</f>
        <v>66298936247014</v>
      </c>
      <c r="D14414" s="1" t="str">
        <f>"1KH-23145-00"</f>
        <v>1KH-23145-00</v>
      </c>
      <c r="E14414" s="1" t="s">
        <v>4579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</row>
    <row r="14415" spans="1:11" x14ac:dyDescent="0.2">
      <c r="A14415" s="1" t="s">
        <v>3887</v>
      </c>
      <c r="B14415" s="1" t="s">
        <v>3953</v>
      </c>
      <c r="C14415" s="1" t="str">
        <f>"66298936284968"</f>
        <v>66298936284968</v>
      </c>
      <c r="D14415" s="1" t="str">
        <f>"92049-1193JP"</f>
        <v>92049-1193JP</v>
      </c>
      <c r="E14415" s="1" t="s">
        <v>4579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</row>
    <row r="14416" spans="1:11" x14ac:dyDescent="0.2">
      <c r="A14416" s="1" t="s">
        <v>3887</v>
      </c>
      <c r="B14416" s="1" t="s">
        <v>3954</v>
      </c>
      <c r="C14416" s="1" t="str">
        <f>"P40FORK455040"</f>
        <v>P40FORK455040</v>
      </c>
      <c r="D14416" s="1" t="str">
        <f>"P40FORK455040"</f>
        <v>P40FORK455040</v>
      </c>
      <c r="E14416" s="1" t="s">
        <v>4579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</row>
    <row r="14417" spans="1:11" ht="30" x14ac:dyDescent="0.2">
      <c r="A14417" s="1" t="s">
        <v>3887</v>
      </c>
      <c r="B14417" s="1" t="s">
        <v>3955</v>
      </c>
      <c r="C14417" s="1" t="str">
        <f>"66298936326773"</f>
        <v>66298936326773</v>
      </c>
      <c r="D14417" s="1" t="str">
        <f>"91255-KR6-305"</f>
        <v>91255-KR6-305</v>
      </c>
      <c r="E14417" s="1" t="s">
        <v>4579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</row>
    <row r="14418" spans="1:11" ht="30" x14ac:dyDescent="0.2">
      <c r="A14418" s="1" t="s">
        <v>3887</v>
      </c>
      <c r="B14418" s="1" t="s">
        <v>3955</v>
      </c>
      <c r="C14418" s="1" t="str">
        <f>"66298936370452"</f>
        <v>66298936370452</v>
      </c>
      <c r="D14418" s="1" t="str">
        <f>"51490-KR6-305TW"</f>
        <v>51490-KR6-305TW</v>
      </c>
      <c r="E14418" s="1" t="s">
        <v>4579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</row>
    <row r="14419" spans="1:11" ht="30" x14ac:dyDescent="0.2">
      <c r="A14419" s="1" t="s">
        <v>3887</v>
      </c>
      <c r="B14419" s="1" t="s">
        <v>3955</v>
      </c>
      <c r="C14419" s="1" t="str">
        <f>"40R114"</f>
        <v>40R114</v>
      </c>
      <c r="D14419" s="1" t="str">
        <f>"40R114"</f>
        <v>40R114</v>
      </c>
      <c r="E14419" s="1" t="s">
        <v>4579</v>
      </c>
      <c r="F14419" s="1">
        <v>5</v>
      </c>
      <c r="G14419" s="1">
        <v>3206</v>
      </c>
      <c r="H14419" s="1">
        <v>16030</v>
      </c>
      <c r="I14419" s="1">
        <v>0</v>
      </c>
      <c r="J14419" s="1">
        <v>5</v>
      </c>
      <c r="K14419" s="1">
        <v>0</v>
      </c>
    </row>
    <row r="14420" spans="1:11" x14ac:dyDescent="0.2">
      <c r="A14420" s="1" t="s">
        <v>3887</v>
      </c>
      <c r="B14420" s="1" t="s">
        <v>3956</v>
      </c>
      <c r="C14420" s="1" t="str">
        <f>"66298936413990"</f>
        <v>66298936413990</v>
      </c>
      <c r="D14420" s="1" t="str">
        <f>"3EN-23145-00JP"</f>
        <v>3EN-23145-00JP</v>
      </c>
      <c r="E14420" s="1" t="s">
        <v>4579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</row>
    <row r="14421" spans="1:11" x14ac:dyDescent="0.2">
      <c r="A14421" s="1" t="s">
        <v>3887</v>
      </c>
      <c r="B14421" s="1" t="s">
        <v>3957</v>
      </c>
      <c r="C14421" s="1" t="str">
        <f>"66298936458617"</f>
        <v>66298936458617</v>
      </c>
      <c r="D14421" s="1" t="str">
        <f>"91255-463-003JP"</f>
        <v>91255-463-003JP</v>
      </c>
      <c r="E14421" s="1" t="s">
        <v>4579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</row>
    <row r="14422" spans="1:11" x14ac:dyDescent="0.2">
      <c r="A14422" s="1" t="s">
        <v>3887</v>
      </c>
      <c r="B14422" s="1" t="s">
        <v>3958</v>
      </c>
      <c r="C14422" s="1" t="str">
        <f>"66298934805179"</f>
        <v>66298934805179</v>
      </c>
      <c r="D14422" s="1" t="str">
        <f>"40-58-10"</f>
        <v>40-58-10</v>
      </c>
      <c r="E14422" s="1" t="s">
        <v>4579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</row>
    <row r="14423" spans="1:11" ht="45" x14ac:dyDescent="0.2">
      <c r="A14423" s="1" t="s">
        <v>3887</v>
      </c>
      <c r="B14423" s="1" t="s">
        <v>3959</v>
      </c>
      <c r="C14423" s="1" t="str">
        <f>"66298936502331"</f>
        <v>66298936502331</v>
      </c>
      <c r="D14423" s="1" t="str">
        <f>"4EB-23145-01JP"</f>
        <v>4EB-23145-01JP</v>
      </c>
      <c r="E14423" s="1" t="s">
        <v>4579</v>
      </c>
      <c r="F14423" s="1">
        <v>4</v>
      </c>
      <c r="G14423" s="1">
        <v>758</v>
      </c>
      <c r="H14423" s="1">
        <v>3032</v>
      </c>
      <c r="I14423" s="1">
        <v>0</v>
      </c>
      <c r="J14423" s="1">
        <v>4</v>
      </c>
      <c r="K14423" s="1">
        <v>0</v>
      </c>
    </row>
    <row r="14424" spans="1:11" ht="45" x14ac:dyDescent="0.2">
      <c r="A14424" s="1" t="s">
        <v>3887</v>
      </c>
      <c r="B14424" s="1" t="s">
        <v>3959</v>
      </c>
      <c r="C14424" s="1" t="str">
        <f>"51822"</f>
        <v>51822</v>
      </c>
      <c r="D14424" s="1" t="str">
        <f>"51822"</f>
        <v>51822</v>
      </c>
      <c r="E14424" s="1" t="s">
        <v>4579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</row>
    <row r="14425" spans="1:11" ht="45" x14ac:dyDescent="0.2">
      <c r="A14425" s="1" t="s">
        <v>3887</v>
      </c>
      <c r="B14425" s="1" t="s">
        <v>3959</v>
      </c>
      <c r="C14425" s="1" t="str">
        <f>"7374"</f>
        <v>7374</v>
      </c>
      <c r="D14425" s="1" t="str">
        <f>"7374"</f>
        <v>7374</v>
      </c>
      <c r="E14425" s="1" t="s">
        <v>4579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</row>
    <row r="14426" spans="1:11" ht="45" x14ac:dyDescent="0.2">
      <c r="A14426" s="1" t="s">
        <v>3887</v>
      </c>
      <c r="B14426" s="1" t="s">
        <v>3960</v>
      </c>
      <c r="C14426" s="1" t="str">
        <f>"40R069"</f>
        <v>40R069</v>
      </c>
      <c r="D14426" s="1" t="str">
        <f>"40R069"</f>
        <v>40R069</v>
      </c>
      <c r="E14426" s="1" t="s">
        <v>4579</v>
      </c>
      <c r="F14426" s="1">
        <v>4</v>
      </c>
      <c r="G14426" s="1">
        <v>2912</v>
      </c>
      <c r="H14426" s="1">
        <v>11648</v>
      </c>
      <c r="I14426" s="1">
        <v>0</v>
      </c>
      <c r="J14426" s="1">
        <v>4</v>
      </c>
      <c r="K14426" s="1">
        <v>0</v>
      </c>
    </row>
    <row r="14427" spans="1:11" x14ac:dyDescent="0.2">
      <c r="A14427" s="1" t="s">
        <v>3887</v>
      </c>
      <c r="B14427" s="1" t="s">
        <v>3961</v>
      </c>
      <c r="C14427" s="1" t="str">
        <f>"12802"</f>
        <v>12802</v>
      </c>
      <c r="D14427" s="1" t="str">
        <f>"12802"</f>
        <v>12802</v>
      </c>
      <c r="E14427" s="1" t="s">
        <v>4579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</row>
    <row r="14428" spans="1:11" x14ac:dyDescent="0.2">
      <c r="A14428" s="1" t="s">
        <v>3887</v>
      </c>
      <c r="B14428" s="1" t="s">
        <v>3961</v>
      </c>
      <c r="C14428" s="1" t="str">
        <f>"BR2432RTO"</f>
        <v>BR2432RTO</v>
      </c>
      <c r="D14428" s="1" t="str">
        <f>"BR2432RTO"</f>
        <v>BR2432RTO</v>
      </c>
      <c r="E14428" s="1" t="s">
        <v>4579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</row>
    <row r="14429" spans="1:11" x14ac:dyDescent="0.2">
      <c r="A14429" s="1" t="s">
        <v>3887</v>
      </c>
      <c r="B14429" s="1" t="s">
        <v>3962</v>
      </c>
      <c r="C14429" s="1" t="str">
        <f>"51490-KAE-003"</f>
        <v>51490-KAE-003</v>
      </c>
      <c r="D14429" s="1" t="str">
        <f>"51490-KAE-003"</f>
        <v>51490-KAE-003</v>
      </c>
      <c r="E14429" s="1" t="s">
        <v>4579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</row>
    <row r="14430" spans="1:11" ht="30" x14ac:dyDescent="0.2">
      <c r="A14430" s="1" t="s">
        <v>3887</v>
      </c>
      <c r="B14430" s="1" t="s">
        <v>3963</v>
      </c>
      <c r="C14430" s="1" t="str">
        <f>"91255-KAE-003"</f>
        <v>91255-KAE-003</v>
      </c>
      <c r="D14430" s="1" t="str">
        <f>"91255-KAE-003"</f>
        <v>91255-KAE-003</v>
      </c>
      <c r="E14430" s="1" t="s">
        <v>4579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</row>
    <row r="14431" spans="1:11" ht="30" x14ac:dyDescent="0.2">
      <c r="A14431" s="1" t="s">
        <v>3887</v>
      </c>
      <c r="B14431" s="1" t="s">
        <v>3963</v>
      </c>
      <c r="C14431" s="1" t="str">
        <f>"40R208"</f>
        <v>40R208</v>
      </c>
      <c r="D14431" s="1" t="str">
        <f>"40R208"</f>
        <v>40R208</v>
      </c>
      <c r="E14431" s="1" t="s">
        <v>4579</v>
      </c>
      <c r="F14431" s="1">
        <v>6</v>
      </c>
      <c r="G14431" s="1">
        <v>4676</v>
      </c>
      <c r="H14431" s="1">
        <v>28056</v>
      </c>
      <c r="I14431" s="1">
        <v>0</v>
      </c>
      <c r="J14431" s="1">
        <v>6</v>
      </c>
      <c r="K14431" s="1">
        <v>0</v>
      </c>
    </row>
    <row r="14432" spans="1:11" x14ac:dyDescent="0.2">
      <c r="A14432" s="1" t="s">
        <v>3887</v>
      </c>
      <c r="B14432" s="1" t="s">
        <v>3964</v>
      </c>
      <c r="C14432" s="1" t="str">
        <f>"66298935910962"</f>
        <v>66298935910962</v>
      </c>
      <c r="D14432" s="1" t="str">
        <f>"93102-42260"</f>
        <v>93102-42260</v>
      </c>
      <c r="E14432" s="1" t="s">
        <v>4579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</row>
    <row r="14433" spans="1:11" ht="30" x14ac:dyDescent="0.2">
      <c r="A14433" s="1" t="s">
        <v>3887</v>
      </c>
      <c r="B14433" s="1" t="s">
        <v>3965</v>
      </c>
      <c r="C14433" s="1" t="str">
        <f>"P40FORK455191"</f>
        <v>P40FORK455191</v>
      </c>
      <c r="D14433" s="1" t="str">
        <f>"P40FORK455191"</f>
        <v>P40FORK455191</v>
      </c>
      <c r="E14433" s="1" t="s">
        <v>4579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</row>
    <row r="14434" spans="1:11" x14ac:dyDescent="0.2">
      <c r="A14434" s="1" t="s">
        <v>3887</v>
      </c>
      <c r="B14434" s="1" t="s">
        <v>3966</v>
      </c>
      <c r="C14434" s="1" t="str">
        <f>"91255-ML3-305JP"</f>
        <v>91255-ML3-305JP</v>
      </c>
      <c r="D14434" s="1" t="str">
        <f>"91255-ML3-305JP"</f>
        <v>91255-ML3-305JP</v>
      </c>
      <c r="E14434" s="1" t="s">
        <v>4579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</row>
    <row r="14435" spans="1:11" x14ac:dyDescent="0.2">
      <c r="A14435" s="1" t="s">
        <v>3887</v>
      </c>
      <c r="B14435" s="1" t="s">
        <v>3966</v>
      </c>
      <c r="C14435" s="1" t="str">
        <f>"1468"</f>
        <v>1468</v>
      </c>
      <c r="D14435" s="1" t="str">
        <f>"1468"</f>
        <v>1468</v>
      </c>
      <c r="E14435" s="1" t="s">
        <v>4579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</row>
    <row r="14436" spans="1:11" x14ac:dyDescent="0.2">
      <c r="A14436" s="1" t="s">
        <v>3887</v>
      </c>
      <c r="B14436" s="1" t="s">
        <v>3967</v>
      </c>
      <c r="C14436" s="1" t="str">
        <f>"66298936550273"</f>
        <v>66298936550273</v>
      </c>
      <c r="D14436" s="1" t="str">
        <f>"5ET-23145-L0JP"</f>
        <v>5ET-23145-L0JP</v>
      </c>
      <c r="E14436" s="1" t="s">
        <v>4579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</row>
    <row r="14437" spans="1:11" x14ac:dyDescent="0.2">
      <c r="A14437" s="1" t="s">
        <v>3887</v>
      </c>
      <c r="B14437" s="1" t="s">
        <v>3968</v>
      </c>
      <c r="C14437" s="1" t="str">
        <f>"66298936596364"</f>
        <v>66298936596364</v>
      </c>
      <c r="D14437" s="1" t="str">
        <f>"51153-36E00JP"</f>
        <v>51153-36E00JP</v>
      </c>
      <c r="E14437" s="1" t="s">
        <v>4579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</row>
    <row r="14438" spans="1:11" x14ac:dyDescent="0.2">
      <c r="A14438" s="1" t="s">
        <v>3887</v>
      </c>
      <c r="B14438" s="1" t="s">
        <v>3969</v>
      </c>
      <c r="C14438" s="1" t="str">
        <f>"66298936637604"</f>
        <v>66298936637604</v>
      </c>
      <c r="D14438" s="1" t="str">
        <f>"51490-KRN-A91JP"</f>
        <v>51490-KRN-A91JP</v>
      </c>
      <c r="E14438" s="1" t="s">
        <v>4579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</row>
    <row r="14439" spans="1:11" x14ac:dyDescent="0.2">
      <c r="A14439" s="1" t="s">
        <v>3887</v>
      </c>
      <c r="B14439" s="1" t="s">
        <v>3970</v>
      </c>
      <c r="C14439" s="1" t="str">
        <f>"CR004"</f>
        <v>CR004</v>
      </c>
      <c r="D14439" s="1" t="str">
        <f>"CR004"</f>
        <v>CR004</v>
      </c>
      <c r="E14439" s="1" t="s">
        <v>4579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</row>
    <row r="14440" spans="1:11" x14ac:dyDescent="0.2">
      <c r="A14440" s="1" t="s">
        <v>3887</v>
      </c>
      <c r="B14440" s="1" t="s">
        <v>3971</v>
      </c>
      <c r="C14440" s="1" t="str">
        <f>"66298937397063"</f>
        <v>66298937397063</v>
      </c>
      <c r="D14440" s="1" t="str">
        <f>"40J056"</f>
        <v>40J056</v>
      </c>
      <c r="E14440" s="1" t="s">
        <v>4579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</row>
    <row r="14441" spans="1:11" ht="30" x14ac:dyDescent="0.2">
      <c r="A14441" s="1" t="s">
        <v>3887</v>
      </c>
      <c r="B14441" s="1" t="s">
        <v>3972</v>
      </c>
      <c r="C14441" s="1" t="str">
        <f>"12132"</f>
        <v>12132</v>
      </c>
      <c r="D14441" s="1" t="str">
        <f>"12132"</f>
        <v>12132</v>
      </c>
      <c r="E14441" s="1" t="s">
        <v>4579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</row>
    <row r="14442" spans="1:11" x14ac:dyDescent="0.2">
      <c r="A14442" s="1" t="s">
        <v>3887</v>
      </c>
      <c r="B14442" s="1" t="s">
        <v>3973</v>
      </c>
      <c r="C14442" s="1" t="str">
        <f>"66298937438317"</f>
        <v>66298937438317</v>
      </c>
      <c r="D14442" s="1" t="str">
        <f>"40J010"</f>
        <v>40J010</v>
      </c>
      <c r="E14442" s="1" t="s">
        <v>4579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</row>
    <row r="14443" spans="1:11" ht="30" x14ac:dyDescent="0.2">
      <c r="A14443" s="1" t="s">
        <v>3887</v>
      </c>
      <c r="B14443" s="1" t="s">
        <v>3974</v>
      </c>
      <c r="C14443" s="1" t="str">
        <f>"1044"</f>
        <v>1044</v>
      </c>
      <c r="D14443" s="1" t="str">
        <f>"1044"</f>
        <v>1044</v>
      </c>
      <c r="E14443" s="1" t="s">
        <v>4579</v>
      </c>
      <c r="F14443" s="1">
        <v>2</v>
      </c>
      <c r="G14443" s="1">
        <v>1941.18</v>
      </c>
      <c r="H14443" s="1">
        <v>3882</v>
      </c>
      <c r="I14443" s="1">
        <v>0</v>
      </c>
      <c r="J14443" s="1">
        <v>2</v>
      </c>
      <c r="K14443" s="1">
        <v>0</v>
      </c>
    </row>
    <row r="14444" spans="1:11" ht="30" x14ac:dyDescent="0.2">
      <c r="A14444" s="1" t="s">
        <v>3887</v>
      </c>
      <c r="B14444" s="1" t="s">
        <v>3975</v>
      </c>
      <c r="C14444" s="1" t="str">
        <f>"66298937937924"</f>
        <v>66298937937924</v>
      </c>
      <c r="D14444" s="1" t="str">
        <f>"CR002"</f>
        <v>CR002</v>
      </c>
      <c r="E14444" s="1" t="s">
        <v>4579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</row>
    <row r="14445" spans="1:11" x14ac:dyDescent="0.2">
      <c r="A14445" s="1" t="s">
        <v>3887</v>
      </c>
      <c r="B14445" s="1" t="s">
        <v>3976</v>
      </c>
      <c r="C14445" s="1" t="str">
        <f>"66298937479414"</f>
        <v>66298937479414</v>
      </c>
      <c r="D14445" s="1" t="str">
        <f>"40J069"</f>
        <v>40J069</v>
      </c>
      <c r="E14445" s="1" t="s">
        <v>4579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</row>
    <row r="14446" spans="1:11" ht="30" x14ac:dyDescent="0.2">
      <c r="A14446" s="1" t="s">
        <v>3887</v>
      </c>
      <c r="B14446" s="1" t="s">
        <v>3977</v>
      </c>
      <c r="C14446" s="1" t="str">
        <f>"CR009"</f>
        <v>CR009</v>
      </c>
      <c r="D14446" s="1" t="str">
        <f>"CR009"</f>
        <v>CR009</v>
      </c>
      <c r="E14446" s="1" t="s">
        <v>4579</v>
      </c>
      <c r="F14446" s="1">
        <v>2</v>
      </c>
      <c r="G14446" s="1">
        <v>1470</v>
      </c>
      <c r="H14446" s="1">
        <v>2940</v>
      </c>
      <c r="I14446" s="1">
        <v>0</v>
      </c>
      <c r="J14446" s="1">
        <v>2</v>
      </c>
      <c r="K14446" s="1">
        <v>0</v>
      </c>
    </row>
    <row r="14447" spans="1:11" ht="30" x14ac:dyDescent="0.2">
      <c r="A14447" s="1" t="s">
        <v>3887</v>
      </c>
      <c r="B14447" s="1" t="s">
        <v>3978</v>
      </c>
      <c r="C14447" s="1" t="str">
        <f>"66298937559232"</f>
        <v>66298937559232</v>
      </c>
      <c r="D14447" s="1" t="str">
        <f>"CR001"</f>
        <v>CR001</v>
      </c>
      <c r="E14447" s="1" t="s">
        <v>4579</v>
      </c>
      <c r="F14447" s="1">
        <v>3</v>
      </c>
      <c r="G14447" s="1">
        <v>1620</v>
      </c>
      <c r="H14447" s="1">
        <v>4860</v>
      </c>
      <c r="I14447" s="1">
        <v>0</v>
      </c>
      <c r="J14447" s="1">
        <v>3</v>
      </c>
      <c r="K14447" s="1">
        <v>0</v>
      </c>
    </row>
    <row r="14448" spans="1:11" ht="30" x14ac:dyDescent="0.2">
      <c r="A14448" s="1" t="s">
        <v>3887</v>
      </c>
      <c r="B14448" s="1" t="s">
        <v>3979</v>
      </c>
      <c r="C14448" s="1" t="str">
        <f>"66298937521143"</f>
        <v>66298937521143</v>
      </c>
      <c r="D14448" s="1" t="str">
        <f>"40J086"</f>
        <v>40J086</v>
      </c>
      <c r="E14448" s="1" t="s">
        <v>4579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</row>
    <row r="14449" spans="1:11" ht="30" x14ac:dyDescent="0.2">
      <c r="A14449" s="1" t="s">
        <v>3887</v>
      </c>
      <c r="B14449" s="1" t="s">
        <v>3980</v>
      </c>
      <c r="C14449" s="1" t="str">
        <f>"66298937601133"</f>
        <v>66298937601133</v>
      </c>
      <c r="D14449" s="1" t="str">
        <f>"H1040"</f>
        <v>H1040</v>
      </c>
      <c r="E14449" s="1" t="s">
        <v>4579</v>
      </c>
      <c r="F14449" s="1">
        <v>1</v>
      </c>
      <c r="G14449" s="1">
        <v>1390</v>
      </c>
      <c r="H14449" s="1">
        <v>1390</v>
      </c>
      <c r="I14449" s="1">
        <v>0</v>
      </c>
      <c r="J14449" s="1">
        <v>1</v>
      </c>
      <c r="K14449" s="1">
        <v>0</v>
      </c>
    </row>
    <row r="14450" spans="1:11" x14ac:dyDescent="0.2">
      <c r="A14450" s="1" t="s">
        <v>3887</v>
      </c>
      <c r="B14450" s="1" t="s">
        <v>3981</v>
      </c>
      <c r="C14450" s="1" t="str">
        <f>"66298937644977"</f>
        <v>66298937644977</v>
      </c>
      <c r="D14450" s="1" t="str">
        <f>"CR003"</f>
        <v>CR003</v>
      </c>
      <c r="E14450" s="1" t="s">
        <v>4579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</row>
    <row r="14451" spans="1:11" ht="30" x14ac:dyDescent="0.2">
      <c r="A14451" s="1" t="s">
        <v>3887</v>
      </c>
      <c r="B14451" s="1" t="s">
        <v>3982</v>
      </c>
      <c r="C14451" s="1" t="str">
        <f>"66298937695414"</f>
        <v>66298937695414</v>
      </c>
      <c r="D14451" s="1" t="str">
        <f>"40J052"</f>
        <v>40J052</v>
      </c>
      <c r="E14451" s="1" t="s">
        <v>4579</v>
      </c>
      <c r="F14451" s="1">
        <v>1</v>
      </c>
      <c r="G14451" s="1">
        <v>3000</v>
      </c>
      <c r="H14451" s="1">
        <v>3000</v>
      </c>
      <c r="I14451" s="1">
        <v>0</v>
      </c>
      <c r="J14451" s="1">
        <v>1</v>
      </c>
      <c r="K14451" s="1">
        <v>0</v>
      </c>
    </row>
    <row r="14452" spans="1:11" ht="30" x14ac:dyDescent="0.2">
      <c r="A14452" s="1" t="s">
        <v>3887</v>
      </c>
      <c r="B14452" s="1" t="s">
        <v>3983</v>
      </c>
      <c r="C14452" s="1" t="str">
        <f>"66298937734176"</f>
        <v>66298937734176</v>
      </c>
      <c r="D14452" s="1" t="str">
        <f>"40J009"</f>
        <v>40J009</v>
      </c>
      <c r="E14452" s="1" t="s">
        <v>4579</v>
      </c>
      <c r="F14452" s="1">
        <v>1</v>
      </c>
      <c r="G14452" s="1">
        <v>3504</v>
      </c>
      <c r="H14452" s="1">
        <v>3504</v>
      </c>
      <c r="I14452" s="1">
        <v>0</v>
      </c>
      <c r="J14452" s="1">
        <v>1</v>
      </c>
      <c r="K14452" s="1">
        <v>0</v>
      </c>
    </row>
    <row r="14453" spans="1:11" ht="30" x14ac:dyDescent="0.2">
      <c r="A14453" s="1" t="s">
        <v>3887</v>
      </c>
      <c r="B14453" s="1" t="s">
        <v>3984</v>
      </c>
      <c r="C14453" s="1" t="str">
        <f>"CR010"</f>
        <v>CR010</v>
      </c>
      <c r="D14453" s="1" t="str">
        <f>"CR010"</f>
        <v>CR010</v>
      </c>
      <c r="E14453" s="1" t="s">
        <v>4579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</row>
    <row r="14454" spans="1:11" ht="30" x14ac:dyDescent="0.2">
      <c r="A14454" s="1" t="s">
        <v>3887</v>
      </c>
      <c r="B14454" s="1" t="s">
        <v>3985</v>
      </c>
      <c r="C14454" s="1" t="str">
        <f>"66298937775346"</f>
        <v>66298937775346</v>
      </c>
      <c r="D14454" s="1" t="str">
        <f>"40J065"</f>
        <v>40J065</v>
      </c>
      <c r="E14454" s="1" t="s">
        <v>4579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</row>
    <row r="14455" spans="1:11" ht="30" x14ac:dyDescent="0.2">
      <c r="A14455" s="1" t="s">
        <v>3887</v>
      </c>
      <c r="B14455" s="1" t="s">
        <v>3986</v>
      </c>
      <c r="C14455" s="1" t="str">
        <f>"CR005"</f>
        <v>CR005</v>
      </c>
      <c r="D14455" s="1" t="str">
        <f>"CR005"</f>
        <v>CR005</v>
      </c>
      <c r="E14455" s="1" t="s">
        <v>4579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</row>
    <row r="14456" spans="1:11" ht="30" x14ac:dyDescent="0.2">
      <c r="A14456" s="1" t="s">
        <v>3887</v>
      </c>
      <c r="B14456" s="1" t="s">
        <v>3987</v>
      </c>
      <c r="C14456" s="1" t="str">
        <f>"66298937818462"</f>
        <v>66298937818462</v>
      </c>
      <c r="D14456" s="1" t="str">
        <f>"40J084"</f>
        <v>40J084</v>
      </c>
      <c r="E14456" s="1" t="s">
        <v>4579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</row>
    <row r="14457" spans="1:11" ht="30" x14ac:dyDescent="0.2">
      <c r="A14457" s="1" t="s">
        <v>3887</v>
      </c>
      <c r="B14457" s="1" t="s">
        <v>3988</v>
      </c>
      <c r="C14457" s="1" t="str">
        <f>"66298937861506"</f>
        <v>66298937861506</v>
      </c>
      <c r="D14457" s="1" t="str">
        <f>"40J085"</f>
        <v>40J085</v>
      </c>
      <c r="E14457" s="1" t="s">
        <v>4579</v>
      </c>
      <c r="F14457" s="1">
        <v>1</v>
      </c>
      <c r="G14457" s="1">
        <v>4513</v>
      </c>
      <c r="H14457" s="1">
        <v>4513</v>
      </c>
      <c r="I14457" s="1">
        <v>0</v>
      </c>
      <c r="J14457" s="1">
        <v>1</v>
      </c>
      <c r="K14457" s="1">
        <v>0</v>
      </c>
    </row>
    <row r="14458" spans="1:11" ht="30" x14ac:dyDescent="0.2">
      <c r="A14458" s="1" t="s">
        <v>3887</v>
      </c>
      <c r="B14458" s="1" t="s">
        <v>3989</v>
      </c>
      <c r="C14458" s="1" t="str">
        <f>"66298937900335"</f>
        <v>66298937900335</v>
      </c>
      <c r="D14458" s="1" t="str">
        <f>"40J080"</f>
        <v>40J080</v>
      </c>
      <c r="E14458" s="1" t="s">
        <v>4579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</row>
    <row r="14459" spans="1:11" x14ac:dyDescent="0.2">
      <c r="A14459" s="1" t="s">
        <v>1567</v>
      </c>
      <c r="B14459" s="1" t="s">
        <v>3990</v>
      </c>
      <c r="C14459" s="1" t="str">
        <f>"RO-3122"</f>
        <v>RO-3122</v>
      </c>
      <c r="D14459" s="1" t="str">
        <f>"RO-3122"</f>
        <v>RO-3122</v>
      </c>
      <c r="E14459" s="1" t="s">
        <v>4579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</row>
    <row r="14460" spans="1:11" x14ac:dyDescent="0.2">
      <c r="B14460" s="1" t="s">
        <v>2557</v>
      </c>
    </row>
    <row r="14461" spans="1:11" x14ac:dyDescent="0.2">
      <c r="B14461" s="1" t="s">
        <v>3991</v>
      </c>
    </row>
    <row r="14462" spans="1:11" x14ac:dyDescent="0.2">
      <c r="B14462" s="1" t="s">
        <v>2544</v>
      </c>
    </row>
    <row r="14463" spans="1:11" x14ac:dyDescent="0.2">
      <c r="B14463" s="1" t="s">
        <v>2545</v>
      </c>
    </row>
    <row r="14464" spans="1:11" x14ac:dyDescent="0.2">
      <c r="B14464" s="1" t="s">
        <v>2546</v>
      </c>
    </row>
    <row r="14465" spans="1:11" x14ac:dyDescent="0.2">
      <c r="B14465" s="1" t="s">
        <v>1574</v>
      </c>
    </row>
    <row r="14466" spans="1:11" x14ac:dyDescent="0.2">
      <c r="B14466" s="1" t="s">
        <v>1575</v>
      </c>
    </row>
    <row r="14467" spans="1:11" x14ac:dyDescent="0.2">
      <c r="B14467" s="1" t="s">
        <v>4575</v>
      </c>
    </row>
    <row r="14468" spans="1:11" x14ac:dyDescent="0.2">
      <c r="B14468" s="1" t="s">
        <v>4576</v>
      </c>
    </row>
    <row r="14469" spans="1:11" x14ac:dyDescent="0.2">
      <c r="A14469" s="1" t="s">
        <v>1567</v>
      </c>
      <c r="B14469" s="1" t="s">
        <v>3990</v>
      </c>
      <c r="C14469" s="1" t="str">
        <f>"RO-3123"</f>
        <v>RO-3123</v>
      </c>
      <c r="D14469" s="1" t="str">
        <f>"RO-3123"</f>
        <v>RO-3123</v>
      </c>
      <c r="E14469" s="1" t="s">
        <v>4579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</row>
    <row r="14470" spans="1:11" x14ac:dyDescent="0.2">
      <c r="B14470" s="1" t="s">
        <v>2557</v>
      </c>
    </row>
    <row r="14471" spans="1:11" x14ac:dyDescent="0.2">
      <c r="B14471" s="1" t="s">
        <v>3991</v>
      </c>
    </row>
    <row r="14472" spans="1:11" x14ac:dyDescent="0.2">
      <c r="B14472" s="1" t="s">
        <v>2544</v>
      </c>
    </row>
    <row r="14473" spans="1:11" x14ac:dyDescent="0.2">
      <c r="B14473" s="1" t="s">
        <v>2545</v>
      </c>
    </row>
    <row r="14474" spans="1:11" x14ac:dyDescent="0.2">
      <c r="B14474" s="1" t="s">
        <v>2546</v>
      </c>
    </row>
    <row r="14475" spans="1:11" x14ac:dyDescent="0.2">
      <c r="B14475" s="1" t="s">
        <v>1574</v>
      </c>
    </row>
    <row r="14476" spans="1:11" x14ac:dyDescent="0.2">
      <c r="B14476" s="1" t="s">
        <v>1575</v>
      </c>
    </row>
    <row r="14477" spans="1:11" x14ac:dyDescent="0.2">
      <c r="B14477" s="1" t="s">
        <v>3992</v>
      </c>
    </row>
    <row r="14478" spans="1:11" x14ac:dyDescent="0.2">
      <c r="B14478" s="1" t="s">
        <v>3993</v>
      </c>
    </row>
    <row r="14479" spans="1:11" x14ac:dyDescent="0.2">
      <c r="A14479" s="1" t="s">
        <v>1567</v>
      </c>
      <c r="B14479" s="1" t="s">
        <v>3990</v>
      </c>
      <c r="C14479" s="1" t="str">
        <f>"RO-3126"</f>
        <v>RO-3126</v>
      </c>
      <c r="D14479" s="1" t="str">
        <f>"RO-3126"</f>
        <v>RO-3126</v>
      </c>
      <c r="E14479" s="1" t="s">
        <v>4579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</row>
    <row r="14480" spans="1:11" x14ac:dyDescent="0.2">
      <c r="B14480" s="1" t="s">
        <v>2557</v>
      </c>
    </row>
    <row r="14481" spans="1:11" x14ac:dyDescent="0.2">
      <c r="B14481" s="1" t="s">
        <v>3991</v>
      </c>
    </row>
    <row r="14482" spans="1:11" x14ac:dyDescent="0.2">
      <c r="B14482" s="1" t="s">
        <v>2544</v>
      </c>
    </row>
    <row r="14483" spans="1:11" x14ac:dyDescent="0.2">
      <c r="B14483" s="1" t="s">
        <v>2816</v>
      </c>
    </row>
    <row r="14484" spans="1:11" x14ac:dyDescent="0.2">
      <c r="B14484" s="1" t="s">
        <v>2546</v>
      </c>
    </row>
    <row r="14485" spans="1:11" x14ac:dyDescent="0.2">
      <c r="B14485" s="1" t="s">
        <v>1574</v>
      </c>
    </row>
    <row r="14486" spans="1:11" x14ac:dyDescent="0.2">
      <c r="B14486" s="1" t="s">
        <v>1575</v>
      </c>
    </row>
    <row r="14487" spans="1:11" x14ac:dyDescent="0.2">
      <c r="B14487" s="1" t="s">
        <v>3994</v>
      </c>
    </row>
    <row r="14488" spans="1:11" x14ac:dyDescent="0.2">
      <c r="B14488" s="1" t="s">
        <v>3995</v>
      </c>
    </row>
    <row r="14489" spans="1:11" x14ac:dyDescent="0.2">
      <c r="A14489" s="1" t="s">
        <v>1567</v>
      </c>
      <c r="B14489" s="1" t="s">
        <v>3990</v>
      </c>
      <c r="C14489" s="1" t="str">
        <f>"RO-3177"</f>
        <v>RO-3177</v>
      </c>
      <c r="D14489" s="1" t="str">
        <f>"RO-3177"</f>
        <v>RO-3177</v>
      </c>
      <c r="E14489" s="1" t="s">
        <v>4579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</row>
    <row r="14490" spans="1:11" x14ac:dyDescent="0.2">
      <c r="B14490" s="1" t="s">
        <v>2557</v>
      </c>
    </row>
    <row r="14491" spans="1:11" x14ac:dyDescent="0.2">
      <c r="B14491" s="1" t="s">
        <v>3991</v>
      </c>
    </row>
    <row r="14492" spans="1:11" x14ac:dyDescent="0.2">
      <c r="B14492" s="1" t="s">
        <v>2544</v>
      </c>
    </row>
    <row r="14493" spans="1:11" x14ac:dyDescent="0.2">
      <c r="B14493" s="1" t="s">
        <v>2816</v>
      </c>
    </row>
    <row r="14494" spans="1:11" x14ac:dyDescent="0.2">
      <c r="B14494" s="1" t="s">
        <v>2546</v>
      </c>
    </row>
    <row r="14495" spans="1:11" x14ac:dyDescent="0.2">
      <c r="B14495" s="1" t="s">
        <v>1574</v>
      </c>
    </row>
    <row r="14496" spans="1:11" x14ac:dyDescent="0.2">
      <c r="B14496" s="1" t="s">
        <v>1575</v>
      </c>
    </row>
    <row r="14497" spans="1:11" x14ac:dyDescent="0.2">
      <c r="B14497" s="1" t="s">
        <v>3996</v>
      </c>
    </row>
    <row r="14498" spans="1:11" x14ac:dyDescent="0.2">
      <c r="B14498" s="1" t="s">
        <v>3997</v>
      </c>
    </row>
    <row r="14499" spans="1:11" x14ac:dyDescent="0.2">
      <c r="A14499" s="1" t="s">
        <v>1567</v>
      </c>
      <c r="B14499" s="1" t="s">
        <v>3990</v>
      </c>
      <c r="C14499" s="1" t="str">
        <f>"RO-3176"</f>
        <v>RO-3176</v>
      </c>
      <c r="D14499" s="1" t="str">
        <f>"RO-3176"</f>
        <v>RO-3176</v>
      </c>
      <c r="E14499" s="1" t="s">
        <v>4579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</row>
    <row r="14500" spans="1:11" x14ac:dyDescent="0.2">
      <c r="B14500" s="1" t="s">
        <v>2557</v>
      </c>
    </row>
    <row r="14501" spans="1:11" x14ac:dyDescent="0.2">
      <c r="B14501" s="1" t="s">
        <v>3991</v>
      </c>
    </row>
    <row r="14502" spans="1:11" x14ac:dyDescent="0.2">
      <c r="B14502" s="1" t="s">
        <v>2544</v>
      </c>
    </row>
    <row r="14503" spans="1:11" x14ac:dyDescent="0.2">
      <c r="B14503" s="1" t="s">
        <v>2816</v>
      </c>
    </row>
    <row r="14504" spans="1:11" x14ac:dyDescent="0.2">
      <c r="B14504" s="1" t="s">
        <v>2546</v>
      </c>
    </row>
    <row r="14505" spans="1:11" x14ac:dyDescent="0.2">
      <c r="B14505" s="1" t="s">
        <v>1574</v>
      </c>
    </row>
    <row r="14506" spans="1:11" x14ac:dyDescent="0.2">
      <c r="B14506" s="1" t="s">
        <v>1575</v>
      </c>
    </row>
    <row r="14507" spans="1:11" x14ac:dyDescent="0.2">
      <c r="B14507" s="1" t="s">
        <v>4577</v>
      </c>
    </row>
    <row r="14508" spans="1:11" x14ac:dyDescent="0.2">
      <c r="B14508" s="1" t="s">
        <v>4578</v>
      </c>
    </row>
    <row r="14509" spans="1:11" x14ac:dyDescent="0.2">
      <c r="A14509" s="1" t="s">
        <v>1567</v>
      </c>
      <c r="B14509" s="1" t="s">
        <v>3990</v>
      </c>
      <c r="C14509" s="1" t="str">
        <f>"RO-3125"</f>
        <v>RO-3125</v>
      </c>
      <c r="D14509" s="1" t="str">
        <f>"RO-3125"</f>
        <v>RO-3125</v>
      </c>
      <c r="E14509" s="1" t="s">
        <v>4579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</row>
    <row r="14510" spans="1:11" x14ac:dyDescent="0.2">
      <c r="B14510" s="1" t="s">
        <v>2557</v>
      </c>
    </row>
    <row r="14511" spans="1:11" x14ac:dyDescent="0.2">
      <c r="B14511" s="1" t="s">
        <v>3991</v>
      </c>
    </row>
    <row r="14512" spans="1:11" x14ac:dyDescent="0.2">
      <c r="B14512" s="1" t="s">
        <v>2544</v>
      </c>
    </row>
    <row r="14513" spans="1:11" x14ac:dyDescent="0.2">
      <c r="B14513" s="1" t="s">
        <v>2816</v>
      </c>
    </row>
    <row r="14514" spans="1:11" x14ac:dyDescent="0.2">
      <c r="B14514" s="1" t="s">
        <v>2546</v>
      </c>
    </row>
    <row r="14515" spans="1:11" x14ac:dyDescent="0.2">
      <c r="B14515" s="1" t="s">
        <v>1574</v>
      </c>
    </row>
    <row r="14516" spans="1:11" x14ac:dyDescent="0.2">
      <c r="B14516" s="1" t="s">
        <v>1575</v>
      </c>
    </row>
    <row r="14517" spans="1:11" x14ac:dyDescent="0.2">
      <c r="B14517" s="1" t="s">
        <v>3998</v>
      </c>
    </row>
    <row r="14518" spans="1:11" x14ac:dyDescent="0.2">
      <c r="B14518" s="1" t="s">
        <v>3999</v>
      </c>
    </row>
    <row r="14519" spans="1:11" x14ac:dyDescent="0.2">
      <c r="A14519" s="1" t="s">
        <v>4000</v>
      </c>
      <c r="B14519" s="1" t="s">
        <v>4001</v>
      </c>
      <c r="C14519" s="1" t="str">
        <f>"626-2RS"</f>
        <v>626-2RS</v>
      </c>
      <c r="D14519" s="1" t="str">
        <f>"626-2RS"</f>
        <v>626-2RS</v>
      </c>
      <c r="E14519" s="1" t="s">
        <v>4579</v>
      </c>
      <c r="F14519" s="1">
        <v>1</v>
      </c>
      <c r="G14519" s="1">
        <v>261</v>
      </c>
      <c r="H14519" s="1">
        <v>261</v>
      </c>
      <c r="I14519" s="1">
        <v>0</v>
      </c>
      <c r="J14519" s="1">
        <v>1</v>
      </c>
      <c r="K14519" s="1">
        <v>0</v>
      </c>
    </row>
    <row r="14520" spans="1:11" x14ac:dyDescent="0.2">
      <c r="A14520" s="1" t="s">
        <v>4000</v>
      </c>
      <c r="B14520" s="1" t="s">
        <v>4002</v>
      </c>
      <c r="C14520" s="1" t="str">
        <f>"607-2RS-CN"</f>
        <v>607-2RS-CN</v>
      </c>
      <c r="D14520" s="1" t="str">
        <f>"607-2RS-CN"</f>
        <v>607-2RS-CN</v>
      </c>
      <c r="E14520" s="1" t="s">
        <v>4579</v>
      </c>
      <c r="F14520" s="1">
        <v>1</v>
      </c>
      <c r="G14520" s="1">
        <v>261</v>
      </c>
      <c r="H14520" s="1">
        <v>261</v>
      </c>
      <c r="I14520" s="1">
        <v>0</v>
      </c>
      <c r="J14520" s="1">
        <v>1</v>
      </c>
      <c r="K14520" s="1">
        <v>0</v>
      </c>
    </row>
    <row r="14521" spans="1:11" x14ac:dyDescent="0.2">
      <c r="A14521" s="1" t="s">
        <v>4000</v>
      </c>
      <c r="B14521" s="1" t="s">
        <v>4003</v>
      </c>
      <c r="C14521" s="1" t="str">
        <f>"608-2RS-CN"</f>
        <v>608-2RS-CN</v>
      </c>
      <c r="D14521" s="1" t="str">
        <f>"608-2RS-CN"</f>
        <v>608-2RS-CN</v>
      </c>
      <c r="E14521" s="1" t="s">
        <v>4579</v>
      </c>
      <c r="F14521" s="1">
        <v>1</v>
      </c>
      <c r="G14521" s="1">
        <v>297</v>
      </c>
      <c r="H14521" s="1">
        <v>297</v>
      </c>
      <c r="I14521" s="1">
        <v>0</v>
      </c>
      <c r="J14521" s="1">
        <v>1</v>
      </c>
      <c r="K14521" s="1">
        <v>0</v>
      </c>
    </row>
    <row r="14522" spans="1:11" x14ac:dyDescent="0.2">
      <c r="A14522" s="1" t="s">
        <v>4000</v>
      </c>
      <c r="B14522" s="1" t="s">
        <v>4004</v>
      </c>
      <c r="C14522" s="1" t="str">
        <f>"66298937982492"</f>
        <v>66298937982492</v>
      </c>
      <c r="D14522" s="1" t="str">
        <f>"628-2NSE"</f>
        <v>628-2NSE</v>
      </c>
      <c r="E14522" s="1" t="s">
        <v>4579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</row>
    <row r="14523" spans="1:11" x14ac:dyDescent="0.2">
      <c r="A14523" s="1" t="s">
        <v>4000</v>
      </c>
      <c r="B14523" s="1" t="s">
        <v>4005</v>
      </c>
      <c r="C14523" s="1" t="str">
        <f>"609-2RS-CN"</f>
        <v>609-2RS-CN</v>
      </c>
      <c r="D14523" s="1" t="str">
        <f>"609-2RS-CN"</f>
        <v>609-2RS-CN</v>
      </c>
      <c r="E14523" s="1" t="s">
        <v>4579</v>
      </c>
      <c r="F14523" s="1">
        <v>1</v>
      </c>
      <c r="G14523" s="1">
        <v>324</v>
      </c>
      <c r="H14523" s="1">
        <v>324</v>
      </c>
      <c r="I14523" s="1">
        <v>0</v>
      </c>
      <c r="J14523" s="1">
        <v>1</v>
      </c>
      <c r="K14523" s="1">
        <v>0</v>
      </c>
    </row>
    <row r="14524" spans="1:11" x14ac:dyDescent="0.2">
      <c r="A14524" s="1" t="s">
        <v>4000</v>
      </c>
      <c r="B14524" s="1" t="s">
        <v>4006</v>
      </c>
      <c r="C14524" s="1" t="str">
        <f>"66298938022995"</f>
        <v>66298938022995</v>
      </c>
      <c r="D14524" s="1" t="str">
        <f>"6000-2RS-CN"</f>
        <v>6000-2RS-CN</v>
      </c>
      <c r="E14524" s="1" t="s">
        <v>4579</v>
      </c>
      <c r="F14524" s="1">
        <v>2</v>
      </c>
      <c r="G14524" s="1">
        <v>549</v>
      </c>
      <c r="H14524" s="1">
        <v>1098</v>
      </c>
      <c r="I14524" s="1">
        <v>0</v>
      </c>
      <c r="J14524" s="1">
        <v>2</v>
      </c>
      <c r="K14524" s="1">
        <v>0</v>
      </c>
    </row>
    <row r="14525" spans="1:11" x14ac:dyDescent="0.2">
      <c r="A14525" s="1" t="s">
        <v>4000</v>
      </c>
      <c r="B14525" s="1" t="s">
        <v>4007</v>
      </c>
      <c r="C14525" s="1" t="str">
        <f>"66298938062840"</f>
        <v>66298938062840</v>
      </c>
      <c r="D14525" s="1" t="str">
        <f>"6000-2RS"</f>
        <v>6000-2RS</v>
      </c>
      <c r="E14525" s="1" t="s">
        <v>4579</v>
      </c>
      <c r="F14525" s="1">
        <v>2</v>
      </c>
      <c r="G14525" s="1">
        <v>1819</v>
      </c>
      <c r="H14525" s="1">
        <v>3638</v>
      </c>
      <c r="I14525" s="1">
        <v>0</v>
      </c>
      <c r="J14525" s="1">
        <v>2</v>
      </c>
      <c r="K14525" s="1">
        <v>0</v>
      </c>
    </row>
    <row r="14526" spans="1:11" x14ac:dyDescent="0.2">
      <c r="A14526" s="1" t="s">
        <v>4000</v>
      </c>
      <c r="B14526" s="1" t="s">
        <v>4008</v>
      </c>
      <c r="C14526" s="1" t="str">
        <f>"66298938101959"</f>
        <v>66298938101959</v>
      </c>
      <c r="D14526" s="1" t="str">
        <f>"6200-2RS"</f>
        <v>6200-2RS</v>
      </c>
      <c r="E14526" s="1" t="s">
        <v>4579</v>
      </c>
      <c r="F14526" s="1">
        <v>2</v>
      </c>
      <c r="G14526" s="1">
        <v>1820</v>
      </c>
      <c r="H14526" s="1">
        <v>3640</v>
      </c>
      <c r="I14526" s="1">
        <v>0</v>
      </c>
      <c r="J14526" s="1">
        <v>2</v>
      </c>
      <c r="K14526" s="1">
        <v>0</v>
      </c>
    </row>
    <row r="14527" spans="1:11" x14ac:dyDescent="0.2">
      <c r="A14527" s="1" t="s">
        <v>4000</v>
      </c>
      <c r="B14527" s="1" t="s">
        <v>4009</v>
      </c>
      <c r="C14527" s="1" t="str">
        <f>"66298938143284"</f>
        <v>66298938143284</v>
      </c>
      <c r="D14527" s="1" t="str">
        <f>"6300-2RS-CN"</f>
        <v>6300-2RS-CN</v>
      </c>
      <c r="E14527" s="1" t="s">
        <v>4579</v>
      </c>
      <c r="F14527" s="1">
        <v>2</v>
      </c>
      <c r="G14527" s="1">
        <v>539</v>
      </c>
      <c r="H14527" s="1">
        <v>1078</v>
      </c>
      <c r="I14527" s="1">
        <v>0</v>
      </c>
      <c r="J14527" s="1">
        <v>2</v>
      </c>
      <c r="K14527" s="1">
        <v>0</v>
      </c>
    </row>
    <row r="14528" spans="1:11" x14ac:dyDescent="0.2">
      <c r="A14528" s="1" t="s">
        <v>4000</v>
      </c>
      <c r="B14528" s="1" t="s">
        <v>4010</v>
      </c>
      <c r="C14528" s="1" t="str">
        <f>"66298938184004"</f>
        <v>66298938184004</v>
      </c>
      <c r="D14528" s="1" t="str">
        <f>"6300-ICHBN"</f>
        <v>6300-ICHBN</v>
      </c>
      <c r="E14528" s="1" t="s">
        <v>4579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</row>
    <row r="14529" spans="1:11" x14ac:dyDescent="0.2">
      <c r="A14529" s="1" t="s">
        <v>4000</v>
      </c>
      <c r="B14529" s="1" t="s">
        <v>4011</v>
      </c>
      <c r="C14529" s="1" t="str">
        <f>"66298938222385"</f>
        <v>66298938222385</v>
      </c>
      <c r="D14529" s="1" t="str">
        <f>"6001-2RS-CN"</f>
        <v>6001-2RS-CN</v>
      </c>
      <c r="E14529" s="1" t="s">
        <v>4579</v>
      </c>
      <c r="F14529" s="1">
        <v>2</v>
      </c>
      <c r="G14529" s="1">
        <v>409</v>
      </c>
      <c r="H14529" s="1">
        <v>818</v>
      </c>
      <c r="I14529" s="1">
        <v>0</v>
      </c>
      <c r="J14529" s="1">
        <v>2</v>
      </c>
      <c r="K14529" s="1">
        <v>0</v>
      </c>
    </row>
    <row r="14530" spans="1:11" x14ac:dyDescent="0.2">
      <c r="A14530" s="1" t="s">
        <v>4000</v>
      </c>
      <c r="B14530" s="1" t="s">
        <v>4012</v>
      </c>
      <c r="C14530" s="1" t="str">
        <f>"66298938265362"</f>
        <v>66298938265362</v>
      </c>
      <c r="D14530" s="1" t="str">
        <f>"6001-2NSE-ICHBN"</f>
        <v>6001-2NSE-ICHBN</v>
      </c>
      <c r="E14530" s="1" t="s">
        <v>4579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</row>
    <row r="14531" spans="1:11" x14ac:dyDescent="0.2">
      <c r="A14531" s="1" t="s">
        <v>4000</v>
      </c>
      <c r="B14531" s="1" t="s">
        <v>4013</v>
      </c>
      <c r="C14531" s="1" t="str">
        <f>"66298938305060"</f>
        <v>66298938305060</v>
      </c>
      <c r="D14531" s="1" t="str">
        <f>"6001-2RS"</f>
        <v>6001-2RS</v>
      </c>
      <c r="E14531" s="1" t="s">
        <v>4579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</row>
    <row r="14532" spans="1:11" x14ac:dyDescent="0.2">
      <c r="A14532" s="1" t="s">
        <v>4000</v>
      </c>
      <c r="B14532" s="1" t="s">
        <v>4014</v>
      </c>
      <c r="C14532" s="1" t="str">
        <f>"66298938346012"</f>
        <v>66298938346012</v>
      </c>
      <c r="D14532" s="1" t="str">
        <f>"6001-2RS-SKF"</f>
        <v>6001-2RS-SKF</v>
      </c>
      <c r="E14532" s="1" t="s">
        <v>4579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</row>
    <row r="14533" spans="1:11" x14ac:dyDescent="0.2">
      <c r="A14533" s="1" t="s">
        <v>4000</v>
      </c>
      <c r="B14533" s="1" t="s">
        <v>4015</v>
      </c>
      <c r="C14533" s="1" t="str">
        <f>"66298938426078"</f>
        <v>66298938426078</v>
      </c>
      <c r="D14533" s="1" t="str">
        <f>"6201-2RS-CN"</f>
        <v>6201-2RS-CN</v>
      </c>
      <c r="E14533" s="1" t="s">
        <v>4579</v>
      </c>
      <c r="F14533" s="1">
        <v>2</v>
      </c>
      <c r="G14533" s="1">
        <v>513</v>
      </c>
      <c r="H14533" s="1">
        <v>1026</v>
      </c>
      <c r="I14533" s="1">
        <v>0</v>
      </c>
      <c r="J14533" s="1">
        <v>2</v>
      </c>
      <c r="K14533" s="1">
        <v>0</v>
      </c>
    </row>
    <row r="14534" spans="1:11" x14ac:dyDescent="0.2">
      <c r="A14534" s="1" t="s">
        <v>4000</v>
      </c>
      <c r="B14534" s="1" t="s">
        <v>4016</v>
      </c>
      <c r="C14534" s="1" t="str">
        <f>"66298938465809"</f>
        <v>66298938465809</v>
      </c>
      <c r="D14534" s="1" t="str">
        <f>"6201-2RS"</f>
        <v>6201-2RS</v>
      </c>
      <c r="E14534" s="1" t="s">
        <v>4579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</row>
    <row r="14535" spans="1:11" x14ac:dyDescent="0.2">
      <c r="A14535" s="1" t="s">
        <v>4000</v>
      </c>
      <c r="B14535" s="1" t="s">
        <v>4017</v>
      </c>
      <c r="C14535" s="1" t="str">
        <f>"66298938385832"</f>
        <v>66298938385832</v>
      </c>
      <c r="D14535" s="1" t="str">
        <f>"6201-2RSCN"</f>
        <v>6201-2RSCN</v>
      </c>
      <c r="E14535" s="1" t="s">
        <v>4579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</row>
    <row r="14536" spans="1:11" x14ac:dyDescent="0.2">
      <c r="A14536" s="1" t="s">
        <v>4000</v>
      </c>
      <c r="B14536" s="1" t="s">
        <v>4018</v>
      </c>
      <c r="C14536" s="1" t="str">
        <f>"66298938507365"</f>
        <v>66298938507365</v>
      </c>
      <c r="D14536" s="1" t="str">
        <f>"6301-2RSCN"</f>
        <v>6301-2RSCN</v>
      </c>
      <c r="E14536" s="1" t="s">
        <v>4579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</row>
    <row r="14537" spans="1:11" x14ac:dyDescent="0.2">
      <c r="A14537" s="1" t="s">
        <v>4000</v>
      </c>
      <c r="B14537" s="1" t="s">
        <v>4019</v>
      </c>
      <c r="C14537" s="1" t="str">
        <f>"66298940529629"</f>
        <v>66298940529629</v>
      </c>
      <c r="D14537" s="1" t="str">
        <f>"91006-KK0-771GH"</f>
        <v>91006-KK0-771GH</v>
      </c>
      <c r="E14537" s="1" t="s">
        <v>4579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</row>
    <row r="14538" spans="1:11" x14ac:dyDescent="0.2">
      <c r="A14538" s="1" t="s">
        <v>4000</v>
      </c>
      <c r="B14538" s="1" t="s">
        <v>4020</v>
      </c>
      <c r="C14538" s="1" t="str">
        <f>"66298938548859"</f>
        <v>66298938548859</v>
      </c>
      <c r="D14538" s="1" t="str">
        <f>"6902-2RS"</f>
        <v>6902-2RS</v>
      </c>
      <c r="E14538" s="1" t="s">
        <v>4579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</row>
    <row r="14539" spans="1:11" x14ac:dyDescent="0.2">
      <c r="A14539" s="1" t="s">
        <v>4000</v>
      </c>
      <c r="B14539" s="1" t="s">
        <v>4021</v>
      </c>
      <c r="C14539" s="1" t="str">
        <f>"66298938590621"</f>
        <v>66298938590621</v>
      </c>
      <c r="D14539" s="1" t="str">
        <f>"6002-2RS-CN"</f>
        <v>6002-2RS-CN</v>
      </c>
      <c r="E14539" s="1" t="s">
        <v>4579</v>
      </c>
      <c r="F14539" s="1">
        <v>2</v>
      </c>
      <c r="G14539" s="1">
        <v>493</v>
      </c>
      <c r="H14539" s="1">
        <v>986</v>
      </c>
      <c r="I14539" s="1">
        <v>0</v>
      </c>
      <c r="J14539" s="1">
        <v>2</v>
      </c>
      <c r="K14539" s="1">
        <v>0</v>
      </c>
    </row>
    <row r="14540" spans="1:11" x14ac:dyDescent="0.2">
      <c r="A14540" s="1" t="s">
        <v>4000</v>
      </c>
      <c r="B14540" s="1" t="s">
        <v>4022</v>
      </c>
      <c r="C14540" s="1" t="str">
        <f>"66298938633905"</f>
        <v>66298938633905</v>
      </c>
      <c r="D14540" s="1" t="str">
        <f>"6002-2RS/C3"</f>
        <v>6002-2RS/C3</v>
      </c>
      <c r="E14540" s="1" t="s">
        <v>4579</v>
      </c>
      <c r="F14540" s="1">
        <v>2</v>
      </c>
      <c r="G14540" s="1">
        <v>3000</v>
      </c>
      <c r="H14540" s="1">
        <v>6000</v>
      </c>
      <c r="I14540" s="1">
        <v>0</v>
      </c>
      <c r="J14540" s="1">
        <v>2</v>
      </c>
      <c r="K14540" s="1">
        <v>0</v>
      </c>
    </row>
    <row r="14541" spans="1:11" x14ac:dyDescent="0.2">
      <c r="A14541" s="1" t="s">
        <v>4000</v>
      </c>
      <c r="B14541" s="1" t="s">
        <v>4023</v>
      </c>
      <c r="C14541" s="1" t="str">
        <f>"6202-2RS-CN"</f>
        <v>6202-2RS-CN</v>
      </c>
      <c r="D14541" s="1" t="str">
        <f>"6202-2RS-CN"</f>
        <v>6202-2RS-CN</v>
      </c>
      <c r="E14541" s="1" t="s">
        <v>4579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</row>
    <row r="14542" spans="1:11" x14ac:dyDescent="0.2">
      <c r="A14542" s="1" t="s">
        <v>4000</v>
      </c>
      <c r="B14542" s="1" t="s">
        <v>4024</v>
      </c>
      <c r="C14542" s="1" t="str">
        <f>"6302-2RS-CN"</f>
        <v>6302-2RS-CN</v>
      </c>
      <c r="D14542" s="1" t="str">
        <f>"6302-2RS-CN"</f>
        <v>6302-2RS-CN</v>
      </c>
      <c r="E14542" s="1" t="s">
        <v>4579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</row>
    <row r="14543" spans="1:11" x14ac:dyDescent="0.2">
      <c r="A14543" s="1" t="s">
        <v>4000</v>
      </c>
      <c r="B14543" s="1" t="s">
        <v>4025</v>
      </c>
      <c r="C14543" s="1" t="str">
        <f>"6903-2RS-CN"</f>
        <v>6903-2RS-CN</v>
      </c>
      <c r="D14543" s="1" t="str">
        <f>"6903-2RS-CN"</f>
        <v>6903-2RS-CN</v>
      </c>
      <c r="E14543" s="1" t="s">
        <v>4579</v>
      </c>
      <c r="F14543" s="1">
        <v>1</v>
      </c>
      <c r="G14543" s="1">
        <v>423</v>
      </c>
      <c r="H14543" s="1">
        <v>423</v>
      </c>
      <c r="I14543" s="1">
        <v>0</v>
      </c>
      <c r="J14543" s="1">
        <v>1</v>
      </c>
      <c r="K14543" s="1">
        <v>0</v>
      </c>
    </row>
    <row r="14544" spans="1:11" x14ac:dyDescent="0.2">
      <c r="A14544" s="1" t="s">
        <v>4000</v>
      </c>
      <c r="B14544" s="1" t="s">
        <v>4026</v>
      </c>
      <c r="C14544" s="1" t="str">
        <f>"66298938678488"</f>
        <v>66298938678488</v>
      </c>
      <c r="D14544" s="1" t="str">
        <f>"6003-2RS-CN"</f>
        <v>6003-2RS-CN</v>
      </c>
      <c r="E14544" s="1" t="s">
        <v>4579</v>
      </c>
      <c r="F14544" s="1">
        <v>2</v>
      </c>
      <c r="G14544" s="1">
        <v>702</v>
      </c>
      <c r="H14544" s="1">
        <v>1404</v>
      </c>
      <c r="I14544" s="1">
        <v>0</v>
      </c>
      <c r="J14544" s="1">
        <v>2</v>
      </c>
      <c r="K14544" s="1">
        <v>0</v>
      </c>
    </row>
    <row r="14545" spans="1:11" x14ac:dyDescent="0.2">
      <c r="A14545" s="1" t="s">
        <v>4000</v>
      </c>
      <c r="B14545" s="1" t="s">
        <v>4027</v>
      </c>
      <c r="C14545" s="1" t="str">
        <f>"66298938720857"</f>
        <v>66298938720857</v>
      </c>
      <c r="D14545" s="1" t="str">
        <f>"6003-2NSE-ICHBN"</f>
        <v>6003-2NSE-ICHBN</v>
      </c>
      <c r="E14545" s="1" t="s">
        <v>4579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</row>
    <row r="14546" spans="1:11" x14ac:dyDescent="0.2">
      <c r="A14546" s="1" t="s">
        <v>4000</v>
      </c>
      <c r="B14546" s="1" t="s">
        <v>4028</v>
      </c>
      <c r="C14546" s="1" t="str">
        <f>"66298938763678"</f>
        <v>66298938763678</v>
      </c>
      <c r="D14546" s="1" t="str">
        <f>"6003-2RS"</f>
        <v>6003-2RS</v>
      </c>
      <c r="E14546" s="1" t="s">
        <v>4579</v>
      </c>
      <c r="F14546" s="1">
        <v>2</v>
      </c>
      <c r="G14546" s="1">
        <v>2240</v>
      </c>
      <c r="H14546" s="1">
        <v>4480</v>
      </c>
      <c r="I14546" s="1">
        <v>0</v>
      </c>
      <c r="J14546" s="1">
        <v>2</v>
      </c>
      <c r="K14546" s="1">
        <v>0</v>
      </c>
    </row>
    <row r="14547" spans="1:11" x14ac:dyDescent="0.2">
      <c r="A14547" s="1" t="s">
        <v>4000</v>
      </c>
      <c r="B14547" s="1" t="s">
        <v>4029</v>
      </c>
      <c r="C14547" s="1" t="str">
        <f>"6203-2RS"</f>
        <v>6203-2RS</v>
      </c>
      <c r="D14547" s="1" t="str">
        <f>"6203-2RS"</f>
        <v>6203-2RS</v>
      </c>
      <c r="E14547" s="1" t="s">
        <v>4579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</row>
    <row r="14548" spans="1:11" x14ac:dyDescent="0.2">
      <c r="A14548" s="1" t="s">
        <v>4000</v>
      </c>
      <c r="B14548" s="1" t="s">
        <v>4030</v>
      </c>
      <c r="C14548" s="1" t="str">
        <f>"66298938811101"</f>
        <v>66298938811101</v>
      </c>
      <c r="D14548" s="1" t="str">
        <f>"6303-2RS-ICHBN"</f>
        <v>6303-2RS-ICHBN</v>
      </c>
      <c r="E14548" s="1" t="s">
        <v>4579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</row>
    <row r="14549" spans="1:11" x14ac:dyDescent="0.2">
      <c r="A14549" s="1" t="s">
        <v>4000</v>
      </c>
      <c r="B14549" s="1" t="s">
        <v>4031</v>
      </c>
      <c r="C14549" s="1" t="str">
        <f>"66298938875416"</f>
        <v>66298938875416</v>
      </c>
      <c r="D14549" s="1" t="str">
        <f>"6303-2RS"</f>
        <v>6303-2RS</v>
      </c>
      <c r="E14549" s="1" t="s">
        <v>4579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</row>
    <row r="14550" spans="1:11" x14ac:dyDescent="0.2">
      <c r="A14550" s="1" t="s">
        <v>4000</v>
      </c>
      <c r="B14550" s="1" t="s">
        <v>4032</v>
      </c>
      <c r="C14550" s="1" t="str">
        <f>"66298940703815"</f>
        <v>66298940703815</v>
      </c>
      <c r="D14550" s="1" t="str">
        <f>"91002-MN1-671GH"</f>
        <v>91002-MN1-671GH</v>
      </c>
      <c r="E14550" s="1" t="s">
        <v>4579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</row>
    <row r="14551" spans="1:11" x14ac:dyDescent="0.2">
      <c r="A14551" s="1" t="s">
        <v>4000</v>
      </c>
      <c r="B14551" s="1" t="s">
        <v>4033</v>
      </c>
      <c r="C14551" s="1" t="str">
        <f>"6904-2RS-CN"</f>
        <v>6904-2RS-CN</v>
      </c>
      <c r="D14551" s="1" t="str">
        <f>"6904-2RS-CN"</f>
        <v>6904-2RS-CN</v>
      </c>
      <c r="E14551" s="1" t="s">
        <v>4579</v>
      </c>
      <c r="F14551" s="1">
        <v>1</v>
      </c>
      <c r="G14551" s="1">
        <v>567</v>
      </c>
      <c r="H14551" s="1">
        <v>567</v>
      </c>
      <c r="I14551" s="1">
        <v>0</v>
      </c>
      <c r="J14551" s="1">
        <v>1</v>
      </c>
      <c r="K14551" s="1">
        <v>0</v>
      </c>
    </row>
    <row r="14552" spans="1:11" x14ac:dyDescent="0.2">
      <c r="A14552" s="1" t="s">
        <v>4000</v>
      </c>
      <c r="B14552" s="1" t="s">
        <v>4034</v>
      </c>
      <c r="C14552" s="1" t="str">
        <f>"66298938915480"</f>
        <v>66298938915480</v>
      </c>
      <c r="D14552" s="1" t="str">
        <f>"6004-2RS-CN"</f>
        <v>6004-2RS-CN</v>
      </c>
      <c r="E14552" s="1" t="s">
        <v>4579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</row>
    <row r="14553" spans="1:11" x14ac:dyDescent="0.2">
      <c r="A14553" s="1" t="s">
        <v>4000</v>
      </c>
      <c r="B14553" s="1" t="s">
        <v>4035</v>
      </c>
      <c r="C14553" s="1" t="str">
        <f>"66298938955939"</f>
        <v>66298938955939</v>
      </c>
      <c r="D14553" s="1" t="str">
        <f>"6004-ZZ"</f>
        <v>6004-ZZ</v>
      </c>
      <c r="E14553" s="1" t="s">
        <v>4579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</row>
    <row r="14554" spans="1:11" x14ac:dyDescent="0.2">
      <c r="A14554" s="1" t="s">
        <v>4000</v>
      </c>
      <c r="B14554" s="1" t="s">
        <v>4036</v>
      </c>
      <c r="C14554" s="1" t="str">
        <f>"66298938997317"</f>
        <v>66298938997317</v>
      </c>
      <c r="D14554" s="1" t="str">
        <f>"6204-2RS-CN"</f>
        <v>6204-2RS-CN</v>
      </c>
      <c r="E14554" s="1" t="s">
        <v>4579</v>
      </c>
      <c r="F14554" s="1">
        <v>2</v>
      </c>
      <c r="G14554" s="1">
        <v>765</v>
      </c>
      <c r="H14554" s="1">
        <v>1530</v>
      </c>
      <c r="I14554" s="1">
        <v>0</v>
      </c>
      <c r="J14554" s="1">
        <v>2</v>
      </c>
      <c r="K14554" s="1">
        <v>0</v>
      </c>
    </row>
    <row r="14555" spans="1:11" x14ac:dyDescent="0.2">
      <c r="A14555" s="1" t="s">
        <v>4000</v>
      </c>
      <c r="B14555" s="1" t="s">
        <v>4037</v>
      </c>
      <c r="C14555" s="1" t="str">
        <f>"66298939039884"</f>
        <v>66298939039884</v>
      </c>
      <c r="D14555" s="1" t="str">
        <f>"6204-ICHBN"</f>
        <v>6204-ICHBN</v>
      </c>
      <c r="E14555" s="1" t="s">
        <v>4579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</row>
    <row r="14556" spans="1:11" x14ac:dyDescent="0.2">
      <c r="A14556" s="1" t="s">
        <v>4000</v>
      </c>
      <c r="B14556" s="1" t="s">
        <v>4038</v>
      </c>
      <c r="C14556" s="1" t="str">
        <f>"66298939079767"</f>
        <v>66298939079767</v>
      </c>
      <c r="D14556" s="1" t="str">
        <f>"62204-2RS-CN"</f>
        <v>62204-2RS-CN</v>
      </c>
      <c r="E14556" s="1" t="s">
        <v>4579</v>
      </c>
      <c r="F14556" s="1">
        <v>2</v>
      </c>
      <c r="G14556" s="1">
        <v>1321</v>
      </c>
      <c r="H14556" s="1">
        <v>2642</v>
      </c>
      <c r="I14556" s="1">
        <v>0</v>
      </c>
      <c r="J14556" s="1">
        <v>2</v>
      </c>
      <c r="K14556" s="1">
        <v>0</v>
      </c>
    </row>
    <row r="14557" spans="1:11" x14ac:dyDescent="0.2">
      <c r="A14557" s="1" t="s">
        <v>4000</v>
      </c>
      <c r="B14557" s="1" t="s">
        <v>4039</v>
      </c>
      <c r="C14557" s="1" t="str">
        <f>"66298939121786"</f>
        <v>66298939121786</v>
      </c>
      <c r="D14557" s="1" t="str">
        <f>"6304-2RS-ICH"</f>
        <v>6304-2RS-ICH</v>
      </c>
      <c r="E14557" s="1" t="s">
        <v>4579</v>
      </c>
      <c r="F14557" s="1">
        <v>2</v>
      </c>
      <c r="G14557" s="1">
        <v>1263</v>
      </c>
      <c r="H14557" s="1">
        <v>2526</v>
      </c>
      <c r="I14557" s="1">
        <v>0</v>
      </c>
      <c r="J14557" s="1">
        <v>2</v>
      </c>
      <c r="K14557" s="1">
        <v>0</v>
      </c>
    </row>
    <row r="14558" spans="1:11" x14ac:dyDescent="0.2">
      <c r="A14558" s="1" t="s">
        <v>4000</v>
      </c>
      <c r="B14558" s="1" t="s">
        <v>4040</v>
      </c>
      <c r="C14558" s="1" t="str">
        <f>"66298939164175"</f>
        <v>66298939164175</v>
      </c>
      <c r="D14558" s="1" t="str">
        <f>"6304-2RS"</f>
        <v>6304-2RS</v>
      </c>
      <c r="E14558" s="1" t="s">
        <v>4579</v>
      </c>
      <c r="F14558" s="1">
        <v>2</v>
      </c>
      <c r="G14558" s="1">
        <v>3893</v>
      </c>
      <c r="H14558" s="1">
        <v>7786</v>
      </c>
      <c r="I14558" s="1">
        <v>0</v>
      </c>
      <c r="J14558" s="1">
        <v>2</v>
      </c>
      <c r="K14558" s="1">
        <v>0</v>
      </c>
    </row>
    <row r="14559" spans="1:11" x14ac:dyDescent="0.2">
      <c r="A14559" s="1" t="s">
        <v>4000</v>
      </c>
      <c r="B14559" s="1" t="s">
        <v>4041</v>
      </c>
      <c r="C14559" s="1" t="str">
        <f>"66298939207556"</f>
        <v>66298939207556</v>
      </c>
      <c r="D14559" s="1" t="str">
        <f>"60/22-2RS"</f>
        <v>60/22-2RS</v>
      </c>
      <c r="E14559" s="1" t="s">
        <v>4579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</row>
    <row r="14560" spans="1:11" x14ac:dyDescent="0.2">
      <c r="A14560" s="1" t="s">
        <v>4000</v>
      </c>
      <c r="B14560" s="1" t="s">
        <v>4042</v>
      </c>
      <c r="C14560" s="1" t="str">
        <f>"66298939251553"</f>
        <v>66298939251553</v>
      </c>
      <c r="D14560" s="1" t="str">
        <f>"62/22C3"</f>
        <v>62/22C3</v>
      </c>
      <c r="E14560" s="1" t="s">
        <v>4579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</row>
    <row r="14561" spans="1:11" x14ac:dyDescent="0.2">
      <c r="A14561" s="1" t="s">
        <v>4000</v>
      </c>
      <c r="B14561" s="1" t="s">
        <v>4042</v>
      </c>
      <c r="C14561" s="1" t="str">
        <f>"66298939257286"</f>
        <v>66298939257286</v>
      </c>
      <c r="D14561" s="1" t="str">
        <f>"62/22-2RS"</f>
        <v>62/22-2RS</v>
      </c>
      <c r="E14561" s="1" t="s">
        <v>4579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</row>
    <row r="14562" spans="1:11" x14ac:dyDescent="0.2">
      <c r="A14562" s="1" t="s">
        <v>4000</v>
      </c>
      <c r="B14562" s="1" t="s">
        <v>4043</v>
      </c>
      <c r="C14562" s="1" t="str">
        <f>"66298939311110"</f>
        <v>66298939311110</v>
      </c>
      <c r="D14562" s="1" t="str">
        <f>"6905-2RS"</f>
        <v>6905-2RS</v>
      </c>
      <c r="E14562" s="1" t="s">
        <v>4579</v>
      </c>
      <c r="F14562" s="1">
        <v>1</v>
      </c>
      <c r="G14562" s="1">
        <v>8526</v>
      </c>
      <c r="H14562" s="1">
        <v>8526</v>
      </c>
      <c r="I14562" s="1">
        <v>0</v>
      </c>
      <c r="J14562" s="1">
        <v>1</v>
      </c>
      <c r="K14562" s="1">
        <v>0</v>
      </c>
    </row>
    <row r="14563" spans="1:11" x14ac:dyDescent="0.2">
      <c r="A14563" s="1" t="s">
        <v>4000</v>
      </c>
      <c r="B14563" s="1" t="s">
        <v>4044</v>
      </c>
      <c r="C14563" s="1" t="str">
        <f>"66298939357248"</f>
        <v>66298939357248</v>
      </c>
      <c r="D14563" s="1" t="str">
        <f>"6005-2RS-CN"</f>
        <v>6005-2RS-CN</v>
      </c>
      <c r="E14563" s="1" t="s">
        <v>4579</v>
      </c>
      <c r="F14563" s="1">
        <v>1</v>
      </c>
      <c r="G14563" s="1">
        <v>818</v>
      </c>
      <c r="H14563" s="1">
        <v>818</v>
      </c>
      <c r="I14563" s="1">
        <v>0</v>
      </c>
      <c r="J14563" s="1">
        <v>1</v>
      </c>
      <c r="K14563" s="1">
        <v>0</v>
      </c>
    </row>
    <row r="14564" spans="1:11" x14ac:dyDescent="0.2">
      <c r="A14564" s="1" t="s">
        <v>4000</v>
      </c>
      <c r="B14564" s="1" t="s">
        <v>4045</v>
      </c>
      <c r="C14564" s="1" t="str">
        <f>"66298939402022"</f>
        <v>66298939402022</v>
      </c>
      <c r="D14564" s="1" t="str">
        <f>"6005-2RSICHB"</f>
        <v>6005-2RSICHB</v>
      </c>
      <c r="E14564" s="1" t="s">
        <v>4579</v>
      </c>
      <c r="F14564" s="1">
        <v>2</v>
      </c>
      <c r="G14564" s="1">
        <v>1184</v>
      </c>
      <c r="H14564" s="1">
        <v>2368</v>
      </c>
      <c r="I14564" s="1">
        <v>0</v>
      </c>
      <c r="J14564" s="1">
        <v>2</v>
      </c>
      <c r="K14564" s="1">
        <v>0</v>
      </c>
    </row>
    <row r="14565" spans="1:11" x14ac:dyDescent="0.2">
      <c r="A14565" s="1" t="s">
        <v>4000</v>
      </c>
      <c r="B14565" s="1" t="s">
        <v>4046</v>
      </c>
      <c r="C14565" s="1" t="str">
        <f>"66298939442931"</f>
        <v>66298939442931</v>
      </c>
      <c r="D14565" s="1" t="str">
        <f>"6005-2RS"</f>
        <v>6005-2RS</v>
      </c>
      <c r="E14565" s="1" t="s">
        <v>4579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</row>
    <row r="14566" spans="1:11" x14ac:dyDescent="0.2">
      <c r="A14566" s="1" t="s">
        <v>4000</v>
      </c>
      <c r="B14566" s="1" t="s">
        <v>4047</v>
      </c>
      <c r="C14566" s="1" t="str">
        <f>"32005-CN"</f>
        <v>32005-CN</v>
      </c>
      <c r="D14566" s="1" t="str">
        <f>"32005-CN"</f>
        <v>32005-CN</v>
      </c>
      <c r="E14566" s="1" t="s">
        <v>4579</v>
      </c>
      <c r="F14566" s="1">
        <v>1</v>
      </c>
      <c r="G14566" s="1">
        <v>1305</v>
      </c>
      <c r="H14566" s="1">
        <v>1305</v>
      </c>
      <c r="I14566" s="1">
        <v>0</v>
      </c>
      <c r="J14566" s="1">
        <v>1</v>
      </c>
      <c r="K14566" s="1">
        <v>0</v>
      </c>
    </row>
    <row r="14567" spans="1:11" x14ac:dyDescent="0.2">
      <c r="A14567" s="1" t="s">
        <v>4000</v>
      </c>
      <c r="B14567" s="1" t="s">
        <v>4048</v>
      </c>
      <c r="C14567" s="1" t="str">
        <f>"66298939482967"</f>
        <v>66298939482967</v>
      </c>
      <c r="D14567" s="1" t="str">
        <f>"30205-CN"</f>
        <v>30205-CN</v>
      </c>
      <c r="E14567" s="1" t="s">
        <v>4579</v>
      </c>
      <c r="F14567" s="1">
        <v>1</v>
      </c>
      <c r="G14567" s="1">
        <v>1572</v>
      </c>
      <c r="H14567" s="1">
        <v>1572</v>
      </c>
      <c r="I14567" s="1">
        <v>0</v>
      </c>
      <c r="J14567" s="1">
        <v>1</v>
      </c>
      <c r="K14567" s="1">
        <v>0</v>
      </c>
    </row>
    <row r="14568" spans="1:11" x14ac:dyDescent="0.2">
      <c r="A14568" s="1" t="s">
        <v>4000</v>
      </c>
      <c r="B14568" s="1" t="s">
        <v>4049</v>
      </c>
      <c r="C14568" s="1" t="str">
        <f>"6205-2RS-CN"</f>
        <v>6205-2RS-CN</v>
      </c>
      <c r="D14568" s="1" t="str">
        <f>"6205-2RS-CN"</f>
        <v>6205-2RS-CN</v>
      </c>
      <c r="E14568" s="1" t="s">
        <v>4579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</row>
    <row r="14569" spans="1:11" x14ac:dyDescent="0.2">
      <c r="A14569" s="1" t="s">
        <v>4000</v>
      </c>
      <c r="B14569" s="1" t="s">
        <v>4050</v>
      </c>
      <c r="C14569" s="1" t="str">
        <f>"66298940486883"</f>
        <v>66298940486883</v>
      </c>
      <c r="D14569" s="1" t="str">
        <f>"98305AC4"</f>
        <v>98305AC4</v>
      </c>
      <c r="E14569" s="1" t="s">
        <v>4579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</row>
    <row r="14570" spans="1:11" x14ac:dyDescent="0.2">
      <c r="A14570" s="1" t="s">
        <v>4000</v>
      </c>
      <c r="B14570" s="1" t="s">
        <v>4051</v>
      </c>
      <c r="C14570" s="1" t="str">
        <f>"66298940309931"</f>
        <v>66298940309931</v>
      </c>
      <c r="D14570" s="1" t="str">
        <f>"6305RI"</f>
        <v>6305RI</v>
      </c>
      <c r="E14570" s="1" t="s">
        <v>4579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</row>
    <row r="14571" spans="1:11" x14ac:dyDescent="0.2">
      <c r="A14571" s="1" t="s">
        <v>4000</v>
      </c>
      <c r="B14571" s="1" t="s">
        <v>4052</v>
      </c>
      <c r="C14571" s="1" t="str">
        <f>"6305-2RS-CN"</f>
        <v>6305-2RS-CN</v>
      </c>
      <c r="D14571" s="1" t="str">
        <f>"6305-2RS-CN"</f>
        <v>6305-2RS-CN</v>
      </c>
      <c r="E14571" s="1" t="s">
        <v>4579</v>
      </c>
      <c r="F14571" s="1">
        <v>1</v>
      </c>
      <c r="G14571" s="1">
        <v>1233</v>
      </c>
      <c r="H14571" s="1">
        <v>1233</v>
      </c>
      <c r="I14571" s="1">
        <v>0</v>
      </c>
      <c r="J14571" s="1">
        <v>1</v>
      </c>
      <c r="K14571" s="1">
        <v>0</v>
      </c>
    </row>
    <row r="14572" spans="1:11" x14ac:dyDescent="0.2">
      <c r="A14572" s="1" t="s">
        <v>4000</v>
      </c>
      <c r="B14572" s="1" t="s">
        <v>4053</v>
      </c>
      <c r="C14572" s="1" t="str">
        <f>"66298939525939"</f>
        <v>66298939525939</v>
      </c>
      <c r="D14572" s="1" t="str">
        <f>"6305-2NSE-ICHBN"</f>
        <v>6305-2NSE-ICHBN</v>
      </c>
      <c r="E14572" s="1" t="s">
        <v>4579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</row>
    <row r="14573" spans="1:11" x14ac:dyDescent="0.2">
      <c r="A14573" s="1" t="s">
        <v>4000</v>
      </c>
      <c r="B14573" s="1" t="s">
        <v>4054</v>
      </c>
      <c r="C14573" s="1" t="str">
        <f>"66298939568596"</f>
        <v>66298939568596</v>
      </c>
      <c r="D14573" s="1" t="str">
        <f>"6305-2RS"</f>
        <v>6305-2RS</v>
      </c>
      <c r="E14573" s="1" t="s">
        <v>4579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</row>
    <row r="14574" spans="1:11" x14ac:dyDescent="0.2">
      <c r="A14574" s="1" t="s">
        <v>4000</v>
      </c>
      <c r="B14574" s="1" t="s">
        <v>4055</v>
      </c>
      <c r="C14574" s="1" t="str">
        <f>"66298940572433"</f>
        <v>66298940572433</v>
      </c>
      <c r="D14574" s="1" t="str">
        <f>"SAC2647-1"</f>
        <v>SAC2647-1</v>
      </c>
      <c r="E14574" s="1" t="s">
        <v>4579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</row>
    <row r="14575" spans="1:11" x14ac:dyDescent="0.2">
      <c r="A14575" s="1" t="s">
        <v>4000</v>
      </c>
      <c r="B14575" s="1" t="s">
        <v>4056</v>
      </c>
      <c r="C14575" s="1" t="str">
        <f>"66298940616884"</f>
        <v>66298940616884</v>
      </c>
      <c r="D14575" s="1" t="str">
        <f>"1070"</f>
        <v>1070</v>
      </c>
      <c r="E14575" s="1" t="s">
        <v>4579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</row>
    <row r="14576" spans="1:11" x14ac:dyDescent="0.2">
      <c r="A14576" s="1" t="s">
        <v>4000</v>
      </c>
      <c r="B14576" s="1" t="s">
        <v>4057</v>
      </c>
      <c r="C14576" s="1" t="str">
        <f>"66298939608431"</f>
        <v>66298939608431</v>
      </c>
      <c r="D14576" s="1" t="str">
        <f>"62/28-2RS"</f>
        <v>62/28-2RS</v>
      </c>
      <c r="E14576" s="1" t="s">
        <v>4579</v>
      </c>
      <c r="F14576" s="1">
        <v>1</v>
      </c>
      <c r="G14576" s="1">
        <v>5248</v>
      </c>
      <c r="H14576" s="1">
        <v>5248</v>
      </c>
      <c r="I14576" s="1">
        <v>0</v>
      </c>
      <c r="J14576" s="1">
        <v>1</v>
      </c>
      <c r="K14576" s="1">
        <v>0</v>
      </c>
    </row>
    <row r="14577" spans="1:11" x14ac:dyDescent="0.2">
      <c r="A14577" s="1" t="s">
        <v>4000</v>
      </c>
      <c r="B14577" s="1" t="s">
        <v>4058</v>
      </c>
      <c r="C14577" s="1" t="str">
        <f>"66298939653043"</f>
        <v>66298939653043</v>
      </c>
      <c r="D14577" s="1" t="str">
        <f>"83024"</f>
        <v>83024</v>
      </c>
      <c r="E14577" s="1" t="s">
        <v>4579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</row>
    <row r="14578" spans="1:11" x14ac:dyDescent="0.2">
      <c r="A14578" s="1" t="s">
        <v>4000</v>
      </c>
      <c r="B14578" s="1" t="s">
        <v>4059</v>
      </c>
      <c r="C14578" s="1" t="str">
        <f>"66298940386029"</f>
        <v>66298940386029</v>
      </c>
      <c r="D14578" s="1" t="str">
        <f>"28BCS15NSL2"</f>
        <v>28BCS15NSL2</v>
      </c>
      <c r="E14578" s="1" t="s">
        <v>4579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</row>
    <row r="14579" spans="1:11" ht="30" x14ac:dyDescent="0.2">
      <c r="A14579" s="1" t="s">
        <v>4000</v>
      </c>
      <c r="B14579" s="1" t="s">
        <v>4060</v>
      </c>
      <c r="C14579" s="1" t="str">
        <f>"66300304170647"</f>
        <v>66300304170647</v>
      </c>
      <c r="D14579" s="1" t="str">
        <f>"91001-KPF-901GH"</f>
        <v>91001-KPF-901GH</v>
      </c>
      <c r="E14579" s="1" t="s">
        <v>4579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</row>
    <row r="14580" spans="1:11" x14ac:dyDescent="0.2">
      <c r="A14580" s="1" t="s">
        <v>4000</v>
      </c>
      <c r="B14580" s="1" t="s">
        <v>4061</v>
      </c>
      <c r="C14580" s="1" t="str">
        <f>"66298939695933"</f>
        <v>66298939695933</v>
      </c>
      <c r="D14580" s="1" t="str">
        <f>"6906-2RS"</f>
        <v>6906-2RS</v>
      </c>
      <c r="E14580" s="1" t="s">
        <v>4579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</row>
    <row r="14581" spans="1:11" x14ac:dyDescent="0.2">
      <c r="A14581" s="1" t="s">
        <v>4000</v>
      </c>
      <c r="B14581" s="1" t="s">
        <v>4062</v>
      </c>
      <c r="C14581" s="1" t="str">
        <f>"6006-2RS-CN"</f>
        <v>6006-2RS-CN</v>
      </c>
      <c r="D14581" s="1" t="str">
        <f>"6006-2RS-CN"</f>
        <v>6006-2RS-CN</v>
      </c>
      <c r="E14581" s="1" t="s">
        <v>4579</v>
      </c>
      <c r="F14581" s="1">
        <v>1</v>
      </c>
      <c r="G14581" s="1">
        <v>873</v>
      </c>
      <c r="H14581" s="1">
        <v>873</v>
      </c>
      <c r="I14581" s="1">
        <v>0</v>
      </c>
      <c r="J14581" s="1">
        <v>1</v>
      </c>
      <c r="K14581" s="1">
        <v>0</v>
      </c>
    </row>
    <row r="14582" spans="1:11" x14ac:dyDescent="0.2">
      <c r="A14582" s="1" t="s">
        <v>4000</v>
      </c>
      <c r="B14582" s="1" t="s">
        <v>4063</v>
      </c>
      <c r="C14582" s="1" t="str">
        <f>"66298939738265"</f>
        <v>66298939738265</v>
      </c>
      <c r="D14582" s="1" t="str">
        <f>"6006-2RS"</f>
        <v>6006-2RS</v>
      </c>
      <c r="E14582" s="1" t="s">
        <v>4579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</row>
    <row r="14583" spans="1:11" x14ac:dyDescent="0.2">
      <c r="A14583" s="1" t="s">
        <v>4000</v>
      </c>
      <c r="B14583" s="1" t="s">
        <v>4064</v>
      </c>
      <c r="C14583" s="1" t="str">
        <f>"66298939778267"</f>
        <v>66298939778267</v>
      </c>
      <c r="D14583" s="1" t="str">
        <f>"32006-CN"</f>
        <v>32006-CN</v>
      </c>
      <c r="E14583" s="1" t="s">
        <v>4579</v>
      </c>
      <c r="F14583" s="1">
        <v>1</v>
      </c>
      <c r="G14583" s="1">
        <v>1572</v>
      </c>
      <c r="H14583" s="1">
        <v>1572</v>
      </c>
      <c r="I14583" s="1">
        <v>0</v>
      </c>
      <c r="J14583" s="1">
        <v>1</v>
      </c>
      <c r="K14583" s="1">
        <v>0</v>
      </c>
    </row>
    <row r="14584" spans="1:11" x14ac:dyDescent="0.2">
      <c r="A14584" s="1" t="s">
        <v>4000</v>
      </c>
      <c r="B14584" s="1" t="s">
        <v>4065</v>
      </c>
      <c r="C14584" s="1" t="str">
        <f>"66298940658463"</f>
        <v>66298940658463</v>
      </c>
      <c r="D14584" s="1" t="str">
        <f>"SAC-3055-1"</f>
        <v>SAC-3055-1</v>
      </c>
      <c r="E14584" s="1" t="s">
        <v>4579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</row>
    <row r="14585" spans="1:11" x14ac:dyDescent="0.2">
      <c r="A14585" s="1" t="s">
        <v>4000</v>
      </c>
      <c r="B14585" s="1" t="s">
        <v>4066</v>
      </c>
      <c r="C14585" s="1" t="str">
        <f>"66298939825999"</f>
        <v>66298939825999</v>
      </c>
      <c r="D14585" s="1" t="str">
        <f>"6206-ZZ-ICHBN"</f>
        <v>6206-ZZ-ICHBN</v>
      </c>
      <c r="E14585" s="1" t="s">
        <v>4579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</row>
    <row r="14586" spans="1:11" x14ac:dyDescent="0.2">
      <c r="A14586" s="1" t="s">
        <v>4000</v>
      </c>
      <c r="B14586" s="1" t="s">
        <v>4066</v>
      </c>
      <c r="C14586" s="1" t="str">
        <f>"66298939833181"</f>
        <v>66298939833181</v>
      </c>
      <c r="D14586" s="1" t="str">
        <f>"6206-2RS-ICHBN"</f>
        <v>6206-2RS-ICHBN</v>
      </c>
      <c r="E14586" s="1" t="s">
        <v>4579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</row>
    <row r="14587" spans="1:11" x14ac:dyDescent="0.2">
      <c r="A14587" s="1" t="s">
        <v>4000</v>
      </c>
      <c r="B14587" s="1" t="s">
        <v>4067</v>
      </c>
      <c r="C14587" s="1" t="str">
        <f>"66298939885613"</f>
        <v>66298939885613</v>
      </c>
      <c r="D14587" s="1" t="str">
        <f>"6306/17-2RS"</f>
        <v>6306/17-2RS</v>
      </c>
      <c r="E14587" s="1" t="s">
        <v>4579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</row>
    <row r="14588" spans="1:11" x14ac:dyDescent="0.2">
      <c r="A14588" s="1" t="s">
        <v>4000</v>
      </c>
      <c r="B14588" s="1" t="s">
        <v>4068</v>
      </c>
      <c r="C14588" s="1" t="str">
        <f>"66298939925063"</f>
        <v>66298939925063</v>
      </c>
      <c r="D14588" s="1" t="str">
        <f>"6306-ZNR-ICH"</f>
        <v>6306-ZNR-ICH</v>
      </c>
      <c r="E14588" s="1" t="s">
        <v>4579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</row>
    <row r="14589" spans="1:11" x14ac:dyDescent="0.2">
      <c r="A14589" s="1" t="s">
        <v>4000</v>
      </c>
      <c r="B14589" s="1" t="s">
        <v>4069</v>
      </c>
      <c r="C14589" s="1" t="str">
        <f>"6207-C3-KOYO"</f>
        <v>6207-C3-KOYO</v>
      </c>
      <c r="D14589" s="1" t="str">
        <f>"6207-C3-KOYO"</f>
        <v>6207-C3-KOYO</v>
      </c>
      <c r="E14589" s="1" t="s">
        <v>4579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</row>
    <row r="14590" spans="1:11" x14ac:dyDescent="0.2">
      <c r="A14590" s="1" t="s">
        <v>4000</v>
      </c>
      <c r="B14590" s="1" t="s">
        <v>4070</v>
      </c>
      <c r="C14590" s="1" t="str">
        <f>"6007-2RS-CN"</f>
        <v>6007-2RS-CN</v>
      </c>
      <c r="D14590" s="1" t="str">
        <f>"6007-2RS-CN"</f>
        <v>6007-2RS-CN</v>
      </c>
      <c r="E14590" s="1" t="s">
        <v>4579</v>
      </c>
      <c r="F14590" s="1">
        <v>1</v>
      </c>
      <c r="G14590" s="1">
        <v>1233</v>
      </c>
      <c r="H14590" s="1">
        <v>1233</v>
      </c>
      <c r="I14590" s="1">
        <v>0</v>
      </c>
      <c r="J14590" s="1">
        <v>1</v>
      </c>
      <c r="K14590" s="1">
        <v>0</v>
      </c>
    </row>
    <row r="14591" spans="1:11" x14ac:dyDescent="0.2">
      <c r="A14591" s="1" t="s">
        <v>4000</v>
      </c>
      <c r="B14591" s="1" t="s">
        <v>4071</v>
      </c>
      <c r="C14591" s="1" t="str">
        <f>"66298939967055"</f>
        <v>66298939967055</v>
      </c>
      <c r="D14591" s="1" t="str">
        <f>"6207-2RSC3"</f>
        <v>6207-2RSC3</v>
      </c>
      <c r="E14591" s="1" t="s">
        <v>4579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</row>
    <row r="14592" spans="1:11" x14ac:dyDescent="0.2">
      <c r="A14592" s="1" t="s">
        <v>4000</v>
      </c>
      <c r="B14592" s="1" t="s">
        <v>4072</v>
      </c>
      <c r="C14592" s="1" t="str">
        <f>"66298940439238"</f>
        <v>66298940439238</v>
      </c>
      <c r="D14592" s="1" t="str">
        <f>"6207-C3"</f>
        <v>6207-C3</v>
      </c>
      <c r="E14592" s="1" t="s">
        <v>4579</v>
      </c>
      <c r="F14592" s="1">
        <v>1</v>
      </c>
      <c r="G14592" s="1">
        <v>2234</v>
      </c>
      <c r="H14592" s="1">
        <v>2234</v>
      </c>
      <c r="I14592" s="1">
        <v>0</v>
      </c>
      <c r="J14592" s="1">
        <v>1</v>
      </c>
      <c r="K14592" s="1">
        <v>0</v>
      </c>
    </row>
    <row r="14593" spans="1:11" x14ac:dyDescent="0.2">
      <c r="A14593" s="1" t="s">
        <v>4000</v>
      </c>
      <c r="B14593" s="1" t="s">
        <v>4073</v>
      </c>
      <c r="C14593" s="1" t="str">
        <f>"66298940019351"</f>
        <v>66298940019351</v>
      </c>
      <c r="D14593" s="1" t="str">
        <f>"6307-ZNR-ICHBN"</f>
        <v>6307-ZNR-ICHBN</v>
      </c>
      <c r="E14593" s="1" t="s">
        <v>4579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</row>
    <row r="14594" spans="1:11" x14ac:dyDescent="0.2">
      <c r="A14594" s="1" t="s">
        <v>4000</v>
      </c>
      <c r="B14594" s="1" t="s">
        <v>4074</v>
      </c>
      <c r="C14594" s="1" t="str">
        <f>"6908ZZCM"</f>
        <v>6908ZZCM</v>
      </c>
      <c r="D14594" s="1" t="str">
        <f>"6908ZZCM"</f>
        <v>6908ZZCM</v>
      </c>
      <c r="E14594" s="1" t="s">
        <v>4579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</row>
    <row r="14595" spans="1:11" x14ac:dyDescent="0.2">
      <c r="A14595" s="1" t="s">
        <v>4000</v>
      </c>
      <c r="B14595" s="1" t="s">
        <v>4075</v>
      </c>
      <c r="C14595" s="1" t="str">
        <f>"6008-2RS"</f>
        <v>6008-2RS</v>
      </c>
      <c r="D14595" s="1" t="str">
        <f>"6008-2RS"</f>
        <v>6008-2RS</v>
      </c>
      <c r="E14595" s="1" t="s">
        <v>4579</v>
      </c>
      <c r="F14595" s="1">
        <v>1</v>
      </c>
      <c r="G14595" s="1">
        <v>1305.01</v>
      </c>
      <c r="H14595" s="1">
        <v>1305</v>
      </c>
      <c r="I14595" s="1">
        <v>0</v>
      </c>
      <c r="J14595" s="1">
        <v>1</v>
      </c>
      <c r="K14595" s="1">
        <v>0</v>
      </c>
    </row>
    <row r="14596" spans="1:11" x14ac:dyDescent="0.2">
      <c r="A14596" s="1" t="s">
        <v>4000</v>
      </c>
      <c r="B14596" s="1" t="s">
        <v>4076</v>
      </c>
      <c r="C14596" s="1" t="str">
        <f>"66298940101219"</f>
        <v>66298940101219</v>
      </c>
      <c r="D14596" s="1" t="str">
        <f>"DG-4070-A"</f>
        <v>DG-4070-A</v>
      </c>
      <c r="E14596" s="1" t="s">
        <v>4579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</row>
    <row r="14597" spans="1:11" x14ac:dyDescent="0.2">
      <c r="A14597" s="1" t="s">
        <v>4000</v>
      </c>
      <c r="B14597" s="1" t="s">
        <v>4077</v>
      </c>
      <c r="C14597" s="1" t="str">
        <f>"66298940188147"</f>
        <v>66298940188147</v>
      </c>
      <c r="D14597" s="1" t="str">
        <f>"30208-CN"</f>
        <v>30208-CN</v>
      </c>
      <c r="E14597" s="1" t="s">
        <v>4579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</row>
    <row r="14598" spans="1:11" x14ac:dyDescent="0.2">
      <c r="A14598" s="1" t="s">
        <v>18</v>
      </c>
      <c r="B14598" s="1" t="s">
        <v>4078</v>
      </c>
      <c r="C14598" s="1" t="str">
        <f>"66298940829368"</f>
        <v>66298940829368</v>
      </c>
      <c r="D14598" s="1" t="str">
        <f>"817"</f>
        <v>817</v>
      </c>
      <c r="E14598" s="1" t="s">
        <v>4579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</row>
    <row r="14599" spans="1:11" x14ac:dyDescent="0.2">
      <c r="A14599" s="1" t="s">
        <v>18</v>
      </c>
      <c r="B14599" s="1" t="s">
        <v>4079</v>
      </c>
      <c r="C14599" s="1" t="str">
        <f>"66298940874552"</f>
        <v>66298940874552</v>
      </c>
      <c r="D14599" s="1" t="str">
        <f>"1382"</f>
        <v>1382</v>
      </c>
      <c r="E14599" s="1" t="s">
        <v>4579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</row>
    <row r="14600" spans="1:11" x14ac:dyDescent="0.2">
      <c r="A14600" s="1" t="s">
        <v>18</v>
      </c>
      <c r="B14600" s="1" t="s">
        <v>4080</v>
      </c>
      <c r="C14600" s="1" t="str">
        <f>"66298940922228"</f>
        <v>66298940922228</v>
      </c>
      <c r="D14600" s="1" t="str">
        <f>"4158"</f>
        <v>4158</v>
      </c>
      <c r="E14600" s="1" t="s">
        <v>4579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</row>
    <row r="14601" spans="1:11" x14ac:dyDescent="0.2">
      <c r="A14601" s="1" t="s">
        <v>18</v>
      </c>
      <c r="B14601" s="1" t="s">
        <v>4080</v>
      </c>
      <c r="C14601" s="1" t="str">
        <f>"WA032"</f>
        <v>WA032</v>
      </c>
      <c r="D14601" s="1" t="str">
        <f>"WA032"</f>
        <v>WA032</v>
      </c>
      <c r="E14601" s="1" t="s">
        <v>4579</v>
      </c>
      <c r="F14601" s="1">
        <v>1</v>
      </c>
      <c r="G14601" s="1">
        <v>8670</v>
      </c>
      <c r="H14601" s="1">
        <v>8670</v>
      </c>
      <c r="I14601" s="1">
        <v>0</v>
      </c>
      <c r="J14601" s="1">
        <v>1</v>
      </c>
      <c r="K14601" s="1">
        <v>0</v>
      </c>
    </row>
    <row r="14602" spans="1:11" x14ac:dyDescent="0.2">
      <c r="A14602" s="1" t="s">
        <v>18</v>
      </c>
      <c r="B14602" s="1" t="s">
        <v>4081</v>
      </c>
      <c r="C14602" s="1" t="str">
        <f>"66298940787514"</f>
        <v>66298940787514</v>
      </c>
      <c r="D14602" s="1" t="str">
        <f>"1365"</f>
        <v>1365</v>
      </c>
      <c r="E14602" s="1" t="s">
        <v>4579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</row>
    <row r="14603" spans="1:11" x14ac:dyDescent="0.2">
      <c r="A14603" s="1" t="s">
        <v>18</v>
      </c>
      <c r="B14603" s="1" t="s">
        <v>4082</v>
      </c>
      <c r="C14603" s="1" t="str">
        <f>"66298940962453"</f>
        <v>66298940962453</v>
      </c>
      <c r="D14603" s="1" t="str">
        <f>"WA055-AMARILLO"</f>
        <v>WA055-AMARILLO</v>
      </c>
      <c r="E14603" s="1" t="s">
        <v>4579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</row>
    <row r="14604" spans="1:11" x14ac:dyDescent="0.2">
      <c r="A14604" s="1" t="s">
        <v>18</v>
      </c>
      <c r="B14604" s="1" t="s">
        <v>4083</v>
      </c>
      <c r="C14604" s="1" t="str">
        <f>"66298941005248"</f>
        <v>66298941005248</v>
      </c>
      <c r="D14604" s="1" t="str">
        <f>"WA055-BLANCO"</f>
        <v>WA055-BLANCO</v>
      </c>
      <c r="E14604" s="1" t="s">
        <v>4579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</row>
    <row r="14605" spans="1:11" x14ac:dyDescent="0.2">
      <c r="A14605" s="1" t="s">
        <v>18</v>
      </c>
      <c r="B14605" s="1" t="s">
        <v>4084</v>
      </c>
      <c r="C14605" s="1" t="str">
        <f>"66298941044965"</f>
        <v>66298941044965</v>
      </c>
      <c r="D14605" s="1" t="str">
        <f>"WA055-CELESTE"</f>
        <v>WA055-CELESTE</v>
      </c>
      <c r="E14605" s="1" t="s">
        <v>4579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</row>
    <row r="14606" spans="1:11" x14ac:dyDescent="0.2">
      <c r="A14606" s="1" t="s">
        <v>98</v>
      </c>
      <c r="B14606" s="1" t="s">
        <v>4085</v>
      </c>
      <c r="C14606" s="1" t="str">
        <f>"66298941087470"</f>
        <v>66298941087470</v>
      </c>
      <c r="D14606" s="1" t="str">
        <f>"400769"</f>
        <v>400769</v>
      </c>
      <c r="E14606" s="1" t="s">
        <v>4579</v>
      </c>
      <c r="F14606" s="1">
        <v>2</v>
      </c>
      <c r="G14606" s="1">
        <v>1228</v>
      </c>
      <c r="H14606" s="1">
        <v>2456</v>
      </c>
      <c r="I14606" s="1">
        <v>0</v>
      </c>
      <c r="J14606" s="1">
        <v>2</v>
      </c>
      <c r="K14606" s="1">
        <v>0</v>
      </c>
    </row>
    <row r="14607" spans="1:11" x14ac:dyDescent="0.2">
      <c r="A14607" s="1" t="s">
        <v>98</v>
      </c>
      <c r="B14607" s="1" t="s">
        <v>4086</v>
      </c>
      <c r="C14607" s="1" t="str">
        <f>"66298941132041"</f>
        <v>66298941132041</v>
      </c>
      <c r="D14607" s="1" t="str">
        <f>"B095B"</f>
        <v>B095B</v>
      </c>
      <c r="E14607" s="1" t="s">
        <v>4579</v>
      </c>
      <c r="F14607" s="1">
        <v>1</v>
      </c>
      <c r="G14607" s="1">
        <v>1490</v>
      </c>
      <c r="H14607" s="1">
        <v>1490</v>
      </c>
      <c r="I14607" s="1">
        <v>0</v>
      </c>
      <c r="J14607" s="1">
        <v>1</v>
      </c>
      <c r="K14607" s="1">
        <v>0</v>
      </c>
    </row>
    <row r="14608" spans="1:11" x14ac:dyDescent="0.2">
      <c r="A14608" s="1" t="s">
        <v>98</v>
      </c>
      <c r="B14608" s="1" t="s">
        <v>4087</v>
      </c>
      <c r="C14608" s="1" t="str">
        <f>"B095"</f>
        <v>B095</v>
      </c>
      <c r="D14608" s="1" t="str">
        <f>"B095"</f>
        <v>B095</v>
      </c>
      <c r="E14608" s="1" t="s">
        <v>4579</v>
      </c>
      <c r="F14608" s="1">
        <v>1</v>
      </c>
      <c r="G14608" s="1">
        <v>1490</v>
      </c>
      <c r="H14608" s="1">
        <v>1490</v>
      </c>
      <c r="I14608" s="1">
        <v>0</v>
      </c>
      <c r="J14608" s="1">
        <v>1</v>
      </c>
      <c r="K14608" s="1">
        <v>0</v>
      </c>
    </row>
    <row r="14609" spans="1:11" x14ac:dyDescent="0.2">
      <c r="A14609" s="1" t="s">
        <v>98</v>
      </c>
      <c r="B14609" s="1" t="s">
        <v>4088</v>
      </c>
      <c r="C14609" s="1" t="str">
        <f>"66298941223294"</f>
        <v>66298941223294</v>
      </c>
      <c r="D14609" s="1" t="str">
        <f>"400768"</f>
        <v>400768</v>
      </c>
      <c r="E14609" s="1" t="s">
        <v>4579</v>
      </c>
      <c r="F14609" s="1">
        <v>2</v>
      </c>
      <c r="G14609" s="1">
        <v>936</v>
      </c>
      <c r="H14609" s="1">
        <v>1872</v>
      </c>
      <c r="I14609" s="1">
        <v>0</v>
      </c>
      <c r="J14609" s="1">
        <v>2</v>
      </c>
      <c r="K14609" s="1">
        <v>0</v>
      </c>
    </row>
    <row r="14610" spans="1:11" x14ac:dyDescent="0.2">
      <c r="A14610" s="1" t="s">
        <v>98</v>
      </c>
      <c r="B14610" s="1" t="s">
        <v>4089</v>
      </c>
      <c r="C14610" s="1" t="str">
        <f>"66298941264145"</f>
        <v>66298941264145</v>
      </c>
      <c r="D14610" s="1" t="str">
        <f>"CP013"</f>
        <v>CP013</v>
      </c>
      <c r="E14610" s="1" t="s">
        <v>4579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</row>
    <row r="14611" spans="1:11" x14ac:dyDescent="0.2">
      <c r="A14611" s="1" t="s">
        <v>4090</v>
      </c>
      <c r="B14611" s="1" t="s">
        <v>4091</v>
      </c>
      <c r="C14611" s="1" t="str">
        <f>"CMST2201-0331"</f>
        <v>CMST2201-0331</v>
      </c>
      <c r="D14611" s="1" t="str">
        <f>"CMST2201-0331"</f>
        <v>CMST2201-0331</v>
      </c>
      <c r="E14611" s="1" t="s">
        <v>4579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</row>
    <row r="14612" spans="1:11" x14ac:dyDescent="0.2">
      <c r="A14612" s="1" t="s">
        <v>4092</v>
      </c>
      <c r="B14612" s="1" t="s">
        <v>4093</v>
      </c>
      <c r="C14612" s="1" t="str">
        <f>"NB007"</f>
        <v>NB007</v>
      </c>
      <c r="D14612" s="1" t="str">
        <f>"NB007"</f>
        <v>NB007</v>
      </c>
      <c r="E14612" s="1" t="s">
        <v>4579</v>
      </c>
      <c r="F14612" s="1">
        <v>5</v>
      </c>
      <c r="G14612" s="1">
        <v>120</v>
      </c>
      <c r="H14612" s="1">
        <v>600</v>
      </c>
      <c r="I14612" s="1">
        <v>0</v>
      </c>
      <c r="J14612" s="1">
        <v>5</v>
      </c>
      <c r="K14612" s="1">
        <v>0</v>
      </c>
    </row>
    <row r="14613" spans="1:11" ht="30" x14ac:dyDescent="0.2">
      <c r="A14613" s="1" t="s">
        <v>98</v>
      </c>
      <c r="B14613" s="1" t="s">
        <v>4094</v>
      </c>
      <c r="C14613" s="1" t="str">
        <f>"66298941302631"</f>
        <v>66298941302631</v>
      </c>
      <c r="D14613" s="1" t="str">
        <f>"NB009"</f>
        <v>NB009</v>
      </c>
      <c r="E14613" s="1" t="s">
        <v>4579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</row>
    <row r="14614" spans="1:11" x14ac:dyDescent="0.2">
      <c r="A14614" s="1" t="s">
        <v>98</v>
      </c>
      <c r="B14614" s="1" t="s">
        <v>4095</v>
      </c>
      <c r="C14614" s="1" t="str">
        <f>"66298941348939"</f>
        <v>66298941348939</v>
      </c>
      <c r="D14614" s="1" t="str">
        <f>"84905"</f>
        <v>84905</v>
      </c>
      <c r="E14614" s="1" t="s">
        <v>4579</v>
      </c>
      <c r="F14614" s="1">
        <v>10</v>
      </c>
      <c r="G14614" s="1">
        <v>59</v>
      </c>
      <c r="H14614" s="1">
        <v>590</v>
      </c>
      <c r="I14614" s="1">
        <v>0</v>
      </c>
      <c r="J14614" s="1">
        <v>10</v>
      </c>
      <c r="K14614" s="1">
        <v>0</v>
      </c>
    </row>
    <row r="14615" spans="1:11" x14ac:dyDescent="0.2">
      <c r="A14615" s="1" t="s">
        <v>98</v>
      </c>
      <c r="B14615" s="1" t="s">
        <v>4096</v>
      </c>
      <c r="C14615" s="1" t="str">
        <f>"66298941399997"</f>
        <v>66298941399997</v>
      </c>
      <c r="D14615" s="1" t="str">
        <f>"NB001"</f>
        <v>NB001</v>
      </c>
      <c r="E14615" s="1" t="s">
        <v>4579</v>
      </c>
      <c r="F14615" s="1">
        <v>4</v>
      </c>
      <c r="G14615" s="1">
        <v>100</v>
      </c>
      <c r="H14615" s="1">
        <v>400</v>
      </c>
      <c r="I14615" s="1">
        <v>0</v>
      </c>
      <c r="J14615" s="1">
        <v>4</v>
      </c>
      <c r="K14615" s="1">
        <v>0</v>
      </c>
    </row>
    <row r="14616" spans="1:11" x14ac:dyDescent="0.2">
      <c r="A14616" s="1" t="s">
        <v>4092</v>
      </c>
      <c r="B14616" s="1" t="s">
        <v>4096</v>
      </c>
      <c r="C14616" s="1" t="str">
        <f>"NB006"</f>
        <v>NB006</v>
      </c>
      <c r="D14616" s="1" t="str">
        <f>"NB006"</f>
        <v>NB006</v>
      </c>
      <c r="E14616" s="1" t="s">
        <v>4579</v>
      </c>
      <c r="F14616" s="1">
        <v>4</v>
      </c>
      <c r="G14616" s="1">
        <v>200</v>
      </c>
      <c r="H14616" s="1">
        <v>800</v>
      </c>
      <c r="I14616" s="1">
        <v>0</v>
      </c>
      <c r="J14616" s="1">
        <v>4</v>
      </c>
      <c r="K14616" s="1">
        <v>0</v>
      </c>
    </row>
    <row r="14617" spans="1:11" x14ac:dyDescent="0.2">
      <c r="A14617" s="1" t="s">
        <v>98</v>
      </c>
      <c r="B14617" s="1" t="s">
        <v>4097</v>
      </c>
      <c r="C14617" s="1" t="str">
        <f>"66298941439805"</f>
        <v>66298941439805</v>
      </c>
      <c r="D14617" s="1" t="str">
        <f>"23802-KAE-870BR"</f>
        <v>23802-KAE-870BR</v>
      </c>
      <c r="E14617" s="1" t="s">
        <v>4579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</row>
    <row r="14618" spans="1:11" x14ac:dyDescent="0.2">
      <c r="A14618" s="1" t="s">
        <v>98</v>
      </c>
      <c r="B14618" s="1" t="s">
        <v>4098</v>
      </c>
      <c r="C14618" s="1" t="str">
        <f>"66298941482242"</f>
        <v>66298941482242</v>
      </c>
      <c r="D14618" s="1" t="str">
        <f>"NB002"</f>
        <v>NB002</v>
      </c>
      <c r="E14618" s="1" t="s">
        <v>4579</v>
      </c>
      <c r="F14618" s="1">
        <v>4</v>
      </c>
      <c r="G14618" s="1">
        <v>100</v>
      </c>
      <c r="H14618" s="1">
        <v>400</v>
      </c>
      <c r="I14618" s="1">
        <v>0</v>
      </c>
      <c r="J14618" s="1">
        <v>4</v>
      </c>
      <c r="K14618" s="1">
        <v>0</v>
      </c>
    </row>
    <row r="14619" spans="1:11" x14ac:dyDescent="0.2">
      <c r="A14619" s="1" t="s">
        <v>4092</v>
      </c>
      <c r="B14619" s="1" t="s">
        <v>4099</v>
      </c>
      <c r="C14619" s="1" t="str">
        <f>"BR470.16"</f>
        <v>BR470.16</v>
      </c>
      <c r="D14619" s="1" t="str">
        <f>"BR470.16"</f>
        <v>BR470.16</v>
      </c>
      <c r="E14619" s="1" t="s">
        <v>4579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</row>
    <row r="14620" spans="1:11" x14ac:dyDescent="0.2">
      <c r="A14620" s="1" t="s">
        <v>98</v>
      </c>
      <c r="B14620" s="1" t="s">
        <v>4100</v>
      </c>
      <c r="C14620" s="1" t="str">
        <f>"66298941523654"</f>
        <v>66298941523654</v>
      </c>
      <c r="D14620" s="1" t="str">
        <f>"NB008"</f>
        <v>NB008</v>
      </c>
      <c r="E14620" s="1" t="s">
        <v>4579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</row>
    <row r="14621" spans="1:11" x14ac:dyDescent="0.2">
      <c r="A14621" s="1" t="s">
        <v>4092</v>
      </c>
      <c r="B14621" s="1" t="s">
        <v>4101</v>
      </c>
      <c r="C14621" s="1" t="str">
        <f>"49CC75"</f>
        <v>49CC75</v>
      </c>
      <c r="D14621" s="1" t="str">
        <f>"49CC75"</f>
        <v>49CC75</v>
      </c>
      <c r="E14621" s="1" t="s">
        <v>4579</v>
      </c>
      <c r="F14621" s="1">
        <v>2</v>
      </c>
      <c r="G14621" s="1">
        <v>340</v>
      </c>
      <c r="H14621" s="1">
        <v>680</v>
      </c>
      <c r="I14621" s="1">
        <v>0</v>
      </c>
      <c r="J14621" s="1">
        <v>2</v>
      </c>
      <c r="K14621" s="1">
        <v>0</v>
      </c>
    </row>
    <row r="14622" spans="1:11" x14ac:dyDescent="0.2">
      <c r="A14622" s="1" t="s">
        <v>98</v>
      </c>
      <c r="B14622" s="1" t="s">
        <v>4102</v>
      </c>
      <c r="C14622" s="1" t="str">
        <f>"66298941566597"</f>
        <v>66298941566597</v>
      </c>
      <c r="D14622" s="1" t="str">
        <f>"83028"</f>
        <v>83028</v>
      </c>
      <c r="E14622" s="1" t="s">
        <v>4579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</row>
    <row r="14623" spans="1:11" x14ac:dyDescent="0.2">
      <c r="A14623" s="1" t="s">
        <v>98</v>
      </c>
      <c r="B14623" s="1" t="s">
        <v>4103</v>
      </c>
      <c r="C14623" s="1" t="str">
        <f>"66298941608595"</f>
        <v>66298941608595</v>
      </c>
      <c r="D14623" s="1" t="str">
        <f>"S-500"</f>
        <v>S-500</v>
      </c>
      <c r="E14623" s="1" t="s">
        <v>4579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</row>
    <row r="14624" spans="1:11" x14ac:dyDescent="0.2">
      <c r="A14624" s="1" t="s">
        <v>3887</v>
      </c>
      <c r="B14624" s="1" t="s">
        <v>4104</v>
      </c>
      <c r="C14624" s="1" t="str">
        <f>"38BE211900JP"</f>
        <v>38BE211900JP</v>
      </c>
      <c r="D14624" s="1" t="str">
        <f>"38BE211900JP"</f>
        <v>38BE211900JP</v>
      </c>
      <c r="E14624" s="1" t="s">
        <v>4579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</row>
    <row r="14625" spans="1:11" x14ac:dyDescent="0.2">
      <c r="A14625" s="1" t="s">
        <v>98</v>
      </c>
      <c r="B14625" s="1" t="s">
        <v>4105</v>
      </c>
      <c r="C14625" s="1" t="str">
        <f>"66298941656387"</f>
        <v>66298941656387</v>
      </c>
      <c r="D14625" s="1" t="str">
        <f>"5H0-12119-00JP"</f>
        <v>5H0-12119-00JP</v>
      </c>
      <c r="E14625" s="1" t="s">
        <v>4579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</row>
    <row r="14626" spans="1:11" x14ac:dyDescent="0.2">
      <c r="A14626" s="1" t="s">
        <v>98</v>
      </c>
      <c r="B14626" s="1" t="s">
        <v>4106</v>
      </c>
      <c r="C14626" s="1" t="str">
        <f>"66298941700772"</f>
        <v>66298941700772</v>
      </c>
      <c r="D14626" s="1" t="str">
        <f>"12208-413-003JP"</f>
        <v>12208-413-003JP</v>
      </c>
      <c r="E14626" s="1" t="s">
        <v>4579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</row>
    <row r="14627" spans="1:11" x14ac:dyDescent="0.2">
      <c r="A14627" s="1" t="s">
        <v>4107</v>
      </c>
      <c r="B14627" s="1" t="s">
        <v>4106</v>
      </c>
      <c r="C14627" s="1" t="str">
        <f>"CR008-A"</f>
        <v>CR008-A</v>
      </c>
      <c r="D14627" s="1" t="str">
        <f>"CR008-A"</f>
        <v>CR008-A</v>
      </c>
      <c r="E14627" s="1" t="s">
        <v>4579</v>
      </c>
      <c r="F14627" s="1">
        <v>18</v>
      </c>
      <c r="G14627" s="1">
        <v>120</v>
      </c>
      <c r="H14627" s="1">
        <v>2160</v>
      </c>
      <c r="I14627" s="1">
        <v>0</v>
      </c>
      <c r="J14627" s="1">
        <v>18</v>
      </c>
      <c r="K14627" s="1">
        <v>0</v>
      </c>
    </row>
    <row r="14628" spans="1:11" x14ac:dyDescent="0.2">
      <c r="A14628" s="1" t="s">
        <v>98</v>
      </c>
      <c r="B14628" s="1" t="s">
        <v>4108</v>
      </c>
      <c r="C14628" s="1" t="str">
        <f>"66298941741496"</f>
        <v>66298941741496</v>
      </c>
      <c r="D14628" s="1" t="str">
        <f>"5ER-E2119-00JP"</f>
        <v>5ER-E2119-00JP</v>
      </c>
      <c r="E14628" s="1" t="s">
        <v>4579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</row>
    <row r="14629" spans="1:11" x14ac:dyDescent="0.2">
      <c r="A14629" s="1" t="s">
        <v>98</v>
      </c>
      <c r="B14629" s="1" t="s">
        <v>4109</v>
      </c>
      <c r="C14629" s="1" t="str">
        <f>"66298941833931"</f>
        <v>66298941833931</v>
      </c>
      <c r="D14629" s="1" t="str">
        <f>"09289-05015JP"</f>
        <v>09289-05015JP</v>
      </c>
      <c r="E14629" s="1" t="s">
        <v>4579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</row>
    <row r="14630" spans="1:11" x14ac:dyDescent="0.2">
      <c r="A14630" s="1" t="s">
        <v>3887</v>
      </c>
      <c r="B14630" s="1" t="s">
        <v>4110</v>
      </c>
      <c r="C14630" s="1" t="str">
        <f>"66298941785269"</f>
        <v>66298941785269</v>
      </c>
      <c r="D14630" s="1" t="str">
        <f>"09289-05011JP"</f>
        <v>09289-05011JP</v>
      </c>
      <c r="E14630" s="1" t="s">
        <v>4579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</row>
    <row r="14631" spans="1:11" x14ac:dyDescent="0.2">
      <c r="A14631" s="1" t="s">
        <v>98</v>
      </c>
      <c r="B14631" s="1" t="s">
        <v>4111</v>
      </c>
      <c r="C14631" s="1" t="str">
        <f>"66298941873932"</f>
        <v>66298941873932</v>
      </c>
      <c r="D14631" s="1" t="str">
        <f>"39-2017-19"</f>
        <v>39-2017-19</v>
      </c>
      <c r="E14631" s="1" t="s">
        <v>4579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</row>
    <row r="14632" spans="1:11" x14ac:dyDescent="0.2">
      <c r="A14632" s="1" t="s">
        <v>98</v>
      </c>
      <c r="B14632" s="1" t="s">
        <v>4112</v>
      </c>
      <c r="C14632" s="1" t="str">
        <f>"66298941915655"</f>
        <v>66298941915655</v>
      </c>
      <c r="D14632" s="1" t="str">
        <f>"33M-12119-00GY"</f>
        <v>33M-12119-00GY</v>
      </c>
      <c r="E14632" s="1" t="s">
        <v>4579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</row>
    <row r="14633" spans="1:11" x14ac:dyDescent="0.2">
      <c r="A14633" s="1" t="s">
        <v>98</v>
      </c>
      <c r="B14633" s="1" t="s">
        <v>4113</v>
      </c>
      <c r="C14633" s="1" t="str">
        <f>"66298941963736"</f>
        <v>66298941963736</v>
      </c>
      <c r="D14633" s="1" t="str">
        <f>"12209-GB4-681JP"</f>
        <v>12209-GB4-681JP</v>
      </c>
      <c r="E14633" s="1" t="s">
        <v>4579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</row>
    <row r="14634" spans="1:11" x14ac:dyDescent="0.2">
      <c r="A14634" s="1" t="s">
        <v>98</v>
      </c>
      <c r="B14634" s="1" t="s">
        <v>4114</v>
      </c>
      <c r="C14634" s="1" t="str">
        <f>"66298942014364"</f>
        <v>66298942014364</v>
      </c>
      <c r="D14634" s="1" t="str">
        <f>"12209-MN1-671JP"</f>
        <v>12209-MN1-671JP</v>
      </c>
      <c r="E14634" s="1" t="s">
        <v>4579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</row>
    <row r="14635" spans="1:11" ht="30" x14ac:dyDescent="0.2">
      <c r="A14635" s="1" t="s">
        <v>98</v>
      </c>
      <c r="B14635" s="1" t="s">
        <v>4115</v>
      </c>
      <c r="C14635" s="1" t="str">
        <f>"66298942056942"</f>
        <v>66298942056942</v>
      </c>
      <c r="D14635" s="1" t="str">
        <f>"4LS-E2119-00JP"</f>
        <v>4LS-E2119-00JP</v>
      </c>
      <c r="E14635" s="1" t="s">
        <v>4579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</row>
    <row r="14636" spans="1:11" x14ac:dyDescent="0.2">
      <c r="A14636" s="1" t="s">
        <v>4107</v>
      </c>
      <c r="B14636" s="1" t="s">
        <v>4116</v>
      </c>
      <c r="C14636" s="1" t="str">
        <f>"44BBN-J"</f>
        <v>44BBN-J</v>
      </c>
      <c r="D14636" s="1" t="str">
        <f>"44BBN-J"</f>
        <v>44BBN-J</v>
      </c>
      <c r="E14636" s="1" t="s">
        <v>4579</v>
      </c>
      <c r="F14636" s="1">
        <v>9</v>
      </c>
      <c r="G14636" s="1">
        <v>990</v>
      </c>
      <c r="H14636" s="1">
        <v>8910</v>
      </c>
      <c r="I14636" s="1">
        <v>0</v>
      </c>
      <c r="J14636" s="1">
        <v>9</v>
      </c>
      <c r="K14636" s="1">
        <v>0</v>
      </c>
    </row>
    <row r="14637" spans="1:11" x14ac:dyDescent="0.2">
      <c r="A14637" s="1" t="s">
        <v>98</v>
      </c>
      <c r="B14637" s="1" t="s">
        <v>4117</v>
      </c>
      <c r="C14637" s="1" t="str">
        <f>"66298942100278"</f>
        <v>66298942100278</v>
      </c>
      <c r="D14637" s="1" t="str">
        <f>"LX180-F7-9"</f>
        <v>LX180-F7-9</v>
      </c>
      <c r="E14637" s="1" t="s">
        <v>4579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</row>
    <row r="14638" spans="1:11" x14ac:dyDescent="0.2">
      <c r="A14638" s="1" t="s">
        <v>98</v>
      </c>
      <c r="B14638" s="1" t="s">
        <v>4118</v>
      </c>
      <c r="C14638" s="1" t="str">
        <f>"66298942145949"</f>
        <v>66298942145949</v>
      </c>
      <c r="D14638" s="1" t="str">
        <f>"CD002"</f>
        <v>CD002</v>
      </c>
      <c r="E14638" s="1" t="s">
        <v>4579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</row>
    <row r="14639" spans="1:11" x14ac:dyDescent="0.2">
      <c r="A14639" s="1" t="s">
        <v>98</v>
      </c>
      <c r="B14639" s="1" t="s">
        <v>4119</v>
      </c>
      <c r="C14639" s="1" t="str">
        <f>"66298942185031"</f>
        <v>66298942185031</v>
      </c>
      <c r="D14639" s="1" t="str">
        <f>"83034"</f>
        <v>83034</v>
      </c>
      <c r="E14639" s="1" t="s">
        <v>4579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</row>
    <row r="14640" spans="1:11" x14ac:dyDescent="0.2">
      <c r="A14640" s="1" t="s">
        <v>98</v>
      </c>
      <c r="B14640" s="1" t="s">
        <v>4120</v>
      </c>
      <c r="C14640" s="1" t="str">
        <f>"66298942224288"</f>
        <v>66298942224288</v>
      </c>
      <c r="D14640" s="1" t="str">
        <f>"84912"</f>
        <v>84912</v>
      </c>
      <c r="E14640" s="1" t="s">
        <v>4579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</row>
    <row r="14641" spans="1:11" x14ac:dyDescent="0.2">
      <c r="A14641" s="1" t="s">
        <v>15</v>
      </c>
      <c r="B14641" s="1" t="s">
        <v>4121</v>
      </c>
      <c r="C14641" s="1" t="str">
        <f>"10503"</f>
        <v>10503</v>
      </c>
      <c r="D14641" s="1" t="str">
        <f>"10503"</f>
        <v>10503</v>
      </c>
      <c r="E14641" s="1" t="s">
        <v>4579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</row>
    <row r="14642" spans="1:11" x14ac:dyDescent="0.2">
      <c r="A14642" s="1" t="s">
        <v>15</v>
      </c>
      <c r="B14642" s="1" t="s">
        <v>4122</v>
      </c>
      <c r="C14642" s="1" t="str">
        <f>"66298942265594"</f>
        <v>66298942265594</v>
      </c>
      <c r="D14642" s="1" t="str">
        <f>"H177"</f>
        <v>H177</v>
      </c>
      <c r="E14642" s="1" t="s">
        <v>4579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</row>
    <row r="14643" spans="1:11" x14ac:dyDescent="0.2">
      <c r="A14643" s="1" t="s">
        <v>15</v>
      </c>
      <c r="B14643" s="1" t="s">
        <v>4123</v>
      </c>
      <c r="C14643" s="1" t="str">
        <f>"999"</f>
        <v>999</v>
      </c>
      <c r="D14643" s="1" t="str">
        <f>"999"</f>
        <v>999</v>
      </c>
      <c r="E14643" s="1" t="s">
        <v>4579</v>
      </c>
      <c r="F14643" s="1">
        <v>3</v>
      </c>
      <c r="G14643" s="1">
        <v>999</v>
      </c>
      <c r="H14643" s="1">
        <v>2997</v>
      </c>
      <c r="I14643" s="1">
        <v>0</v>
      </c>
      <c r="J14643" s="1">
        <v>3</v>
      </c>
      <c r="K14643" s="1">
        <v>0</v>
      </c>
    </row>
    <row r="14644" spans="1:11" x14ac:dyDescent="0.2">
      <c r="A14644" s="1" t="s">
        <v>15</v>
      </c>
      <c r="B14644" s="1" t="s">
        <v>4124</v>
      </c>
      <c r="C14644" s="1" t="str">
        <f>"11738"</f>
        <v>11738</v>
      </c>
      <c r="D14644" s="1" t="str">
        <f>"11738"</f>
        <v>11738</v>
      </c>
      <c r="E14644" s="1" t="s">
        <v>4579</v>
      </c>
      <c r="F14644" s="1">
        <v>1</v>
      </c>
      <c r="G14644" s="1">
        <v>2194</v>
      </c>
      <c r="H14644" s="1">
        <v>2194</v>
      </c>
      <c r="I14644" s="1">
        <v>0</v>
      </c>
      <c r="J14644" s="1">
        <v>1</v>
      </c>
      <c r="K14644" s="1">
        <v>0</v>
      </c>
    </row>
    <row r="14645" spans="1:11" x14ac:dyDescent="0.2">
      <c r="A14645" s="1" t="s">
        <v>15</v>
      </c>
      <c r="B14645" s="1" t="s">
        <v>4125</v>
      </c>
      <c r="C14645" s="1" t="str">
        <f>"11739"</f>
        <v>11739</v>
      </c>
      <c r="D14645" s="1" t="str">
        <f>"11739"</f>
        <v>11739</v>
      </c>
      <c r="E14645" s="1" t="s">
        <v>4579</v>
      </c>
      <c r="F14645" s="1">
        <v>1</v>
      </c>
      <c r="G14645" s="1">
        <v>2184</v>
      </c>
      <c r="H14645" s="1">
        <v>2184</v>
      </c>
      <c r="I14645" s="1">
        <v>0</v>
      </c>
      <c r="J14645" s="1">
        <v>1</v>
      </c>
      <c r="K14645" s="1">
        <v>0</v>
      </c>
    </row>
    <row r="14646" spans="1:11" x14ac:dyDescent="0.2">
      <c r="A14646" s="1" t="s">
        <v>98</v>
      </c>
      <c r="B14646" s="1" t="s">
        <v>4126</v>
      </c>
      <c r="C14646" s="1" t="str">
        <f>"66298942304165"</f>
        <v>66298942304165</v>
      </c>
      <c r="D14646" s="1" t="str">
        <f>"569"</f>
        <v>569</v>
      </c>
      <c r="E14646" s="1" t="s">
        <v>4579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</row>
    <row r="14647" spans="1:11" x14ac:dyDescent="0.2">
      <c r="A14647" s="1" t="s">
        <v>98</v>
      </c>
      <c r="B14647" s="1" t="s">
        <v>4127</v>
      </c>
      <c r="C14647" s="1" t="str">
        <f>"66298942344793"</f>
        <v>66298942344793</v>
      </c>
      <c r="D14647" s="1" t="str">
        <f>"QB007"</f>
        <v>QB007</v>
      </c>
      <c r="E14647" s="1" t="s">
        <v>4579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</row>
    <row r="14648" spans="1:11" x14ac:dyDescent="0.2">
      <c r="A14648" s="1" t="s">
        <v>98</v>
      </c>
      <c r="B14648" s="1" t="s">
        <v>4128</v>
      </c>
      <c r="C14648" s="1" t="str">
        <f>"66298942385060"</f>
        <v>66298942385060</v>
      </c>
      <c r="D14648" s="1" t="str">
        <f>"R035-B"</f>
        <v>R035-B</v>
      </c>
      <c r="E14648" s="1" t="s">
        <v>4579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</row>
    <row r="14649" spans="1:11" x14ac:dyDescent="0.2">
      <c r="A14649" s="1" t="s">
        <v>204</v>
      </c>
      <c r="B14649" s="1" t="s">
        <v>4129</v>
      </c>
      <c r="C14649" s="1" t="str">
        <f>"66298942428893"</f>
        <v>66298942428893</v>
      </c>
      <c r="D14649" s="1" t="str">
        <f>"400974"</f>
        <v>400974</v>
      </c>
      <c r="E14649" s="1" t="s">
        <v>4579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</row>
    <row r="14650" spans="1:11" x14ac:dyDescent="0.2">
      <c r="A14650" s="1" t="s">
        <v>204</v>
      </c>
      <c r="B14650" s="1" t="s">
        <v>4130</v>
      </c>
      <c r="C14650" s="1" t="str">
        <f>"66298942536211"</f>
        <v>66298942536211</v>
      </c>
      <c r="D14650" s="1" t="str">
        <f>"400975"</f>
        <v>400975</v>
      </c>
      <c r="E14650" s="1" t="s">
        <v>4579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</row>
    <row r="14651" spans="1:11" x14ac:dyDescent="0.2">
      <c r="A14651" s="1" t="s">
        <v>204</v>
      </c>
      <c r="B14651" s="1" t="s">
        <v>4131</v>
      </c>
      <c r="C14651" s="1" t="str">
        <f>"66298942473027"</f>
        <v>66298942473027</v>
      </c>
      <c r="D14651" s="1" t="str">
        <f>"PP-30105-999"</f>
        <v>PP-30105-999</v>
      </c>
      <c r="E14651" s="1" t="s">
        <v>4579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</row>
    <row r="14652" spans="1:11" x14ac:dyDescent="0.2">
      <c r="A14652" s="1" t="s">
        <v>204</v>
      </c>
      <c r="B14652" s="1" t="s">
        <v>4131</v>
      </c>
      <c r="C14652" s="1" t="str">
        <f>"66298942478951"</f>
        <v>66298942478951</v>
      </c>
      <c r="D14652" s="1" t="str">
        <f>"M112"</f>
        <v>M112</v>
      </c>
      <c r="E14652" s="1" t="s">
        <v>4579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</row>
    <row r="14653" spans="1:11" x14ac:dyDescent="0.2">
      <c r="A14653" s="1" t="s">
        <v>204</v>
      </c>
      <c r="B14653" s="1" t="s">
        <v>4132</v>
      </c>
      <c r="C14653" s="1" t="str">
        <f>"66298942578586"</f>
        <v>66298942578586</v>
      </c>
      <c r="D14653" s="1" t="str">
        <f>"400976"</f>
        <v>400976</v>
      </c>
      <c r="E14653" s="1" t="s">
        <v>4579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</row>
    <row r="14654" spans="1:11" x14ac:dyDescent="0.2">
      <c r="A14654" s="1" t="s">
        <v>2291</v>
      </c>
      <c r="B14654" s="1" t="s">
        <v>4133</v>
      </c>
      <c r="C14654" s="1" t="str">
        <f>"66298942618895"</f>
        <v>66298942618895</v>
      </c>
      <c r="D14654" s="1" t="str">
        <f>"R019"</f>
        <v>R019</v>
      </c>
      <c r="E14654" s="1" t="s">
        <v>4579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</row>
    <row r="14655" spans="1:11" x14ac:dyDescent="0.2">
      <c r="A14655" s="1" t="s">
        <v>18</v>
      </c>
      <c r="B14655" s="1" t="s">
        <v>4134</v>
      </c>
      <c r="C14655" s="1" t="str">
        <f>"2513"</f>
        <v>2513</v>
      </c>
      <c r="D14655" s="1" t="str">
        <f>"2513"</f>
        <v>2513</v>
      </c>
      <c r="E14655" s="1" t="s">
        <v>4579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</row>
    <row r="14656" spans="1:11" x14ac:dyDescent="0.2">
      <c r="A14656" s="1" t="s">
        <v>3441</v>
      </c>
      <c r="B14656" s="1" t="s">
        <v>4135</v>
      </c>
      <c r="C14656" s="1" t="str">
        <f>"66298942660722"</f>
        <v>66298942660722</v>
      </c>
      <c r="D14656" s="1" t="str">
        <f>"80909"</f>
        <v>80909</v>
      </c>
      <c r="E14656" s="1" t="s">
        <v>4579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</row>
    <row r="14657" spans="1:11" x14ac:dyDescent="0.2">
      <c r="A14657" s="1" t="s">
        <v>1413</v>
      </c>
      <c r="B14657" s="1" t="s">
        <v>4136</v>
      </c>
      <c r="C14657" s="1" t="str">
        <f>"B97F1640000"</f>
        <v>B97F1640000</v>
      </c>
      <c r="D14657" s="1" t="str">
        <f>"B97F1640000"</f>
        <v>B97F1640000</v>
      </c>
      <c r="E14657" s="1" t="s">
        <v>4579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</row>
    <row r="14658" spans="1:11" x14ac:dyDescent="0.2">
      <c r="A14658" s="1" t="s">
        <v>98</v>
      </c>
      <c r="B14658" s="1" t="s">
        <v>4137</v>
      </c>
      <c r="C14658" s="1" t="str">
        <f>"66298942707037"</f>
        <v>66298942707037</v>
      </c>
      <c r="D14658" s="1" t="str">
        <f>"Y295"</f>
        <v>Y295</v>
      </c>
      <c r="E14658" s="1" t="s">
        <v>4579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</row>
    <row r="14659" spans="1:11" x14ac:dyDescent="0.2">
      <c r="A14659" s="1" t="s">
        <v>3441</v>
      </c>
      <c r="B14659" s="1" t="s">
        <v>4138</v>
      </c>
      <c r="C14659" s="1" t="str">
        <f>"66298942747220"</f>
        <v>66298942747220</v>
      </c>
      <c r="D14659" s="1" t="str">
        <f>"84898"</f>
        <v>84898</v>
      </c>
      <c r="E14659" s="1" t="s">
        <v>4579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</row>
    <row r="14660" spans="1:11" x14ac:dyDescent="0.2">
      <c r="A14660" s="1" t="s">
        <v>15</v>
      </c>
      <c r="B14660" s="1" t="s">
        <v>4139</v>
      </c>
      <c r="C14660" s="1" t="str">
        <f>"66298942788554"</f>
        <v>66298942788554</v>
      </c>
      <c r="D14660" s="1" t="str">
        <f>"7836"</f>
        <v>7836</v>
      </c>
      <c r="E14660" s="1" t="s">
        <v>4579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</row>
    <row r="14661" spans="1:11" x14ac:dyDescent="0.2">
      <c r="A14661" s="1" t="s">
        <v>15</v>
      </c>
      <c r="B14661" s="1" t="s">
        <v>4140</v>
      </c>
      <c r="C14661" s="1" t="str">
        <f>"66298942834150"</f>
        <v>66298942834150</v>
      </c>
      <c r="D14661" s="1" t="str">
        <f>"1612"</f>
        <v>1612</v>
      </c>
      <c r="E14661" s="1" t="s">
        <v>4579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</row>
    <row r="14662" spans="1:11" x14ac:dyDescent="0.2">
      <c r="A14662" s="1" t="s">
        <v>15</v>
      </c>
      <c r="B14662" s="1" t="s">
        <v>4141</v>
      </c>
      <c r="C14662" s="1" t="str">
        <f>"11630"</f>
        <v>11630</v>
      </c>
      <c r="D14662" s="1" t="str">
        <f>"11630"</f>
        <v>11630</v>
      </c>
      <c r="E14662" s="1" t="s">
        <v>4579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</row>
    <row r="14663" spans="1:11" x14ac:dyDescent="0.2">
      <c r="A14663" s="1" t="s">
        <v>15</v>
      </c>
      <c r="B14663" s="1" t="s">
        <v>4142</v>
      </c>
      <c r="C14663" s="1" t="str">
        <f>"800649"</f>
        <v>800649</v>
      </c>
      <c r="D14663" s="1" t="str">
        <f>"800649"</f>
        <v>800649</v>
      </c>
      <c r="E14663" s="1" t="s">
        <v>4579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</row>
    <row r="14664" spans="1:11" x14ac:dyDescent="0.2">
      <c r="A14664" s="1" t="s">
        <v>15</v>
      </c>
      <c r="B14664" s="1" t="s">
        <v>4143</v>
      </c>
      <c r="C14664" s="1" t="str">
        <f>"66298942873927"</f>
        <v>66298942873927</v>
      </c>
      <c r="D14664" s="1" t="str">
        <f>"1602"</f>
        <v>1602</v>
      </c>
      <c r="E14664" s="1" t="s">
        <v>4579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</row>
    <row r="14665" spans="1:11" x14ac:dyDescent="0.2">
      <c r="A14665" s="1" t="s">
        <v>15</v>
      </c>
      <c r="B14665" s="1" t="s">
        <v>4144</v>
      </c>
      <c r="C14665" s="1" t="str">
        <f>"RPP9007ZPC"</f>
        <v>RPP9007ZPC</v>
      </c>
      <c r="D14665" s="1" t="str">
        <f>"RPP9007ZPC"</f>
        <v>RPP9007ZPC</v>
      </c>
      <c r="E14665" s="1" t="s">
        <v>4579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</row>
    <row r="14666" spans="1:11" x14ac:dyDescent="0.2">
      <c r="A14666" s="1" t="s">
        <v>15</v>
      </c>
      <c r="B14666" s="1" t="s">
        <v>4145</v>
      </c>
      <c r="C14666" s="1" t="str">
        <f>"66298942914550"</f>
        <v>66298942914550</v>
      </c>
      <c r="D14666" s="1" t="str">
        <f>"716C98"</f>
        <v>716C98</v>
      </c>
      <c r="E14666" s="1" t="s">
        <v>4579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</row>
    <row r="14667" spans="1:11" x14ac:dyDescent="0.2">
      <c r="A14667" s="1" t="s">
        <v>15</v>
      </c>
      <c r="B14667" s="1" t="s">
        <v>4146</v>
      </c>
      <c r="C14667" s="1" t="str">
        <f>"12147"</f>
        <v>12147</v>
      </c>
      <c r="D14667" s="1" t="str">
        <f>"12147"</f>
        <v>12147</v>
      </c>
      <c r="E14667" s="1" t="s">
        <v>4579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</row>
    <row r="14668" spans="1:11" x14ac:dyDescent="0.2">
      <c r="A14668" s="1" t="s">
        <v>15</v>
      </c>
      <c r="B14668" s="1" t="s">
        <v>4147</v>
      </c>
      <c r="C14668" s="1" t="str">
        <f>"H047"</f>
        <v>H047</v>
      </c>
      <c r="D14668" s="1" t="str">
        <f>"H047"</f>
        <v>H047</v>
      </c>
      <c r="E14668" s="1" t="s">
        <v>4579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</row>
    <row r="14669" spans="1:11" x14ac:dyDescent="0.2">
      <c r="A14669" s="1" t="s">
        <v>15</v>
      </c>
      <c r="B14669" s="1" t="s">
        <v>4148</v>
      </c>
      <c r="C14669" s="1" t="str">
        <f>"66298942958238"</f>
        <v>66298942958238</v>
      </c>
      <c r="D14669" s="1" t="str">
        <f>"702003"</f>
        <v>702003</v>
      </c>
      <c r="E14669" s="1" t="s">
        <v>4579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</row>
    <row r="14670" spans="1:11" x14ac:dyDescent="0.2">
      <c r="A14670" s="1" t="s">
        <v>15</v>
      </c>
      <c r="B14670" s="1" t="s">
        <v>4149</v>
      </c>
      <c r="C14670" s="1" t="str">
        <f>"66298942997297"</f>
        <v>66298942997297</v>
      </c>
      <c r="D14670" s="1" t="str">
        <f>"3394"</f>
        <v>3394</v>
      </c>
      <c r="E14670" s="1" t="s">
        <v>4579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</row>
    <row r="14671" spans="1:11" x14ac:dyDescent="0.2">
      <c r="A14671" s="1" t="s">
        <v>15</v>
      </c>
      <c r="B14671" s="1" t="s">
        <v>4150</v>
      </c>
      <c r="C14671" s="1" t="str">
        <f>"11609"</f>
        <v>11609</v>
      </c>
      <c r="D14671" s="1" t="str">
        <f>"11609"</f>
        <v>11609</v>
      </c>
      <c r="E14671" s="1" t="s">
        <v>4579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</row>
    <row r="14672" spans="1:11" x14ac:dyDescent="0.2">
      <c r="A14672" s="1" t="s">
        <v>15</v>
      </c>
      <c r="B14672" s="1" t="s">
        <v>4151</v>
      </c>
      <c r="C14672" s="1" t="str">
        <f>"11962"</f>
        <v>11962</v>
      </c>
      <c r="D14672" s="1" t="str">
        <f>"11962"</f>
        <v>11962</v>
      </c>
      <c r="E14672" s="1" t="s">
        <v>4579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</row>
    <row r="14673" spans="1:11" x14ac:dyDescent="0.2">
      <c r="A14673" s="1" t="s">
        <v>15</v>
      </c>
      <c r="B14673" s="1" t="s">
        <v>4152</v>
      </c>
      <c r="C14673" s="1" t="str">
        <f>"66298943038571"</f>
        <v>66298943038571</v>
      </c>
      <c r="D14673" s="1" t="str">
        <f>"800657"</f>
        <v>800657</v>
      </c>
      <c r="E14673" s="1" t="s">
        <v>4579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</row>
    <row r="14674" spans="1:11" x14ac:dyDescent="0.2">
      <c r="A14674" s="1" t="s">
        <v>15</v>
      </c>
      <c r="B14674" s="1" t="s">
        <v>4153</v>
      </c>
      <c r="C14674" s="1" t="str">
        <f>"66298943078471"</f>
        <v>66298943078471</v>
      </c>
      <c r="D14674" s="1" t="str">
        <f>"1579"</f>
        <v>1579</v>
      </c>
      <c r="E14674" s="1" t="s">
        <v>4579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</row>
    <row r="14675" spans="1:11" x14ac:dyDescent="0.2">
      <c r="A14675" s="1" t="s">
        <v>15</v>
      </c>
      <c r="B14675" s="1" t="s">
        <v>4154</v>
      </c>
      <c r="C14675" s="1" t="str">
        <f>"11627"</f>
        <v>11627</v>
      </c>
      <c r="D14675" s="1" t="str">
        <f>"11627"</f>
        <v>11627</v>
      </c>
      <c r="E14675" s="1" t="s">
        <v>4579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</row>
    <row r="14676" spans="1:11" x14ac:dyDescent="0.2">
      <c r="A14676" s="1" t="s">
        <v>15</v>
      </c>
      <c r="B14676" s="1" t="s">
        <v>4155</v>
      </c>
      <c r="C14676" s="1" t="str">
        <f>"18524"</f>
        <v>18524</v>
      </c>
      <c r="D14676" s="1" t="str">
        <f>"18524"</f>
        <v>18524</v>
      </c>
      <c r="E14676" s="1" t="s">
        <v>4579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</row>
    <row r="14677" spans="1:11" x14ac:dyDescent="0.2">
      <c r="A14677" s="1" t="s">
        <v>98</v>
      </c>
      <c r="B14677" s="1" t="s">
        <v>4156</v>
      </c>
      <c r="C14677" s="1" t="str">
        <f>"66298943120254"</f>
        <v>66298943120254</v>
      </c>
      <c r="D14677" s="1" t="str">
        <f>"81771"</f>
        <v>81771</v>
      </c>
      <c r="E14677" s="1" t="s">
        <v>4579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1">
        <v>0</v>
      </c>
    </row>
    <row r="14678" spans="1:11" x14ac:dyDescent="0.2">
      <c r="A14678" s="1" t="s">
        <v>98</v>
      </c>
      <c r="B14678" s="1" t="s">
        <v>4157</v>
      </c>
      <c r="C14678" s="1" t="str">
        <f>"66298943172358"</f>
        <v>66298943172358</v>
      </c>
      <c r="D14678" s="1" t="str">
        <f>"QH002"</f>
        <v>QH002</v>
      </c>
      <c r="E14678" s="1" t="s">
        <v>4579</v>
      </c>
      <c r="F14678" s="1">
        <v>1</v>
      </c>
      <c r="G14678" s="1">
        <v>270</v>
      </c>
      <c r="H14678" s="1">
        <v>270</v>
      </c>
      <c r="I14678" s="1">
        <v>0</v>
      </c>
      <c r="J14678" s="1">
        <v>1</v>
      </c>
      <c r="K14678" s="1">
        <v>0</v>
      </c>
    </row>
    <row r="14679" spans="1:11" x14ac:dyDescent="0.2">
      <c r="A14679" s="1" t="s">
        <v>98</v>
      </c>
      <c r="B14679" s="1" t="s">
        <v>4158</v>
      </c>
      <c r="C14679" s="1" t="str">
        <f>"66298943228023"</f>
        <v>66298943228023</v>
      </c>
      <c r="D14679" s="1" t="str">
        <f>"2FB-H2917-00"</f>
        <v>2FB-H2917-00</v>
      </c>
      <c r="E14679" s="1" t="s">
        <v>4579</v>
      </c>
      <c r="F14679" s="1">
        <v>1</v>
      </c>
      <c r="G14679" s="1">
        <v>2129</v>
      </c>
      <c r="H14679" s="1">
        <v>2129</v>
      </c>
      <c r="I14679" s="1">
        <v>0</v>
      </c>
      <c r="J14679" s="1">
        <v>1</v>
      </c>
      <c r="K14679" s="1">
        <v>0</v>
      </c>
    </row>
    <row r="14680" spans="1:11" x14ac:dyDescent="0.2">
      <c r="A14680" s="1" t="s">
        <v>98</v>
      </c>
      <c r="B14680" s="1" t="s">
        <v>4159</v>
      </c>
      <c r="C14680" s="1" t="str">
        <f>"66298943275647"</f>
        <v>66298943275647</v>
      </c>
      <c r="D14680" s="1" t="str">
        <f>"80310"</f>
        <v>80310</v>
      </c>
      <c r="E14680" s="1" t="s">
        <v>4579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</row>
    <row r="14681" spans="1:11" x14ac:dyDescent="0.2">
      <c r="A14681" s="1" t="s">
        <v>98</v>
      </c>
      <c r="B14681" s="1" t="s">
        <v>4160</v>
      </c>
      <c r="C14681" s="1" t="str">
        <f>"66298943319692"</f>
        <v>66298943319692</v>
      </c>
      <c r="D14681" s="1" t="str">
        <f>"QH001"</f>
        <v>QH001</v>
      </c>
      <c r="E14681" s="1" t="s">
        <v>4579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</row>
    <row r="14682" spans="1:11" x14ac:dyDescent="0.2">
      <c r="A14682" s="1" t="s">
        <v>98</v>
      </c>
      <c r="B14682" s="1" t="s">
        <v>4161</v>
      </c>
      <c r="C14682" s="1" t="str">
        <f>"66298943361183"</f>
        <v>66298943361183</v>
      </c>
      <c r="D14682" s="1" t="str">
        <f>"80312"</f>
        <v>80312</v>
      </c>
      <c r="E14682" s="1" t="s">
        <v>4579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</row>
    <row r="14683" spans="1:11" x14ac:dyDescent="0.2">
      <c r="A14683" s="1" t="s">
        <v>98</v>
      </c>
      <c r="B14683" s="1" t="s">
        <v>4162</v>
      </c>
      <c r="C14683" s="1" t="str">
        <f>"66298943610666"</f>
        <v>66298943610666</v>
      </c>
      <c r="D14683" s="1" t="str">
        <f>"BG001"</f>
        <v>BG001</v>
      </c>
      <c r="E14683" s="1" t="s">
        <v>4579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</row>
    <row r="14684" spans="1:11" x14ac:dyDescent="0.2">
      <c r="A14684" s="1" t="s">
        <v>4163</v>
      </c>
      <c r="B14684" s="1" t="s">
        <v>4162</v>
      </c>
      <c r="C14684" s="1" t="str">
        <f>"QG007"</f>
        <v>QG007</v>
      </c>
      <c r="D14684" s="1" t="str">
        <f>"QG007"</f>
        <v>QG007</v>
      </c>
      <c r="E14684" s="1" t="s">
        <v>4579</v>
      </c>
      <c r="F14684" s="1">
        <v>5</v>
      </c>
      <c r="G14684" s="1">
        <v>290</v>
      </c>
      <c r="H14684" s="1">
        <v>1450</v>
      </c>
      <c r="I14684" s="1">
        <v>0</v>
      </c>
      <c r="J14684" s="1">
        <v>5</v>
      </c>
      <c r="K14684" s="1">
        <v>0</v>
      </c>
    </row>
    <row r="14685" spans="1:11" x14ac:dyDescent="0.2">
      <c r="A14685" s="1" t="s">
        <v>98</v>
      </c>
      <c r="B14685" s="1" t="s">
        <v>4164</v>
      </c>
      <c r="C14685" s="1" t="str">
        <f>"66298943404653"</f>
        <v>66298943404653</v>
      </c>
      <c r="D14685" s="1" t="str">
        <f>"BG002"</f>
        <v>BG002</v>
      </c>
      <c r="E14685" s="1" t="s">
        <v>4579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</row>
    <row r="14686" spans="1:11" x14ac:dyDescent="0.2">
      <c r="A14686" s="1" t="s">
        <v>98</v>
      </c>
      <c r="B14686" s="1" t="s">
        <v>4165</v>
      </c>
      <c r="C14686" s="1" t="str">
        <f>"66298943445925"</f>
        <v>66298943445925</v>
      </c>
      <c r="D14686" s="1" t="str">
        <f>"80313"</f>
        <v>80313</v>
      </c>
      <c r="E14686" s="1" t="s">
        <v>4579</v>
      </c>
      <c r="F14686" s="1">
        <v>2</v>
      </c>
      <c r="G14686" s="1">
        <v>420</v>
      </c>
      <c r="H14686" s="1">
        <v>840</v>
      </c>
      <c r="I14686" s="1">
        <v>0</v>
      </c>
      <c r="J14686" s="1">
        <v>2</v>
      </c>
      <c r="K14686" s="1">
        <v>0</v>
      </c>
    </row>
    <row r="14687" spans="1:11" x14ac:dyDescent="0.2">
      <c r="A14687" s="1" t="s">
        <v>98</v>
      </c>
      <c r="B14687" s="1" t="s">
        <v>4166</v>
      </c>
      <c r="C14687" s="1" t="str">
        <f>"66298943486698"</f>
        <v>66298943486698</v>
      </c>
      <c r="D14687" s="1" t="str">
        <f>"QH003"</f>
        <v>QH003</v>
      </c>
      <c r="E14687" s="1" t="s">
        <v>4579</v>
      </c>
      <c r="F14687" s="1">
        <v>1</v>
      </c>
      <c r="G14687" s="1">
        <v>642</v>
      </c>
      <c r="H14687" s="1">
        <v>642</v>
      </c>
      <c r="I14687" s="1">
        <v>0</v>
      </c>
      <c r="J14687" s="1">
        <v>1</v>
      </c>
      <c r="K14687" s="1">
        <v>0</v>
      </c>
    </row>
    <row r="14688" spans="1:11" x14ac:dyDescent="0.2">
      <c r="A14688" s="1" t="s">
        <v>98</v>
      </c>
      <c r="B14688" s="1" t="s">
        <v>4167</v>
      </c>
      <c r="C14688" s="1" t="str">
        <f>"66298943565420"</f>
        <v>66298943565420</v>
      </c>
      <c r="D14688" s="1" t="str">
        <f>"BG005"</f>
        <v>BG005</v>
      </c>
      <c r="E14688" s="1" t="s">
        <v>4579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</row>
    <row r="14689" spans="1:11" x14ac:dyDescent="0.2">
      <c r="A14689" s="1" t="s">
        <v>98</v>
      </c>
      <c r="B14689" s="1" t="s">
        <v>4168</v>
      </c>
      <c r="C14689" s="1" t="str">
        <f>"66298943522776"</f>
        <v>66298943522776</v>
      </c>
      <c r="D14689" s="1" t="str">
        <f>"BG006"</f>
        <v>BG006</v>
      </c>
      <c r="E14689" s="1" t="s">
        <v>4579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</row>
    <row r="14690" spans="1:11" x14ac:dyDescent="0.2">
      <c r="A14690" s="1" t="s">
        <v>4169</v>
      </c>
      <c r="B14690" s="1" t="s">
        <v>4170</v>
      </c>
      <c r="C14690" s="1" t="str">
        <f>"82852"</f>
        <v>82852</v>
      </c>
      <c r="D14690" s="1" t="str">
        <f>"82852"</f>
        <v>82852</v>
      </c>
      <c r="E14690" s="1" t="s">
        <v>4579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</row>
    <row r="14691" spans="1:11" x14ac:dyDescent="0.2">
      <c r="A14691" s="1" t="s">
        <v>4169</v>
      </c>
      <c r="B14691" s="1" t="s">
        <v>4171</v>
      </c>
      <c r="C14691" s="1" t="str">
        <f>"SWITCH-CR"</f>
        <v>SWITCH-CR</v>
      </c>
      <c r="D14691" s="1" t="str">
        <f>"SWITCH-CR"</f>
        <v>SWITCH-CR</v>
      </c>
      <c r="E14691" s="1" t="s">
        <v>4579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</row>
    <row r="14692" spans="1:11" x14ac:dyDescent="0.2">
      <c r="A14692" s="1" t="s">
        <v>4163</v>
      </c>
      <c r="B14692" s="1" t="s">
        <v>4171</v>
      </c>
      <c r="C14692" s="1" t="str">
        <f>"80311"</f>
        <v>80311</v>
      </c>
      <c r="D14692" s="1" t="str">
        <f>"80311"</f>
        <v>80311</v>
      </c>
      <c r="E14692" s="1" t="s">
        <v>4579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</row>
    <row r="14693" spans="1:11" x14ac:dyDescent="0.2">
      <c r="A14693" s="1" t="s">
        <v>98</v>
      </c>
      <c r="B14693" s="1" t="s">
        <v>4172</v>
      </c>
      <c r="C14693" s="1" t="str">
        <f>"66298943650584"</f>
        <v>66298943650584</v>
      </c>
      <c r="D14693" s="1" t="str">
        <f>"400445"</f>
        <v>400445</v>
      </c>
      <c r="E14693" s="1" t="s">
        <v>4579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</row>
    <row r="14694" spans="1:11" x14ac:dyDescent="0.2">
      <c r="A14694" s="1" t="s">
        <v>98</v>
      </c>
      <c r="B14694" s="1" t="s">
        <v>4173</v>
      </c>
      <c r="C14694" s="1" t="str">
        <f>"66298943687679"</f>
        <v>66298943687679</v>
      </c>
      <c r="D14694" s="1" t="str">
        <f>"35750-GS3-003JP"</f>
        <v>35750-GS3-003JP</v>
      </c>
      <c r="E14694" s="1" t="s">
        <v>4579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</row>
    <row r="14695" spans="1:11" x14ac:dyDescent="0.2">
      <c r="A14695" s="1" t="s">
        <v>4174</v>
      </c>
      <c r="B14695" s="1" t="s">
        <v>4175</v>
      </c>
      <c r="C14695" s="1" t="str">
        <f>"66298943727021"</f>
        <v>66298943727021</v>
      </c>
      <c r="D14695" s="1" t="str">
        <f>"49CC03"</f>
        <v>49CC03</v>
      </c>
      <c r="E14695" s="1" t="s">
        <v>4579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</row>
    <row r="14696" spans="1:11" x14ac:dyDescent="0.2">
      <c r="A14696" s="1" t="s">
        <v>4174</v>
      </c>
      <c r="B14696" s="1" t="s">
        <v>4176</v>
      </c>
      <c r="C14696" s="1" t="str">
        <f>"66298943770297"</f>
        <v>66298943770297</v>
      </c>
      <c r="D14696" s="1" t="str">
        <f>"82111"</f>
        <v>82111</v>
      </c>
      <c r="E14696" s="1" t="s">
        <v>4579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</row>
    <row r="14697" spans="1:11" x14ac:dyDescent="0.2">
      <c r="A14697" s="1" t="s">
        <v>4174</v>
      </c>
      <c r="B14697" s="1" t="s">
        <v>4177</v>
      </c>
      <c r="C14697" s="1" t="str">
        <f>"B202"</f>
        <v>B202</v>
      </c>
      <c r="D14697" s="1" t="str">
        <f>"B202"</f>
        <v>B202</v>
      </c>
      <c r="E14697" s="1" t="s">
        <v>4579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</row>
    <row r="14698" spans="1:11" x14ac:dyDescent="0.2">
      <c r="A14698" s="1" t="s">
        <v>4174</v>
      </c>
      <c r="B14698" s="1" t="s">
        <v>4178</v>
      </c>
      <c r="C14698" s="1" t="str">
        <f>"B214"</f>
        <v>B214</v>
      </c>
      <c r="D14698" s="1" t="str">
        <f>"B214"</f>
        <v>B214</v>
      </c>
      <c r="E14698" s="1" t="s">
        <v>4579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</row>
    <row r="14699" spans="1:11" x14ac:dyDescent="0.2">
      <c r="A14699" s="1" t="s">
        <v>4174</v>
      </c>
      <c r="B14699" s="1" t="s">
        <v>4179</v>
      </c>
      <c r="C14699" s="1" t="str">
        <f>"B204"</f>
        <v>B204</v>
      </c>
      <c r="D14699" s="1" t="str">
        <f>"B204"</f>
        <v>B204</v>
      </c>
      <c r="E14699" s="1" t="s">
        <v>4579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</row>
    <row r="14700" spans="1:11" x14ac:dyDescent="0.2">
      <c r="A14700" s="1" t="s">
        <v>4174</v>
      </c>
      <c r="B14700" s="1" t="s">
        <v>4180</v>
      </c>
      <c r="C14700" s="1" t="str">
        <f>"66298943811165"</f>
        <v>66298943811165</v>
      </c>
      <c r="D14700" s="1" t="str">
        <f>"C021"</f>
        <v>C021</v>
      </c>
      <c r="E14700" s="1" t="s">
        <v>4579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</row>
    <row r="14701" spans="1:11" x14ac:dyDescent="0.2">
      <c r="A14701" s="1" t="s">
        <v>4174</v>
      </c>
      <c r="B14701" s="1" t="s">
        <v>4181</v>
      </c>
      <c r="C14701" s="1" t="str">
        <f>"66298943855473"</f>
        <v>66298943855473</v>
      </c>
      <c r="D14701" s="1" t="str">
        <f>"B217"</f>
        <v>B217</v>
      </c>
      <c r="E14701" s="1" t="s">
        <v>4579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</row>
    <row r="14702" spans="1:11" x14ac:dyDescent="0.2">
      <c r="A14702" s="1" t="s">
        <v>4174</v>
      </c>
      <c r="B14702" s="1" t="s">
        <v>4182</v>
      </c>
      <c r="C14702" s="1" t="str">
        <f>"66298943899663"</f>
        <v>66298943899663</v>
      </c>
      <c r="D14702" s="1" t="str">
        <f>"83168"</f>
        <v>83168</v>
      </c>
      <c r="E14702" s="1" t="s">
        <v>4579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</row>
    <row r="14703" spans="1:11" x14ac:dyDescent="0.2">
      <c r="A14703" s="1" t="s">
        <v>4174</v>
      </c>
      <c r="B14703" s="1" t="s">
        <v>4183</v>
      </c>
      <c r="C14703" s="1" t="str">
        <f>"66298943946033"</f>
        <v>66298943946033</v>
      </c>
      <c r="D14703" s="1" t="str">
        <f>"82874"</f>
        <v>82874</v>
      </c>
      <c r="E14703" s="1" t="s">
        <v>4579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</row>
    <row r="14704" spans="1:11" x14ac:dyDescent="0.2">
      <c r="A14704" s="1" t="s">
        <v>4174</v>
      </c>
      <c r="B14704" s="1" t="s">
        <v>4184</v>
      </c>
      <c r="C14704" s="1" t="str">
        <f>"66298943998590"</f>
        <v>66298943998590</v>
      </c>
      <c r="D14704" s="1" t="str">
        <f>"B215"</f>
        <v>B215</v>
      </c>
      <c r="E14704" s="1" t="s">
        <v>4579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</row>
    <row r="14705" spans="1:11" x14ac:dyDescent="0.2">
      <c r="A14705" s="1" t="s">
        <v>4174</v>
      </c>
      <c r="B14705" s="1" t="s">
        <v>4185</v>
      </c>
      <c r="C14705" s="1" t="str">
        <f>"B226"</f>
        <v>B226</v>
      </c>
      <c r="D14705" s="1" t="str">
        <f>"B226"</f>
        <v>B226</v>
      </c>
      <c r="E14705" s="1" t="s">
        <v>4579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</row>
    <row r="14706" spans="1:11" x14ac:dyDescent="0.2">
      <c r="A14706" s="1" t="s">
        <v>4174</v>
      </c>
      <c r="B14706" s="1" t="s">
        <v>4186</v>
      </c>
      <c r="C14706" s="1" t="str">
        <f>"TAB-UNIV"</f>
        <v>TAB-UNIV</v>
      </c>
      <c r="D14706" s="1" t="str">
        <f>"TAB-UNIV"</f>
        <v>TAB-UNIV</v>
      </c>
      <c r="E14706" s="1" t="s">
        <v>4579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</row>
    <row r="14707" spans="1:11" x14ac:dyDescent="0.2">
      <c r="A14707" s="1" t="s">
        <v>4174</v>
      </c>
      <c r="B14707" s="1" t="s">
        <v>4187</v>
      </c>
      <c r="C14707" s="1" t="str">
        <f>"B231"</f>
        <v>B231</v>
      </c>
      <c r="D14707" s="1" t="str">
        <f>"B231"</f>
        <v>B231</v>
      </c>
      <c r="E14707" s="1" t="s">
        <v>4579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</row>
    <row r="14708" spans="1:11" x14ac:dyDescent="0.2">
      <c r="A14708" s="1" t="s">
        <v>4174</v>
      </c>
      <c r="B14708" s="1" t="s">
        <v>4188</v>
      </c>
      <c r="C14708" s="1" t="str">
        <f>"TAB-YBR"</f>
        <v>TAB-YBR</v>
      </c>
      <c r="D14708" s="1" t="str">
        <f>"TAB-YBR"</f>
        <v>TAB-YBR</v>
      </c>
      <c r="E14708" s="1" t="s">
        <v>4579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</row>
    <row r="14709" spans="1:11" x14ac:dyDescent="0.2">
      <c r="A14709" s="1" t="s">
        <v>4189</v>
      </c>
      <c r="B14709" s="1" t="s">
        <v>4190</v>
      </c>
      <c r="C14709" s="1" t="str">
        <f>"66298944046725"</f>
        <v>66298944046725</v>
      </c>
      <c r="D14709" s="1" t="str">
        <f>"001413"</f>
        <v>001413</v>
      </c>
      <c r="E14709" s="1" t="s">
        <v>4579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</row>
    <row r="14710" spans="1:11" x14ac:dyDescent="0.2">
      <c r="A14710" s="1" t="s">
        <v>4189</v>
      </c>
      <c r="B14710" s="1" t="s">
        <v>4191</v>
      </c>
      <c r="C14710" s="1" t="str">
        <f>"66298944089486"</f>
        <v>66298944089486</v>
      </c>
      <c r="D14710" s="1" t="str">
        <f>"Y291"</f>
        <v>Y291</v>
      </c>
      <c r="E14710" s="1" t="s">
        <v>4579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</row>
    <row r="14711" spans="1:11" x14ac:dyDescent="0.2">
      <c r="A14711" s="1" t="s">
        <v>4189</v>
      </c>
      <c r="B14711" s="1" t="s">
        <v>4192</v>
      </c>
      <c r="C14711" s="1" t="str">
        <f>"66298944132304"</f>
        <v>66298944132304</v>
      </c>
      <c r="D14711" s="1" t="str">
        <f>"Y290"</f>
        <v>Y290</v>
      </c>
      <c r="E14711" s="1" t="s">
        <v>4579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</row>
    <row r="14712" spans="1:11" x14ac:dyDescent="0.2">
      <c r="A14712" s="1" t="s">
        <v>4189</v>
      </c>
      <c r="B14712" s="1" t="s">
        <v>4193</v>
      </c>
      <c r="C14712" s="1" t="str">
        <f>"Y246"</f>
        <v>Y246</v>
      </c>
      <c r="D14712" s="1" t="str">
        <f>"Y246"</f>
        <v>Y246</v>
      </c>
      <c r="E14712" s="1" t="s">
        <v>4579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</row>
    <row r="14713" spans="1:11" x14ac:dyDescent="0.2">
      <c r="A14713" s="1" t="s">
        <v>4189</v>
      </c>
      <c r="B14713" s="1" t="s">
        <v>4194</v>
      </c>
      <c r="C14713" s="1" t="str">
        <f>"Y049-NEGRO"</f>
        <v>Y049-NEGRO</v>
      </c>
      <c r="D14713" s="1" t="str">
        <f>"Y049-NEGRO"</f>
        <v>Y049-NEGRO</v>
      </c>
      <c r="E14713" s="1" t="s">
        <v>4579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</row>
    <row r="14714" spans="1:11" x14ac:dyDescent="0.2">
      <c r="A14714" s="1" t="s">
        <v>4189</v>
      </c>
      <c r="B14714" s="1" t="s">
        <v>4195</v>
      </c>
      <c r="C14714" s="1" t="str">
        <f>"Y049-ROJO"</f>
        <v>Y049-ROJO</v>
      </c>
      <c r="D14714" s="1" t="str">
        <f>"Y049-ROJO"</f>
        <v>Y049-ROJO</v>
      </c>
      <c r="E14714" s="1" t="s">
        <v>4579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</row>
    <row r="14715" spans="1:11" x14ac:dyDescent="0.2">
      <c r="A14715" s="1" t="s">
        <v>4189</v>
      </c>
      <c r="B14715" s="1" t="s">
        <v>4196</v>
      </c>
      <c r="C14715" s="1" t="str">
        <f>"EMHJ52200"</f>
        <v>EMHJ52200</v>
      </c>
      <c r="D14715" s="1" t="str">
        <f>"EMHJ52200"</f>
        <v>EMHJ52200</v>
      </c>
      <c r="E14715" s="1" t="s">
        <v>4579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</row>
    <row r="14716" spans="1:11" x14ac:dyDescent="0.2">
      <c r="A14716" s="1" t="s">
        <v>4189</v>
      </c>
      <c r="B14716" s="1" t="s">
        <v>4197</v>
      </c>
      <c r="C14716" s="1" t="str">
        <f>"66298944171873"</f>
        <v>66298944171873</v>
      </c>
      <c r="D14716" s="1" t="str">
        <f>"72-0186"</f>
        <v>72-0186</v>
      </c>
      <c r="E14716" s="1" t="s">
        <v>4579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</row>
    <row r="14717" spans="1:11" x14ac:dyDescent="0.2">
      <c r="A14717" s="1" t="s">
        <v>4189</v>
      </c>
      <c r="B14717" s="1" t="s">
        <v>4198</v>
      </c>
      <c r="C14717" s="1" t="str">
        <f>"Y067"</f>
        <v>Y067</v>
      </c>
      <c r="D14717" s="1" t="str">
        <f>"Y067"</f>
        <v>Y067</v>
      </c>
      <c r="E14717" s="1" t="s">
        <v>4579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</row>
    <row r="14718" spans="1:11" x14ac:dyDescent="0.2">
      <c r="A14718" s="1" t="s">
        <v>4189</v>
      </c>
      <c r="B14718" s="1" t="s">
        <v>4199</v>
      </c>
      <c r="C14718" s="1" t="str">
        <f>"66298944208805"</f>
        <v>66298944208805</v>
      </c>
      <c r="D14718" s="1" t="str">
        <f>"Y124"</f>
        <v>Y124</v>
      </c>
      <c r="E14718" s="1" t="s">
        <v>4579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</row>
    <row r="14719" spans="1:11" x14ac:dyDescent="0.2">
      <c r="A14719" s="1" t="s">
        <v>4189</v>
      </c>
      <c r="B14719" s="1" t="s">
        <v>4200</v>
      </c>
      <c r="C14719" s="1" t="str">
        <f>"66298944246502"</f>
        <v>66298944246502</v>
      </c>
      <c r="D14719" s="1" t="str">
        <f>"B12012374"</f>
        <v>B12012374</v>
      </c>
      <c r="E14719" s="1" t="s">
        <v>4579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</row>
    <row r="14720" spans="1:11" x14ac:dyDescent="0.2">
      <c r="A14720" s="1" t="s">
        <v>4189</v>
      </c>
      <c r="B14720" s="1" t="s">
        <v>4201</v>
      </c>
      <c r="C14720" s="1" t="str">
        <f>"66298944282390"</f>
        <v>66298944282390</v>
      </c>
      <c r="D14720" s="1" t="str">
        <f>"B12012377"</f>
        <v>B12012377</v>
      </c>
      <c r="E14720" s="1" t="s">
        <v>4579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</row>
    <row r="14721" spans="1:11" x14ac:dyDescent="0.2">
      <c r="A14721" s="1" t="s">
        <v>1413</v>
      </c>
      <c r="B14721" s="1" t="s">
        <v>4202</v>
      </c>
      <c r="C14721" s="1" t="str">
        <f>"66298842472019"</f>
        <v>66298842472019</v>
      </c>
      <c r="D14721" s="1" t="str">
        <f>"Y167"</f>
        <v>Y167</v>
      </c>
      <c r="E14721" s="1" t="s">
        <v>4579</v>
      </c>
      <c r="F14721" s="1">
        <v>0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</row>
    <row r="14722" spans="1:11" x14ac:dyDescent="0.2">
      <c r="A14722" s="1" t="s">
        <v>1413</v>
      </c>
      <c r="B14722" s="1" t="s">
        <v>4203</v>
      </c>
      <c r="C14722" s="1" t="str">
        <f>"66298842514806"</f>
        <v>66298842514806</v>
      </c>
      <c r="D14722" s="1" t="str">
        <f>"Y170-1"</f>
        <v>Y170-1</v>
      </c>
      <c r="E14722" s="1" t="s">
        <v>4579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</row>
    <row r="14723" spans="1:11" x14ac:dyDescent="0.2">
      <c r="A14723" s="1" t="s">
        <v>4189</v>
      </c>
      <c r="B14723" s="1" t="s">
        <v>4204</v>
      </c>
      <c r="C14723" s="1" t="str">
        <f>"66298944321722"</f>
        <v>66298944321722</v>
      </c>
      <c r="D14723" s="1" t="str">
        <f>"12088-NEGRO"</f>
        <v>12088-NEGRO</v>
      </c>
      <c r="E14723" s="1" t="s">
        <v>4579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</row>
    <row r="14724" spans="1:11" x14ac:dyDescent="0.2">
      <c r="A14724" s="1" t="s">
        <v>4189</v>
      </c>
      <c r="B14724" s="1" t="s">
        <v>4205</v>
      </c>
      <c r="C14724" s="1" t="str">
        <f>"Y068-NEGRO"</f>
        <v>Y068-NEGRO</v>
      </c>
      <c r="D14724" s="1" t="str">
        <f>"Y068-NEGRO"</f>
        <v>Y068-NEGRO</v>
      </c>
      <c r="E14724" s="1" t="s">
        <v>4579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</row>
    <row r="14725" spans="1:11" x14ac:dyDescent="0.2">
      <c r="A14725" s="1" t="s">
        <v>4189</v>
      </c>
      <c r="B14725" s="1" t="s">
        <v>4206</v>
      </c>
      <c r="C14725" s="1" t="str">
        <f>"66298944361617"</f>
        <v>66298944361617</v>
      </c>
      <c r="D14725" s="1" t="str">
        <f>"Y084-B"</f>
        <v>Y084-B</v>
      </c>
      <c r="E14725" s="1" t="s">
        <v>4579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</row>
    <row r="14726" spans="1:11" x14ac:dyDescent="0.2">
      <c r="A14726" s="1" t="s">
        <v>4189</v>
      </c>
      <c r="B14726" s="1" t="s">
        <v>4207</v>
      </c>
      <c r="C14726" s="1" t="str">
        <f>"66298944405914"</f>
        <v>66298944405914</v>
      </c>
      <c r="D14726" s="1" t="str">
        <f>"AA004"</f>
        <v>AA004</v>
      </c>
      <c r="E14726" s="1" t="s">
        <v>4579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</row>
    <row r="14727" spans="1:11" x14ac:dyDescent="0.2">
      <c r="A14727" s="1" t="s">
        <v>4189</v>
      </c>
      <c r="B14727" s="1" t="s">
        <v>4208</v>
      </c>
      <c r="C14727" s="1" t="str">
        <f>"66298944447797"</f>
        <v>66298944447797</v>
      </c>
      <c r="D14727" s="1" t="str">
        <f>"AA012"</f>
        <v>AA012</v>
      </c>
      <c r="E14727" s="1" t="s">
        <v>4579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</row>
    <row r="14728" spans="1:11" x14ac:dyDescent="0.2">
      <c r="A14728" s="1" t="s">
        <v>4189</v>
      </c>
      <c r="B14728" s="1" t="s">
        <v>4209</v>
      </c>
      <c r="C14728" s="1" t="str">
        <f>"66298944484968"</f>
        <v>66298944484968</v>
      </c>
      <c r="D14728" s="1" t="str">
        <f>"AA021"</f>
        <v>AA021</v>
      </c>
      <c r="E14728" s="1" t="s">
        <v>4579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</row>
    <row r="14729" spans="1:11" x14ac:dyDescent="0.2">
      <c r="A14729" s="1" t="s">
        <v>4189</v>
      </c>
      <c r="B14729" s="1" t="s">
        <v>4210</v>
      </c>
      <c r="C14729" s="1" t="str">
        <f>"66298944526673"</f>
        <v>66298944526673</v>
      </c>
      <c r="D14729" s="1" t="str">
        <f>"400801"</f>
        <v>400801</v>
      </c>
      <c r="E14729" s="1" t="s">
        <v>4579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</row>
    <row r="14730" spans="1:11" x14ac:dyDescent="0.2">
      <c r="A14730" s="1" t="s">
        <v>4189</v>
      </c>
      <c r="B14730" s="1" t="s">
        <v>4211</v>
      </c>
      <c r="C14730" s="1" t="str">
        <f>"66298944566458"</f>
        <v>66298944566458</v>
      </c>
      <c r="D14730" s="1" t="str">
        <f>"AA002-CHAPA"</f>
        <v>AA002-CHAPA</v>
      </c>
      <c r="E14730" s="1" t="s">
        <v>4579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</row>
    <row r="14731" spans="1:11" x14ac:dyDescent="0.2">
      <c r="A14731" s="1" t="s">
        <v>4189</v>
      </c>
      <c r="B14731" s="1" t="s">
        <v>4212</v>
      </c>
      <c r="C14731" s="1" t="str">
        <f>"66298944606092"</f>
        <v>66298944606092</v>
      </c>
      <c r="D14731" s="1" t="str">
        <f>"AA005"</f>
        <v>AA005</v>
      </c>
      <c r="E14731" s="1" t="s">
        <v>4579</v>
      </c>
      <c r="F14731" s="1">
        <v>1</v>
      </c>
      <c r="G14731" s="1">
        <v>7030</v>
      </c>
      <c r="H14731" s="1">
        <v>7030</v>
      </c>
      <c r="I14731" s="1">
        <v>0</v>
      </c>
      <c r="J14731" s="1">
        <v>1</v>
      </c>
      <c r="K14731" s="1">
        <v>0</v>
      </c>
    </row>
    <row r="14732" spans="1:11" x14ac:dyDescent="0.2">
      <c r="A14732" s="1" t="s">
        <v>4189</v>
      </c>
      <c r="B14732" s="1" t="s">
        <v>4213</v>
      </c>
      <c r="C14732" s="1" t="str">
        <f>"66298944651816"</f>
        <v>66298944651816</v>
      </c>
      <c r="D14732" s="1" t="str">
        <f>"AA009"</f>
        <v>AA009</v>
      </c>
      <c r="E14732" s="1" t="s">
        <v>4579</v>
      </c>
      <c r="F14732" s="1">
        <v>1</v>
      </c>
      <c r="G14732" s="1">
        <v>2784</v>
      </c>
      <c r="H14732" s="1">
        <v>2784</v>
      </c>
      <c r="I14732" s="1">
        <v>0</v>
      </c>
      <c r="J14732" s="1">
        <v>1</v>
      </c>
      <c r="K14732" s="1">
        <v>0</v>
      </c>
    </row>
    <row r="14733" spans="1:11" x14ac:dyDescent="0.2">
      <c r="A14733" s="1" t="s">
        <v>4189</v>
      </c>
      <c r="B14733" s="1" t="s">
        <v>4214</v>
      </c>
      <c r="C14733" s="1" t="str">
        <f>"66298944693720"</f>
        <v>66298944693720</v>
      </c>
      <c r="D14733" s="1" t="str">
        <f>"400805"</f>
        <v>400805</v>
      </c>
      <c r="E14733" s="1" t="s">
        <v>4579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</row>
    <row r="14734" spans="1:11" x14ac:dyDescent="0.2">
      <c r="A14734" s="1" t="s">
        <v>4189</v>
      </c>
      <c r="B14734" s="1" t="s">
        <v>4215</v>
      </c>
      <c r="C14734" s="1" t="str">
        <f>"66298944733232"</f>
        <v>66298944733232</v>
      </c>
      <c r="D14734" s="1" t="str">
        <f>"588023"</f>
        <v>588023</v>
      </c>
      <c r="E14734" s="1" t="s">
        <v>4579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</row>
    <row r="14735" spans="1:11" x14ac:dyDescent="0.2">
      <c r="A14735" s="1" t="s">
        <v>4189</v>
      </c>
      <c r="B14735" s="1" t="s">
        <v>4216</v>
      </c>
      <c r="C14735" s="1" t="str">
        <f>"AA002"</f>
        <v>AA002</v>
      </c>
      <c r="D14735" s="1" t="str">
        <f>"AA002"</f>
        <v>AA002</v>
      </c>
      <c r="E14735" s="1" t="s">
        <v>4579</v>
      </c>
      <c r="F14735" s="1">
        <v>1</v>
      </c>
      <c r="G14735" s="1">
        <v>3276</v>
      </c>
      <c r="H14735" s="1">
        <v>3276</v>
      </c>
      <c r="I14735" s="1">
        <v>0</v>
      </c>
      <c r="J14735" s="1">
        <v>1</v>
      </c>
      <c r="K14735" s="1">
        <v>0</v>
      </c>
    </row>
    <row r="14736" spans="1:11" x14ac:dyDescent="0.2">
      <c r="A14736" s="1" t="s">
        <v>4189</v>
      </c>
      <c r="B14736" s="1" t="s">
        <v>4217</v>
      </c>
      <c r="C14736" s="1" t="str">
        <f>"66298944768833"</f>
        <v>66298944768833</v>
      </c>
      <c r="D14736" s="1" t="str">
        <f>"AA006"</f>
        <v>AA006</v>
      </c>
      <c r="E14736" s="1" t="s">
        <v>4579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</row>
    <row r="14737" spans="1:11" x14ac:dyDescent="0.2">
      <c r="A14737" s="1" t="s">
        <v>4189</v>
      </c>
      <c r="B14737" s="1" t="s">
        <v>4218</v>
      </c>
      <c r="C14737" s="1" t="str">
        <f>"66298944810609"</f>
        <v>66298944810609</v>
      </c>
      <c r="D14737" s="1" t="str">
        <f>"AA008"</f>
        <v>AA008</v>
      </c>
      <c r="E14737" s="1" t="s">
        <v>4579</v>
      </c>
      <c r="F14737" s="1">
        <v>1</v>
      </c>
      <c r="G14737" s="1">
        <v>4950</v>
      </c>
      <c r="H14737" s="1">
        <v>4950</v>
      </c>
      <c r="I14737" s="1">
        <v>0</v>
      </c>
      <c r="J14737" s="1">
        <v>1</v>
      </c>
      <c r="K14737" s="1">
        <v>0</v>
      </c>
    </row>
    <row r="14738" spans="1:11" x14ac:dyDescent="0.2">
      <c r="A14738" s="1" t="s">
        <v>4189</v>
      </c>
      <c r="B14738" s="1" t="s">
        <v>4219</v>
      </c>
      <c r="C14738" s="1" t="str">
        <f>"66298944853640"</f>
        <v>66298944853640</v>
      </c>
      <c r="D14738" s="1" t="str">
        <f>"AA013"</f>
        <v>AA013</v>
      </c>
      <c r="E14738" s="1" t="s">
        <v>4579</v>
      </c>
      <c r="F14738" s="1">
        <v>2</v>
      </c>
      <c r="G14738" s="1">
        <v>3255</v>
      </c>
      <c r="H14738" s="1">
        <v>6510</v>
      </c>
      <c r="I14738" s="1">
        <v>0</v>
      </c>
      <c r="J14738" s="1">
        <v>2</v>
      </c>
      <c r="K14738" s="1">
        <v>0</v>
      </c>
    </row>
    <row r="14739" spans="1:11" x14ac:dyDescent="0.2">
      <c r="A14739" s="1" t="s">
        <v>4189</v>
      </c>
      <c r="B14739" s="1" t="s">
        <v>4220</v>
      </c>
      <c r="C14739" s="1" t="str">
        <f>"AA003"</f>
        <v>AA003</v>
      </c>
      <c r="D14739" s="1" t="str">
        <f>"AA003"</f>
        <v>AA003</v>
      </c>
      <c r="E14739" s="1" t="s">
        <v>4579</v>
      </c>
      <c r="F14739" s="1">
        <v>1</v>
      </c>
      <c r="G14739" s="1">
        <v>1224</v>
      </c>
      <c r="H14739" s="1">
        <v>1224</v>
      </c>
      <c r="I14739" s="1">
        <v>0</v>
      </c>
      <c r="J14739" s="1">
        <v>1</v>
      </c>
      <c r="K14739" s="1">
        <v>0</v>
      </c>
    </row>
    <row r="14740" spans="1:11" x14ac:dyDescent="0.2">
      <c r="A14740" s="1" t="s">
        <v>4189</v>
      </c>
      <c r="B14740" s="1" t="s">
        <v>4220</v>
      </c>
      <c r="C14740" s="1" t="str">
        <f>"AA001"</f>
        <v>AA001</v>
      </c>
      <c r="D14740" s="1" t="str">
        <f>"AA001"</f>
        <v>AA001</v>
      </c>
      <c r="E14740" s="1" t="s">
        <v>4579</v>
      </c>
      <c r="F14740" s="1">
        <v>2</v>
      </c>
      <c r="G14740" s="1">
        <v>3187.5</v>
      </c>
      <c r="H14740" s="1">
        <v>6375</v>
      </c>
      <c r="I14740" s="1">
        <v>0</v>
      </c>
      <c r="J14740" s="1">
        <v>2</v>
      </c>
      <c r="K14740" s="1">
        <v>0</v>
      </c>
    </row>
    <row r="14741" spans="1:11" x14ac:dyDescent="0.2">
      <c r="A14741" s="1" t="s">
        <v>4189</v>
      </c>
      <c r="B14741" s="1" t="s">
        <v>4221</v>
      </c>
      <c r="C14741" s="1" t="str">
        <f>"66298944961086"</f>
        <v>66298944961086</v>
      </c>
      <c r="D14741" s="1" t="str">
        <f>"C018"</f>
        <v>C018</v>
      </c>
      <c r="E14741" s="1" t="s">
        <v>4579</v>
      </c>
      <c r="F14741" s="1">
        <v>1</v>
      </c>
      <c r="G14741" s="1">
        <v>5360</v>
      </c>
      <c r="H14741" s="1">
        <v>5360</v>
      </c>
      <c r="I14741" s="1">
        <v>0</v>
      </c>
      <c r="J14741" s="1">
        <v>1</v>
      </c>
      <c r="K14741" s="1">
        <v>0</v>
      </c>
    </row>
    <row r="14742" spans="1:11" x14ac:dyDescent="0.2">
      <c r="A14742" s="1" t="s">
        <v>4189</v>
      </c>
      <c r="B14742" s="1" t="s">
        <v>4222</v>
      </c>
      <c r="C14742" s="1" t="str">
        <f>"AA007"</f>
        <v>AA007</v>
      </c>
      <c r="D14742" s="1" t="str">
        <f>"AA007"</f>
        <v>AA007</v>
      </c>
      <c r="E14742" s="1" t="s">
        <v>4579</v>
      </c>
      <c r="F14742" s="1">
        <v>1</v>
      </c>
      <c r="G14742" s="1">
        <v>4284</v>
      </c>
      <c r="H14742" s="1">
        <v>4284</v>
      </c>
      <c r="I14742" s="1">
        <v>0</v>
      </c>
      <c r="J14742" s="1">
        <v>1</v>
      </c>
      <c r="K14742" s="1">
        <v>0</v>
      </c>
    </row>
    <row r="14743" spans="1:11" ht="30" x14ac:dyDescent="0.2">
      <c r="A14743" s="1" t="s">
        <v>4189</v>
      </c>
      <c r="B14743" s="1" t="s">
        <v>4223</v>
      </c>
      <c r="C14743" s="1" t="str">
        <f>"66298945044274"</f>
        <v>66298945044274</v>
      </c>
      <c r="D14743" s="1" t="str">
        <f>"400802"</f>
        <v>400802</v>
      </c>
      <c r="E14743" s="1" t="s">
        <v>4579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</row>
    <row r="14744" spans="1:11" x14ac:dyDescent="0.2">
      <c r="A14744" s="1" t="s">
        <v>4224</v>
      </c>
      <c r="B14744" s="1" t="s">
        <v>4225</v>
      </c>
      <c r="C14744" s="1" t="str">
        <f>"AA018"</f>
        <v>AA018</v>
      </c>
      <c r="D14744" s="1" t="str">
        <f>"AA018"</f>
        <v>AA018</v>
      </c>
      <c r="E14744" s="1" t="s">
        <v>4579</v>
      </c>
      <c r="F14744" s="1">
        <v>1</v>
      </c>
      <c r="G14744" s="1">
        <v>4404</v>
      </c>
      <c r="H14744" s="1">
        <v>4404</v>
      </c>
      <c r="I14744" s="1">
        <v>0</v>
      </c>
      <c r="J14744" s="1">
        <v>1</v>
      </c>
      <c r="K14744" s="1">
        <v>0</v>
      </c>
    </row>
    <row r="14745" spans="1:11" x14ac:dyDescent="0.2">
      <c r="A14745" s="1" t="s">
        <v>4189</v>
      </c>
      <c r="B14745" s="1" t="s">
        <v>4226</v>
      </c>
      <c r="C14745" s="1" t="str">
        <f>"AA014"</f>
        <v>AA014</v>
      </c>
      <c r="D14745" s="1" t="str">
        <f>"AA014"</f>
        <v>AA014</v>
      </c>
      <c r="E14745" s="1" t="s">
        <v>4579</v>
      </c>
      <c r="F14745" s="1">
        <v>1</v>
      </c>
      <c r="G14745" s="1">
        <v>4044</v>
      </c>
      <c r="H14745" s="1">
        <v>4044</v>
      </c>
      <c r="I14745" s="1">
        <v>0</v>
      </c>
      <c r="J14745" s="1">
        <v>1</v>
      </c>
      <c r="K14745" s="1">
        <v>0</v>
      </c>
    </row>
    <row r="14746" spans="1:11" ht="30" x14ac:dyDescent="0.2">
      <c r="A14746" s="1" t="s">
        <v>4189</v>
      </c>
      <c r="B14746" s="1" t="s">
        <v>4227</v>
      </c>
      <c r="C14746" s="1" t="str">
        <f>"66298945128669"</f>
        <v>66298945128669</v>
      </c>
      <c r="D14746" s="1" t="str">
        <f>"400767"</f>
        <v>400767</v>
      </c>
      <c r="E14746" s="1" t="s">
        <v>4579</v>
      </c>
      <c r="F14746" s="1">
        <v>2</v>
      </c>
      <c r="G14746" s="1">
        <v>915</v>
      </c>
      <c r="H14746" s="1">
        <v>1830</v>
      </c>
      <c r="I14746" s="1">
        <v>0</v>
      </c>
      <c r="J14746" s="1">
        <v>2</v>
      </c>
      <c r="K14746" s="1">
        <v>0</v>
      </c>
    </row>
    <row r="14747" spans="1:11" x14ac:dyDescent="0.2">
      <c r="A14747" s="1" t="s">
        <v>4189</v>
      </c>
      <c r="B14747" s="1" t="s">
        <v>4228</v>
      </c>
      <c r="C14747" s="1" t="str">
        <f>"EMHJ52332"</f>
        <v>EMHJ52332</v>
      </c>
      <c r="D14747" s="1" t="str">
        <f>"EMHJ52332"</f>
        <v>EMHJ52332</v>
      </c>
      <c r="E14747" s="1" t="s">
        <v>4579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</row>
    <row r="14748" spans="1:11" x14ac:dyDescent="0.2">
      <c r="A14748" s="1" t="s">
        <v>4189</v>
      </c>
      <c r="B14748" s="1" t="s">
        <v>4229</v>
      </c>
      <c r="C14748" s="1" t="str">
        <f>"EMHJ52151"</f>
        <v>EMHJ52151</v>
      </c>
      <c r="D14748" s="1" t="str">
        <f>"EMHJ52151"</f>
        <v>EMHJ52151</v>
      </c>
      <c r="E14748" s="1" t="s">
        <v>4579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</row>
    <row r="14749" spans="1:11" x14ac:dyDescent="0.2">
      <c r="A14749" s="1" t="s">
        <v>4189</v>
      </c>
      <c r="B14749" s="1" t="s">
        <v>4230</v>
      </c>
      <c r="C14749" s="1" t="str">
        <f>"EMHJ51837"</f>
        <v>EMHJ51837</v>
      </c>
      <c r="D14749" s="1" t="str">
        <f>"EMHJ51837"</f>
        <v>EMHJ51837</v>
      </c>
      <c r="E14749" s="1" t="s">
        <v>4579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</row>
    <row r="14750" spans="1:11" x14ac:dyDescent="0.2">
      <c r="A14750" s="1" t="s">
        <v>4189</v>
      </c>
      <c r="B14750" s="1" t="s">
        <v>4231</v>
      </c>
      <c r="C14750" s="1" t="str">
        <f>"EMHJ51810"</f>
        <v>EMHJ51810</v>
      </c>
      <c r="D14750" s="1" t="str">
        <f>"EMHJ51810"</f>
        <v>EMHJ51810</v>
      </c>
      <c r="E14750" s="1" t="s">
        <v>4579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</row>
    <row r="14751" spans="1:11" x14ac:dyDescent="0.2">
      <c r="A14751" s="1" t="s">
        <v>4189</v>
      </c>
      <c r="B14751" s="1" t="s">
        <v>4232</v>
      </c>
      <c r="C14751" s="1" t="str">
        <f>"Y241"</f>
        <v>Y241</v>
      </c>
      <c r="D14751" s="1" t="str">
        <f>"Y241"</f>
        <v>Y241</v>
      </c>
      <c r="E14751" s="1" t="s">
        <v>4579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</row>
    <row r="14752" spans="1:11" x14ac:dyDescent="0.2">
      <c r="A14752" s="1" t="s">
        <v>4233</v>
      </c>
      <c r="B14752" s="1" t="s">
        <v>4234</v>
      </c>
      <c r="C14752" s="1" t="str">
        <f>"66298945167666"</f>
        <v>66298945167666</v>
      </c>
      <c r="D14752" s="1" t="str">
        <f>"603"</f>
        <v>603</v>
      </c>
      <c r="E14752" s="1" t="s">
        <v>4579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</row>
    <row r="14753" spans="1:11" x14ac:dyDescent="0.2">
      <c r="A14753" s="1" t="s">
        <v>4233</v>
      </c>
      <c r="B14753" s="1" t="s">
        <v>4234</v>
      </c>
      <c r="C14753" s="1" t="str">
        <f>"AA017"</f>
        <v>AA017</v>
      </c>
      <c r="D14753" s="1" t="str">
        <f>"AA017"</f>
        <v>AA017</v>
      </c>
      <c r="E14753" s="1" t="s">
        <v>4579</v>
      </c>
      <c r="F14753" s="1">
        <v>1</v>
      </c>
      <c r="G14753" s="1">
        <v>3900</v>
      </c>
      <c r="H14753" s="1">
        <v>3900</v>
      </c>
      <c r="I14753" s="1">
        <v>0</v>
      </c>
      <c r="J14753" s="1">
        <v>1</v>
      </c>
      <c r="K14753" s="1">
        <v>0</v>
      </c>
    </row>
    <row r="14754" spans="1:11" x14ac:dyDescent="0.2">
      <c r="A14754" s="1" t="s">
        <v>4189</v>
      </c>
      <c r="B14754" s="1" t="s">
        <v>4235</v>
      </c>
      <c r="C14754" s="1" t="str">
        <f>"66298945208123"</f>
        <v>66298945208123</v>
      </c>
      <c r="D14754" s="1" t="str">
        <f>"Y005"</f>
        <v>Y005</v>
      </c>
      <c r="E14754" s="1" t="s">
        <v>4579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</row>
    <row r="14755" spans="1:11" x14ac:dyDescent="0.2">
      <c r="A14755" s="1" t="s">
        <v>4189</v>
      </c>
      <c r="B14755" s="1" t="s">
        <v>4236</v>
      </c>
      <c r="C14755" s="1" t="str">
        <f>"66298945251727"</f>
        <v>66298945251727</v>
      </c>
      <c r="D14755" s="1" t="str">
        <f>"61421H2C000H000"</f>
        <v>61421H2C000H000</v>
      </c>
      <c r="E14755" s="1" t="s">
        <v>4579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</row>
    <row r="14756" spans="1:11" x14ac:dyDescent="0.2">
      <c r="A14756" s="1" t="s">
        <v>1413</v>
      </c>
      <c r="B14756" s="1" t="s">
        <v>4237</v>
      </c>
      <c r="C14756" s="1" t="str">
        <f>"12053"</f>
        <v>12053</v>
      </c>
      <c r="D14756" s="1" t="str">
        <f>"12053"</f>
        <v>12053</v>
      </c>
      <c r="E14756" s="1" t="s">
        <v>4579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</row>
    <row r="14757" spans="1:11" x14ac:dyDescent="0.2">
      <c r="A14757" s="1" t="s">
        <v>4189</v>
      </c>
      <c r="B14757" s="1" t="s">
        <v>4238</v>
      </c>
      <c r="C14757" s="1" t="str">
        <f>"66298945294415"</f>
        <v>66298945294415</v>
      </c>
      <c r="D14757" s="1" t="str">
        <f>"R092-AZUL"</f>
        <v>R092-AZUL</v>
      </c>
      <c r="E14757" s="1" t="s">
        <v>4579</v>
      </c>
      <c r="F14757" s="1">
        <v>1</v>
      </c>
      <c r="G14757" s="1">
        <v>1152</v>
      </c>
      <c r="H14757" s="1">
        <v>1152</v>
      </c>
      <c r="I14757" s="1">
        <v>0</v>
      </c>
      <c r="J14757" s="1">
        <v>1</v>
      </c>
      <c r="K14757" s="1">
        <v>0</v>
      </c>
    </row>
    <row r="14758" spans="1:11" x14ac:dyDescent="0.2">
      <c r="A14758" s="1" t="s">
        <v>4189</v>
      </c>
      <c r="B14758" s="1" t="s">
        <v>4239</v>
      </c>
      <c r="C14758" s="1" t="str">
        <f>"66298945335969"</f>
        <v>66298945335969</v>
      </c>
      <c r="D14758" s="1" t="str">
        <f>"R092-CROMADO"</f>
        <v>R092-CROMADO</v>
      </c>
      <c r="E14758" s="1" t="s">
        <v>4579</v>
      </c>
      <c r="F14758" s="1">
        <v>1</v>
      </c>
      <c r="G14758" s="1">
        <v>1152</v>
      </c>
      <c r="H14758" s="1">
        <v>1152</v>
      </c>
      <c r="I14758" s="1">
        <v>0</v>
      </c>
      <c r="J14758" s="1">
        <v>1</v>
      </c>
      <c r="K14758" s="1">
        <v>0</v>
      </c>
    </row>
    <row r="14759" spans="1:11" x14ac:dyDescent="0.2">
      <c r="A14759" s="1" t="s">
        <v>4189</v>
      </c>
      <c r="B14759" s="1" t="s">
        <v>4240</v>
      </c>
      <c r="C14759" s="1" t="str">
        <f>"66298945374427"</f>
        <v>66298945374427</v>
      </c>
      <c r="D14759" s="1" t="str">
        <f>"R092-DORADO"</f>
        <v>R092-DORADO</v>
      </c>
      <c r="E14759" s="1" t="s">
        <v>4579</v>
      </c>
      <c r="F14759" s="1">
        <v>1</v>
      </c>
      <c r="G14759" s="1">
        <v>1152</v>
      </c>
      <c r="H14759" s="1">
        <v>1152</v>
      </c>
      <c r="I14759" s="1">
        <v>0</v>
      </c>
      <c r="J14759" s="1">
        <v>1</v>
      </c>
      <c r="K14759" s="1">
        <v>0</v>
      </c>
    </row>
    <row r="14760" spans="1:11" x14ac:dyDescent="0.2">
      <c r="A14760" s="1" t="s">
        <v>4189</v>
      </c>
      <c r="B14760" s="1" t="s">
        <v>4241</v>
      </c>
      <c r="C14760" s="1" t="str">
        <f>"66298945416982"</f>
        <v>66298945416982</v>
      </c>
      <c r="D14760" s="1" t="str">
        <f>"R092-NEGRO"</f>
        <v>R092-NEGRO</v>
      </c>
      <c r="E14760" s="1" t="s">
        <v>4579</v>
      </c>
      <c r="F14760" s="1">
        <v>1</v>
      </c>
      <c r="G14760" s="1">
        <v>1152</v>
      </c>
      <c r="H14760" s="1">
        <v>1152</v>
      </c>
      <c r="I14760" s="1">
        <v>0</v>
      </c>
      <c r="J14760" s="1">
        <v>1</v>
      </c>
      <c r="K14760" s="1">
        <v>0</v>
      </c>
    </row>
    <row r="14761" spans="1:11" x14ac:dyDescent="0.2">
      <c r="A14761" s="1" t="s">
        <v>4189</v>
      </c>
      <c r="B14761" s="1" t="s">
        <v>4242</v>
      </c>
      <c r="C14761" s="1" t="str">
        <f>"66298945458193"</f>
        <v>66298945458193</v>
      </c>
      <c r="D14761" s="1" t="str">
        <f>"R092-ROJO"</f>
        <v>R092-ROJO</v>
      </c>
      <c r="E14761" s="1" t="s">
        <v>4579</v>
      </c>
      <c r="F14761" s="1">
        <v>1</v>
      </c>
      <c r="G14761" s="1">
        <v>1152</v>
      </c>
      <c r="H14761" s="1">
        <v>1152</v>
      </c>
      <c r="I14761" s="1">
        <v>0</v>
      </c>
      <c r="J14761" s="1">
        <v>1</v>
      </c>
      <c r="K14761" s="1">
        <v>0</v>
      </c>
    </row>
    <row r="14762" spans="1:11" x14ac:dyDescent="0.2">
      <c r="A14762" s="1" t="s">
        <v>4243</v>
      </c>
      <c r="B14762" s="1" t="s">
        <v>4244</v>
      </c>
      <c r="C14762" s="1" t="str">
        <f>"Y098-AZUL"</f>
        <v>Y098-AZUL</v>
      </c>
      <c r="D14762" s="1" t="str">
        <f>"Y098-AZUL"</f>
        <v>Y098-AZUL</v>
      </c>
      <c r="E14762" s="1" t="s">
        <v>4579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</row>
    <row r="14763" spans="1:11" x14ac:dyDescent="0.2">
      <c r="A14763" s="1" t="s">
        <v>4243</v>
      </c>
      <c r="B14763" s="1" t="s">
        <v>4245</v>
      </c>
      <c r="C14763" s="1" t="str">
        <f>"Y098-NEGRO"</f>
        <v>Y098-NEGRO</v>
      </c>
      <c r="D14763" s="1" t="str">
        <f>"Y098-NEGRO"</f>
        <v>Y098-NEGRO</v>
      </c>
      <c r="E14763" s="1" t="s">
        <v>4579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</row>
    <row r="14764" spans="1:11" x14ac:dyDescent="0.2">
      <c r="A14764" s="1" t="s">
        <v>4243</v>
      </c>
      <c r="B14764" s="1" t="s">
        <v>4246</v>
      </c>
      <c r="C14764" s="1" t="str">
        <f>"66298945501009"</f>
        <v>66298945501009</v>
      </c>
      <c r="D14764" s="1" t="str">
        <f>"Y161"</f>
        <v>Y161</v>
      </c>
      <c r="E14764" s="1" t="s">
        <v>4579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</row>
    <row r="14765" spans="1:11" x14ac:dyDescent="0.2">
      <c r="A14765" s="1" t="s">
        <v>4243</v>
      </c>
      <c r="B14765" s="1" t="s">
        <v>4247</v>
      </c>
      <c r="C14765" s="1" t="str">
        <f>"Y070-NEGRO"</f>
        <v>Y070-NEGRO</v>
      </c>
      <c r="D14765" s="1" t="str">
        <f>"Y070-NEGRO"</f>
        <v>Y070-NEGRO</v>
      </c>
      <c r="E14765" s="1" t="s">
        <v>4579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</row>
    <row r="14766" spans="1:11" x14ac:dyDescent="0.2">
      <c r="A14766" s="1" t="s">
        <v>4243</v>
      </c>
      <c r="B14766" s="1" t="s">
        <v>4248</v>
      </c>
      <c r="C14766" s="1" t="str">
        <f>"Y070-ROJO"</f>
        <v>Y070-ROJO</v>
      </c>
      <c r="D14766" s="1" t="str">
        <f>"Y070-ROJO"</f>
        <v>Y070-ROJO</v>
      </c>
      <c r="E14766" s="1" t="s">
        <v>4579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</row>
    <row r="14767" spans="1:11" x14ac:dyDescent="0.2">
      <c r="A14767" s="1" t="s">
        <v>4243</v>
      </c>
      <c r="B14767" s="1" t="s">
        <v>4249</v>
      </c>
      <c r="C14767" s="1" t="str">
        <f>"Y026-NEGRO"</f>
        <v>Y026-NEGRO</v>
      </c>
      <c r="D14767" s="1" t="str">
        <f>"Y026-NEGRO"</f>
        <v>Y026-NEGRO</v>
      </c>
      <c r="E14767" s="1" t="s">
        <v>4579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</row>
    <row r="14768" spans="1:11" x14ac:dyDescent="0.2">
      <c r="A14768" s="1" t="s">
        <v>4243</v>
      </c>
      <c r="B14768" s="1" t="s">
        <v>4250</v>
      </c>
      <c r="C14768" s="1" t="str">
        <f>"Y027-ROJO"</f>
        <v>Y027-ROJO</v>
      </c>
      <c r="D14768" s="1" t="str">
        <f>"Y027-ROJO"</f>
        <v>Y027-ROJO</v>
      </c>
      <c r="E14768" s="1" t="s">
        <v>4579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</row>
    <row r="14769" spans="1:11" x14ac:dyDescent="0.2">
      <c r="A14769" s="1" t="s">
        <v>4243</v>
      </c>
      <c r="B14769" s="1" t="s">
        <v>4251</v>
      </c>
      <c r="C14769" s="1" t="str">
        <f>"66298945543423"</f>
        <v>66298945543423</v>
      </c>
      <c r="D14769" s="1" t="str">
        <f>"588012"</f>
        <v>588012</v>
      </c>
      <c r="E14769" s="1" t="s">
        <v>4579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</row>
    <row r="14770" spans="1:11" x14ac:dyDescent="0.2">
      <c r="A14770" s="1" t="s">
        <v>4243</v>
      </c>
      <c r="B14770" s="1" t="s">
        <v>4252</v>
      </c>
      <c r="C14770" s="1" t="str">
        <f>"Y024"</f>
        <v>Y024</v>
      </c>
      <c r="D14770" s="1" t="str">
        <f>"Y024"</f>
        <v>Y024</v>
      </c>
      <c r="E14770" s="1" t="s">
        <v>4579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</row>
    <row r="14771" spans="1:11" x14ac:dyDescent="0.2">
      <c r="A14771" s="1" t="s">
        <v>4243</v>
      </c>
      <c r="B14771" s="1" t="s">
        <v>4253</v>
      </c>
      <c r="C14771" s="1" t="str">
        <f>"66298945586843"</f>
        <v>66298945586843</v>
      </c>
      <c r="D14771" s="1" t="str">
        <f>"Y294"</f>
        <v>Y294</v>
      </c>
      <c r="E14771" s="1" t="s">
        <v>4579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</row>
    <row r="14772" spans="1:11" x14ac:dyDescent="0.2">
      <c r="A14772" s="1" t="s">
        <v>4243</v>
      </c>
      <c r="B14772" s="1" t="s">
        <v>4254</v>
      </c>
      <c r="C14772" s="1" t="str">
        <f>"66298945631992"</f>
        <v>66298945631992</v>
      </c>
      <c r="D14772" s="1" t="str">
        <f>"Y057"</f>
        <v>Y057</v>
      </c>
      <c r="E14772" s="1" t="s">
        <v>4579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</row>
    <row r="14773" spans="1:11" x14ac:dyDescent="0.2">
      <c r="A14773" s="1" t="s">
        <v>4243</v>
      </c>
      <c r="B14773" s="1" t="s">
        <v>4255</v>
      </c>
      <c r="C14773" s="1" t="str">
        <f>"66298945670212"</f>
        <v>66298945670212</v>
      </c>
      <c r="D14773" s="1" t="str">
        <f>"53111H2C000HA97"</f>
        <v>53111H2C000HA97</v>
      </c>
      <c r="E14773" s="1" t="s">
        <v>4579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</row>
    <row r="14774" spans="1:11" x14ac:dyDescent="0.2">
      <c r="A14774" s="1" t="s">
        <v>4243</v>
      </c>
      <c r="B14774" s="1" t="s">
        <v>4256</v>
      </c>
      <c r="C14774" s="1" t="str">
        <f>"53111H2C000HA28"</f>
        <v>53111H2C000HA28</v>
      </c>
      <c r="D14774" s="1" t="str">
        <f>"53111H2C000HA28"</f>
        <v>53111H2C000HA28</v>
      </c>
      <c r="E14774" s="1" t="s">
        <v>4579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</row>
    <row r="14775" spans="1:11" x14ac:dyDescent="0.2">
      <c r="A14775" s="1" t="s">
        <v>4243</v>
      </c>
      <c r="B14775" s="1" t="s">
        <v>4257</v>
      </c>
      <c r="C14775" s="1" t="str">
        <f>"Y334-BLANCO"</f>
        <v>Y334-BLANCO</v>
      </c>
      <c r="D14775" s="1" t="str">
        <f>"Y334-BLANCO"</f>
        <v>Y334-BLANCO</v>
      </c>
      <c r="E14775" s="1" t="s">
        <v>4579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</row>
    <row r="14776" spans="1:11" x14ac:dyDescent="0.2">
      <c r="A14776" s="1" t="s">
        <v>4243</v>
      </c>
      <c r="B14776" s="1" t="s">
        <v>4258</v>
      </c>
      <c r="C14776" s="1" t="str">
        <f>"Y334-NEGRO"</f>
        <v>Y334-NEGRO</v>
      </c>
      <c r="D14776" s="1" t="str">
        <f>"Y334-NEGRO"</f>
        <v>Y334-NEGRO</v>
      </c>
      <c r="E14776" s="1" t="s">
        <v>4579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</row>
    <row r="14777" spans="1:11" x14ac:dyDescent="0.2">
      <c r="A14777" s="1" t="s">
        <v>4243</v>
      </c>
      <c r="B14777" s="1" t="s">
        <v>4259</v>
      </c>
      <c r="C14777" s="1" t="str">
        <f>"52JF0597"</f>
        <v>52JF0597</v>
      </c>
      <c r="D14777" s="1" t="str">
        <f>"52JF0597"</f>
        <v>52JF0597</v>
      </c>
      <c r="E14777" s="1" t="s">
        <v>4579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</row>
    <row r="14778" spans="1:11" x14ac:dyDescent="0.2">
      <c r="A14778" s="1" t="s">
        <v>4243</v>
      </c>
      <c r="B14778" s="1" t="s">
        <v>4260</v>
      </c>
      <c r="C14778" s="1" t="str">
        <f>"Y008"</f>
        <v>Y008</v>
      </c>
      <c r="D14778" s="1" t="str">
        <f>"Y008"</f>
        <v>Y008</v>
      </c>
      <c r="E14778" s="1" t="s">
        <v>4579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</row>
    <row r="14779" spans="1:11" x14ac:dyDescent="0.2">
      <c r="A14779" s="1" t="s">
        <v>4243</v>
      </c>
      <c r="B14779" s="1" t="s">
        <v>4261</v>
      </c>
      <c r="C14779" s="1" t="str">
        <f>"Y056"</f>
        <v>Y056</v>
      </c>
      <c r="D14779" s="1" t="str">
        <f>"Y056"</f>
        <v>Y056</v>
      </c>
      <c r="E14779" s="1" t="s">
        <v>4579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</row>
    <row r="14780" spans="1:11" x14ac:dyDescent="0.2">
      <c r="A14780" s="1" t="s">
        <v>4243</v>
      </c>
      <c r="B14780" s="1" t="s">
        <v>4262</v>
      </c>
      <c r="C14780" s="1" t="str">
        <f>"Y021"</f>
        <v>Y021</v>
      </c>
      <c r="D14780" s="1" t="str">
        <f>"Y021"</f>
        <v>Y021</v>
      </c>
      <c r="E14780" s="1" t="s">
        <v>4579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</row>
    <row r="14781" spans="1:11" x14ac:dyDescent="0.2">
      <c r="A14781" s="1" t="s">
        <v>4243</v>
      </c>
      <c r="B14781" s="1" t="s">
        <v>4263</v>
      </c>
      <c r="C14781" s="1" t="str">
        <f>"Y059-ROJO"</f>
        <v>Y059-ROJO</v>
      </c>
      <c r="D14781" s="1" t="str">
        <f>"Y059-ROJO"</f>
        <v>Y059-ROJO</v>
      </c>
      <c r="E14781" s="1" t="s">
        <v>4579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</row>
    <row r="14782" spans="1:11" x14ac:dyDescent="0.2">
      <c r="A14782" s="1" t="s">
        <v>4243</v>
      </c>
      <c r="B14782" s="1" t="s">
        <v>4264</v>
      </c>
      <c r="C14782" s="1" t="str">
        <f>"Y038-BLANCO"</f>
        <v>Y038-BLANCO</v>
      </c>
      <c r="D14782" s="1" t="str">
        <f>"Y038-BLANCO"</f>
        <v>Y038-BLANCO</v>
      </c>
      <c r="E14782" s="1" t="s">
        <v>4579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</row>
    <row r="14783" spans="1:11" x14ac:dyDescent="0.2">
      <c r="A14783" s="1" t="s">
        <v>4243</v>
      </c>
      <c r="B14783" s="1" t="s">
        <v>4265</v>
      </c>
      <c r="C14783" s="1" t="str">
        <f>"Y038-ROJO"</f>
        <v>Y038-ROJO</v>
      </c>
      <c r="D14783" s="1" t="str">
        <f>"Y038-ROJO"</f>
        <v>Y038-ROJO</v>
      </c>
      <c r="E14783" s="1" t="s">
        <v>4579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</row>
    <row r="14784" spans="1:11" x14ac:dyDescent="0.2">
      <c r="A14784" s="1" t="s">
        <v>4243</v>
      </c>
      <c r="B14784" s="1" t="s">
        <v>4266</v>
      </c>
      <c r="C14784" s="1" t="str">
        <f>"Y015-2"</f>
        <v>Y015-2</v>
      </c>
      <c r="D14784" s="1" t="str">
        <f>"Y015-2"</f>
        <v>Y015-2</v>
      </c>
      <c r="E14784" s="1" t="s">
        <v>4579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</row>
    <row r="14785" spans="1:11" x14ac:dyDescent="0.2">
      <c r="A14785" s="1" t="s">
        <v>4243</v>
      </c>
      <c r="B14785" s="1" t="s">
        <v>4267</v>
      </c>
      <c r="C14785" s="1" t="str">
        <f>"66298945750213"</f>
        <v>66298945750213</v>
      </c>
      <c r="D14785" s="1" t="str">
        <f>"Y015-3"</f>
        <v>Y015-3</v>
      </c>
      <c r="E14785" s="1" t="s">
        <v>4579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</row>
    <row r="14786" spans="1:11" x14ac:dyDescent="0.2">
      <c r="A14786" s="1" t="s">
        <v>4243</v>
      </c>
      <c r="B14786" s="1" t="s">
        <v>4268</v>
      </c>
      <c r="C14786" s="1" t="str">
        <f>"Y015-1"</f>
        <v>Y015-1</v>
      </c>
      <c r="D14786" s="1" t="str">
        <f>"Y015-1"</f>
        <v>Y015-1</v>
      </c>
      <c r="E14786" s="1" t="s">
        <v>4579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</row>
    <row r="14787" spans="1:11" x14ac:dyDescent="0.2">
      <c r="A14787" s="1" t="s">
        <v>4243</v>
      </c>
      <c r="B14787" s="1" t="s">
        <v>4269</v>
      </c>
      <c r="C14787" s="1" t="str">
        <f>"66298945791791"</f>
        <v>66298945791791</v>
      </c>
      <c r="D14787" s="1" t="str">
        <f>"E021"</f>
        <v>E021</v>
      </c>
      <c r="E14787" s="1" t="s">
        <v>4579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</row>
    <row r="14788" spans="1:11" x14ac:dyDescent="0.2">
      <c r="A14788" s="1" t="s">
        <v>4243</v>
      </c>
      <c r="B14788" s="1" t="s">
        <v>4270</v>
      </c>
      <c r="C14788" s="1" t="str">
        <f>"B97F163A0000"</f>
        <v>B97F163A0000</v>
      </c>
      <c r="D14788" s="1" t="str">
        <f>"B97F163A0000"</f>
        <v>B97F163A0000</v>
      </c>
      <c r="E14788" s="1" t="s">
        <v>4579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</row>
    <row r="14789" spans="1:11" x14ac:dyDescent="0.2">
      <c r="A14789" s="1" t="s">
        <v>4243</v>
      </c>
      <c r="B14789" s="1" t="s">
        <v>4271</v>
      </c>
      <c r="C14789" s="1" t="str">
        <f>"66298945831356"</f>
        <v>66298945831356</v>
      </c>
      <c r="D14789" s="1" t="str">
        <f>"Y110"</f>
        <v>Y110</v>
      </c>
      <c r="E14789" s="1" t="s">
        <v>4579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</row>
    <row r="14790" spans="1:11" x14ac:dyDescent="0.2">
      <c r="A14790" s="1" t="s">
        <v>4243</v>
      </c>
      <c r="B14790" s="1" t="s">
        <v>4272</v>
      </c>
      <c r="C14790" s="1" t="str">
        <f>"66298945871430"</f>
        <v>66298945871430</v>
      </c>
      <c r="D14790" s="1" t="str">
        <f>"Y292"</f>
        <v>Y292</v>
      </c>
      <c r="E14790" s="1" t="s">
        <v>4579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</row>
    <row r="14791" spans="1:11" x14ac:dyDescent="0.2">
      <c r="A14791" s="1" t="s">
        <v>4243</v>
      </c>
      <c r="B14791" s="1" t="s">
        <v>4273</v>
      </c>
      <c r="C14791" s="1" t="str">
        <f>"66298945910268"</f>
        <v>66298945910268</v>
      </c>
      <c r="D14791" s="1" t="str">
        <f>"FZ012"</f>
        <v>FZ012</v>
      </c>
      <c r="E14791" s="1" t="s">
        <v>4579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</row>
    <row r="14792" spans="1:11" x14ac:dyDescent="0.2">
      <c r="A14792" s="1" t="s">
        <v>4243</v>
      </c>
      <c r="B14792" s="1" t="s">
        <v>4274</v>
      </c>
      <c r="C14792" s="1" t="str">
        <f>"B97F1629000"</f>
        <v>B97F1629000</v>
      </c>
      <c r="D14792" s="1" t="str">
        <f>"B97F1629000"</f>
        <v>B97F1629000</v>
      </c>
      <c r="E14792" s="1" t="s">
        <v>4579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</row>
    <row r="14793" spans="1:11" x14ac:dyDescent="0.2">
      <c r="A14793" s="1" t="s">
        <v>4243</v>
      </c>
      <c r="B14793" s="1" t="s">
        <v>4275</v>
      </c>
      <c r="C14793" s="1" t="str">
        <f>"66298945954908"</f>
        <v>66298945954908</v>
      </c>
      <c r="D14793" s="1" t="str">
        <f>"63111H2C003H000"</f>
        <v>63111H2C003H000</v>
      </c>
      <c r="E14793" s="1" t="s">
        <v>4579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</row>
    <row r="14794" spans="1:11" x14ac:dyDescent="0.2">
      <c r="A14794" s="1" t="s">
        <v>4243</v>
      </c>
      <c r="B14794" s="1" t="s">
        <v>4276</v>
      </c>
      <c r="C14794" s="1" t="str">
        <f>"66298945992580"</f>
        <v>66298945992580</v>
      </c>
      <c r="D14794" s="1" t="str">
        <f>"Y063"</f>
        <v>Y063</v>
      </c>
      <c r="E14794" s="1" t="s">
        <v>4579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</row>
    <row r="14795" spans="1:11" x14ac:dyDescent="0.2">
      <c r="A14795" s="1" t="s">
        <v>4243</v>
      </c>
      <c r="B14795" s="1" t="s">
        <v>4277</v>
      </c>
      <c r="C14795" s="1" t="str">
        <f>"Y042-BLANCO"</f>
        <v>Y042-BLANCO</v>
      </c>
      <c r="D14795" s="1" t="str">
        <f>"Y042-BLANCO"</f>
        <v>Y042-BLANCO</v>
      </c>
      <c r="E14795" s="1" t="s">
        <v>4579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</row>
    <row r="14796" spans="1:11" x14ac:dyDescent="0.2">
      <c r="A14796" s="1" t="s">
        <v>4243</v>
      </c>
      <c r="B14796" s="1" t="s">
        <v>4278</v>
      </c>
      <c r="C14796" s="1" t="str">
        <f>"Y042-NEGRO"</f>
        <v>Y042-NEGRO</v>
      </c>
      <c r="D14796" s="1" t="str">
        <f>"Y042-NEGRO"</f>
        <v>Y042-NEGRO</v>
      </c>
      <c r="E14796" s="1" t="s">
        <v>4579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</row>
    <row r="14797" spans="1:11" x14ac:dyDescent="0.2">
      <c r="A14797" s="1" t="s">
        <v>4243</v>
      </c>
      <c r="B14797" s="1" t="s">
        <v>4279</v>
      </c>
      <c r="C14797" s="1" t="str">
        <f>"Y042-ROJO"</f>
        <v>Y042-ROJO</v>
      </c>
      <c r="D14797" s="1" t="str">
        <f>"Y042-ROJO"</f>
        <v>Y042-ROJO</v>
      </c>
      <c r="E14797" s="1" t="s">
        <v>4579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</row>
    <row r="14798" spans="1:11" x14ac:dyDescent="0.2">
      <c r="A14798" s="1" t="s">
        <v>4243</v>
      </c>
      <c r="B14798" s="1" t="s">
        <v>4280</v>
      </c>
      <c r="C14798" s="1" t="str">
        <f>"Y052"</f>
        <v>Y052</v>
      </c>
      <c r="D14798" s="1" t="str">
        <f>"Y052"</f>
        <v>Y052</v>
      </c>
      <c r="E14798" s="1" t="s">
        <v>4579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</row>
    <row r="14799" spans="1:11" x14ac:dyDescent="0.2">
      <c r="A14799" s="1" t="s">
        <v>4243</v>
      </c>
      <c r="B14799" s="1" t="s">
        <v>4281</v>
      </c>
      <c r="C14799" s="1" t="str">
        <f>"Y164-AZUL"</f>
        <v>Y164-AZUL</v>
      </c>
      <c r="D14799" s="1" t="str">
        <f>"Y164-AZUL"</f>
        <v>Y164-AZUL</v>
      </c>
      <c r="E14799" s="1" t="s">
        <v>4579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</row>
    <row r="14800" spans="1:11" x14ac:dyDescent="0.2">
      <c r="A14800" s="1" t="s">
        <v>4189</v>
      </c>
      <c r="B14800" s="1" t="s">
        <v>4282</v>
      </c>
      <c r="C14800" s="1" t="str">
        <f>"Y187-ROJO"</f>
        <v>Y187-ROJO</v>
      </c>
      <c r="D14800" s="1" t="str">
        <f>"Y187-ROJO"</f>
        <v>Y187-ROJO</v>
      </c>
      <c r="E14800" s="1" t="s">
        <v>4579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</row>
    <row r="14801" spans="1:11" x14ac:dyDescent="0.2">
      <c r="A14801" s="1" t="s">
        <v>4189</v>
      </c>
      <c r="B14801" s="1" t="s">
        <v>4283</v>
      </c>
      <c r="C14801" s="1" t="str">
        <f>"Y013-NEGRO"</f>
        <v>Y013-NEGRO</v>
      </c>
      <c r="D14801" s="1" t="str">
        <f>"Y013-NEGRO"</f>
        <v>Y013-NEGRO</v>
      </c>
      <c r="E14801" s="1" t="s">
        <v>4579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</row>
    <row r="14802" spans="1:11" x14ac:dyDescent="0.2">
      <c r="A14802" s="1" t="s">
        <v>4189</v>
      </c>
      <c r="B14802" s="1" t="s">
        <v>4284</v>
      </c>
      <c r="C14802" s="1" t="str">
        <f>"Y013-ROJO"</f>
        <v>Y013-ROJO</v>
      </c>
      <c r="D14802" s="1" t="str">
        <f>"Y013-ROJO"</f>
        <v>Y013-ROJO</v>
      </c>
      <c r="E14802" s="1" t="s">
        <v>4579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</row>
    <row r="14803" spans="1:11" x14ac:dyDescent="0.2">
      <c r="A14803" s="1" t="s">
        <v>4189</v>
      </c>
      <c r="B14803" s="1" t="s">
        <v>4285</v>
      </c>
      <c r="C14803" s="1" t="str">
        <f>"Y335-BLANCO"</f>
        <v>Y335-BLANCO</v>
      </c>
      <c r="D14803" s="1" t="str">
        <f>"Y335-BLANCO"</f>
        <v>Y335-BLANCO</v>
      </c>
      <c r="E14803" s="1" t="s">
        <v>4579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</row>
    <row r="14804" spans="1:11" ht="30" x14ac:dyDescent="0.2">
      <c r="A14804" s="1" t="s">
        <v>4189</v>
      </c>
      <c r="B14804" s="1" t="s">
        <v>4286</v>
      </c>
      <c r="C14804" s="1" t="str">
        <f>"Y041-NEGRO"</f>
        <v>Y041-NEGRO</v>
      </c>
      <c r="D14804" s="1" t="str">
        <f>"Y041-NEGRO"</f>
        <v>Y041-NEGRO</v>
      </c>
      <c r="E14804" s="1" t="s">
        <v>4579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</row>
    <row r="14805" spans="1:11" x14ac:dyDescent="0.2">
      <c r="A14805" s="1" t="s">
        <v>4189</v>
      </c>
      <c r="B14805" s="1" t="s">
        <v>4287</v>
      </c>
      <c r="C14805" s="1" t="str">
        <f>"Y041-ROJO"</f>
        <v>Y041-ROJO</v>
      </c>
      <c r="D14805" s="1" t="str">
        <f>"Y041-ROJO"</f>
        <v>Y041-ROJO</v>
      </c>
      <c r="E14805" s="1" t="s">
        <v>4579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</row>
    <row r="14806" spans="1:11" ht="30" x14ac:dyDescent="0.2">
      <c r="A14806" s="1" t="s">
        <v>4189</v>
      </c>
      <c r="B14806" s="1" t="s">
        <v>4288</v>
      </c>
      <c r="C14806" s="1" t="str">
        <f>"Y058"</f>
        <v>Y058</v>
      </c>
      <c r="D14806" s="1" t="str">
        <f>"Y058"</f>
        <v>Y058</v>
      </c>
      <c r="E14806" s="1" t="s">
        <v>4579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</row>
    <row r="14807" spans="1:11" ht="30" x14ac:dyDescent="0.2">
      <c r="A14807" s="1" t="s">
        <v>4189</v>
      </c>
      <c r="B14807" s="1" t="s">
        <v>4289</v>
      </c>
      <c r="C14807" s="1" t="str">
        <f>"Y053"</f>
        <v>Y053</v>
      </c>
      <c r="D14807" s="1" t="str">
        <f>"Y053"</f>
        <v>Y053</v>
      </c>
      <c r="E14807" s="1" t="s">
        <v>4579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</row>
    <row r="14808" spans="1:11" x14ac:dyDescent="0.2">
      <c r="A14808" s="1" t="s">
        <v>4189</v>
      </c>
      <c r="B14808" s="1" t="s">
        <v>4290</v>
      </c>
      <c r="C14808" s="1" t="str">
        <f>"66298946079846"</f>
        <v>66298946079846</v>
      </c>
      <c r="D14808" s="1" t="str">
        <f>"Y163-BLANCO"</f>
        <v>Y163-BLANCO</v>
      </c>
      <c r="E14808" s="1" t="s">
        <v>4579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</row>
    <row r="14809" spans="1:11" x14ac:dyDescent="0.2">
      <c r="A14809" s="1" t="s">
        <v>1413</v>
      </c>
      <c r="B14809" s="1" t="s">
        <v>4291</v>
      </c>
      <c r="C14809" s="1" t="str">
        <f>"Y040-NEGRO"</f>
        <v>Y040-NEGRO</v>
      </c>
      <c r="D14809" s="1" t="str">
        <f>"Y040-NEGRO"</f>
        <v>Y040-NEGRO</v>
      </c>
      <c r="E14809" s="1" t="s">
        <v>4579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</row>
    <row r="14810" spans="1:11" x14ac:dyDescent="0.2">
      <c r="A14810" s="1" t="s">
        <v>4189</v>
      </c>
      <c r="B14810" s="1" t="s">
        <v>4292</v>
      </c>
      <c r="C14810" s="1" t="str">
        <f>"66298946121785"</f>
        <v>66298946121785</v>
      </c>
      <c r="D14810" s="1" t="str">
        <f>"Y004-AZUL"</f>
        <v>Y004-AZUL</v>
      </c>
      <c r="E14810" s="1" t="s">
        <v>4579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</row>
    <row r="14811" spans="1:11" x14ac:dyDescent="0.2">
      <c r="A14811" s="1" t="s">
        <v>4189</v>
      </c>
      <c r="B14811" s="1" t="s">
        <v>4293</v>
      </c>
      <c r="C14811" s="1" t="str">
        <f>"66298946169417"</f>
        <v>66298946169417</v>
      </c>
      <c r="D14811" s="1" t="str">
        <f>"Y004-GRIS"</f>
        <v>Y004-GRIS</v>
      </c>
      <c r="E14811" s="1" t="s">
        <v>4579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</row>
    <row r="14812" spans="1:11" x14ac:dyDescent="0.2">
      <c r="A14812" s="1" t="s">
        <v>4189</v>
      </c>
      <c r="B14812" s="1" t="s">
        <v>4294</v>
      </c>
      <c r="C14812" s="1" t="str">
        <f>"66298946220737"</f>
        <v>66298946220737</v>
      </c>
      <c r="D14812" s="1" t="str">
        <f>"Y004-ROJO"</f>
        <v>Y004-ROJO</v>
      </c>
      <c r="E14812" s="1" t="s">
        <v>4579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</row>
    <row r="14813" spans="1:11" x14ac:dyDescent="0.2">
      <c r="A14813" s="1" t="s">
        <v>4189</v>
      </c>
      <c r="B14813" s="1" t="s">
        <v>4295</v>
      </c>
      <c r="C14813" s="1" t="str">
        <f>"Y104-AZUL"</f>
        <v>Y104-AZUL</v>
      </c>
      <c r="D14813" s="1" t="str">
        <f>"Y104-AZUL"</f>
        <v>Y104-AZUL</v>
      </c>
      <c r="E14813" s="1" t="s">
        <v>4579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</row>
    <row r="14814" spans="1:11" x14ac:dyDescent="0.2">
      <c r="A14814" s="1" t="s">
        <v>4189</v>
      </c>
      <c r="B14814" s="1" t="s">
        <v>4296</v>
      </c>
      <c r="C14814" s="1" t="str">
        <f>"66298946262495"</f>
        <v>66298946262495</v>
      </c>
      <c r="D14814" s="1" t="str">
        <f>"Y075-B"</f>
        <v>Y075-B</v>
      </c>
      <c r="E14814" s="1" t="s">
        <v>4579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</row>
    <row r="14815" spans="1:11" ht="30" x14ac:dyDescent="0.2">
      <c r="A14815" s="1" t="s">
        <v>4189</v>
      </c>
      <c r="B14815" s="1" t="s">
        <v>4297</v>
      </c>
      <c r="C14815" s="1" t="str">
        <f>"Y101-BLANCO/ROJO"</f>
        <v>Y101-BLANCO/ROJO</v>
      </c>
      <c r="D14815" s="1" t="str">
        <f>"Y101-BLANCO/ROJO"</f>
        <v>Y101-BLANCO/ROJO</v>
      </c>
      <c r="E14815" s="1" t="s">
        <v>4579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</row>
    <row r="14816" spans="1:11" x14ac:dyDescent="0.2">
      <c r="A14816" s="1" t="s">
        <v>4189</v>
      </c>
      <c r="B14816" s="1" t="s">
        <v>4298</v>
      </c>
      <c r="C14816" s="1" t="str">
        <f>"66298946306539"</f>
        <v>66298946306539</v>
      </c>
      <c r="D14816" s="1" t="str">
        <f>"FZ013N"</f>
        <v>FZ013N</v>
      </c>
      <c r="E14816" s="1" t="s">
        <v>4579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</row>
    <row r="14817" spans="1:11" x14ac:dyDescent="0.2">
      <c r="A14817" s="1" t="s">
        <v>4189</v>
      </c>
      <c r="B14817" s="1" t="s">
        <v>4299</v>
      </c>
      <c r="C14817" s="1" t="str">
        <f>"66298946347260"</f>
        <v>66298946347260</v>
      </c>
      <c r="D14817" s="1" t="str">
        <f>"FZ013R"</f>
        <v>FZ013R</v>
      </c>
      <c r="E14817" s="1" t="s">
        <v>4579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</row>
    <row r="14818" spans="1:11" x14ac:dyDescent="0.2">
      <c r="A14818" s="1" t="s">
        <v>4189</v>
      </c>
      <c r="B14818" s="1" t="s">
        <v>4300</v>
      </c>
      <c r="C14818" s="1" t="str">
        <f>"Y012-ROJO"</f>
        <v>Y012-ROJO</v>
      </c>
      <c r="D14818" s="1" t="str">
        <f>"Y012-ROJO"</f>
        <v>Y012-ROJO</v>
      </c>
      <c r="E14818" s="1" t="s">
        <v>4579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</row>
    <row r="14819" spans="1:11" x14ac:dyDescent="0.2">
      <c r="A14819" s="1" t="s">
        <v>4189</v>
      </c>
      <c r="B14819" s="1" t="s">
        <v>4301</v>
      </c>
      <c r="C14819" s="1" t="str">
        <f>"Y337-BLANCO"</f>
        <v>Y337-BLANCO</v>
      </c>
      <c r="D14819" s="1" t="str">
        <f>"Y337-BLANCO"</f>
        <v>Y337-BLANCO</v>
      </c>
      <c r="E14819" s="1" t="s">
        <v>4579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</row>
    <row r="14820" spans="1:11" x14ac:dyDescent="0.2">
      <c r="A14820" s="1" t="s">
        <v>4189</v>
      </c>
      <c r="B14820" s="1" t="s">
        <v>4302</v>
      </c>
      <c r="C14820" s="1" t="str">
        <f>"Y339-BLANCO"</f>
        <v>Y339-BLANCO</v>
      </c>
      <c r="D14820" s="1" t="str">
        <f>"Y339-BLANCO"</f>
        <v>Y339-BLANCO</v>
      </c>
      <c r="E14820" s="1" t="s">
        <v>4579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</row>
    <row r="14821" spans="1:11" x14ac:dyDescent="0.2">
      <c r="A14821" s="1" t="s">
        <v>4189</v>
      </c>
      <c r="B14821" s="1" t="s">
        <v>4303</v>
      </c>
      <c r="C14821" s="1" t="str">
        <f>"Y339-NEGRO"</f>
        <v>Y339-NEGRO</v>
      </c>
      <c r="D14821" s="1" t="str">
        <f>"Y339-NEGRO"</f>
        <v>Y339-NEGRO</v>
      </c>
      <c r="E14821" s="1" t="s">
        <v>4579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</row>
    <row r="14822" spans="1:11" x14ac:dyDescent="0.2">
      <c r="A14822" s="1" t="s">
        <v>4189</v>
      </c>
      <c r="B14822" s="1" t="s">
        <v>4304</v>
      </c>
      <c r="C14822" s="1" t="str">
        <f>"66298946390046"</f>
        <v>66298946390046</v>
      </c>
      <c r="D14822" s="1" t="str">
        <f>"FZ010N"</f>
        <v>FZ010N</v>
      </c>
      <c r="E14822" s="1" t="s">
        <v>4579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</row>
    <row r="14823" spans="1:11" x14ac:dyDescent="0.2">
      <c r="A14823" s="1" t="s">
        <v>4189</v>
      </c>
      <c r="B14823" s="1" t="s">
        <v>4305</v>
      </c>
      <c r="C14823" s="1" t="str">
        <f>"66298946432990"</f>
        <v>66298946432990</v>
      </c>
      <c r="D14823" s="1" t="str">
        <f>"FZ010R"</f>
        <v>FZ010R</v>
      </c>
      <c r="E14823" s="1" t="s">
        <v>4579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</row>
    <row r="14824" spans="1:11" x14ac:dyDescent="0.2">
      <c r="A14824" s="1" t="s">
        <v>4189</v>
      </c>
      <c r="B14824" s="1" t="s">
        <v>4306</v>
      </c>
      <c r="C14824" s="1" t="str">
        <f>"Y047-NEGRO"</f>
        <v>Y047-NEGRO</v>
      </c>
      <c r="D14824" s="1" t="str">
        <f>"Y047-NEGRO"</f>
        <v>Y047-NEGRO</v>
      </c>
      <c r="E14824" s="1" t="s">
        <v>4579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</row>
    <row r="14825" spans="1:11" x14ac:dyDescent="0.2">
      <c r="A14825" s="1" t="s">
        <v>4189</v>
      </c>
      <c r="B14825" s="1" t="s">
        <v>4306</v>
      </c>
      <c r="C14825" s="1" t="str">
        <f>"Y071-NEGRO"</f>
        <v>Y071-NEGRO</v>
      </c>
      <c r="D14825" s="1" t="str">
        <f>"Y071-NEGRO"</f>
        <v>Y071-NEGRO</v>
      </c>
      <c r="E14825" s="1" t="s">
        <v>4579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</row>
    <row r="14826" spans="1:11" x14ac:dyDescent="0.2">
      <c r="A14826" s="1" t="s">
        <v>4189</v>
      </c>
      <c r="B14826" s="1" t="s">
        <v>4307</v>
      </c>
      <c r="C14826" s="1" t="str">
        <f>"Y047-ROJO"</f>
        <v>Y047-ROJO</v>
      </c>
      <c r="D14826" s="1" t="str">
        <f>"Y047-ROJO"</f>
        <v>Y047-ROJO</v>
      </c>
      <c r="E14826" s="1" t="s">
        <v>4579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</row>
    <row r="14827" spans="1:11" x14ac:dyDescent="0.2">
      <c r="A14827" s="1" t="s">
        <v>4189</v>
      </c>
      <c r="B14827" s="1" t="s">
        <v>4308</v>
      </c>
      <c r="C14827" s="1" t="str">
        <f>"Y338-BLANCO"</f>
        <v>Y338-BLANCO</v>
      </c>
      <c r="D14827" s="1" t="str">
        <f>"Y338-BLANCO"</f>
        <v>Y338-BLANCO</v>
      </c>
      <c r="E14827" s="1" t="s">
        <v>4579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</row>
    <row r="14828" spans="1:11" x14ac:dyDescent="0.2">
      <c r="A14828" s="1" t="s">
        <v>4189</v>
      </c>
      <c r="B14828" s="1" t="s">
        <v>4309</v>
      </c>
      <c r="C14828" s="1" t="str">
        <f>"Y055-NEGRO"</f>
        <v>Y055-NEGRO</v>
      </c>
      <c r="D14828" s="1" t="str">
        <f>"Y055-NEGRO"</f>
        <v>Y055-NEGRO</v>
      </c>
      <c r="E14828" s="1" t="s">
        <v>4579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</row>
    <row r="14829" spans="1:11" x14ac:dyDescent="0.2">
      <c r="A14829" s="1" t="s">
        <v>4189</v>
      </c>
      <c r="B14829" s="1" t="s">
        <v>4310</v>
      </c>
      <c r="C14829" s="1" t="str">
        <f>"Y055-ROJO"</f>
        <v>Y055-ROJO</v>
      </c>
      <c r="D14829" s="1" t="str">
        <f>"Y055-ROJO"</f>
        <v>Y055-ROJO</v>
      </c>
      <c r="E14829" s="1" t="s">
        <v>4579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</row>
    <row r="14830" spans="1:11" x14ac:dyDescent="0.2">
      <c r="A14830" s="1" t="s">
        <v>4189</v>
      </c>
      <c r="B14830" s="1" t="s">
        <v>4311</v>
      </c>
      <c r="C14830" s="1" t="str">
        <f>"Y030-NEGRO"</f>
        <v>Y030-NEGRO</v>
      </c>
      <c r="D14830" s="1" t="str">
        <f>"Y030-NEGRO"</f>
        <v>Y030-NEGRO</v>
      </c>
      <c r="E14830" s="1" t="s">
        <v>4579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</row>
    <row r="14831" spans="1:11" x14ac:dyDescent="0.2">
      <c r="A14831" s="1" t="s">
        <v>4189</v>
      </c>
      <c r="B14831" s="1" t="s">
        <v>4312</v>
      </c>
      <c r="C14831" s="1" t="str">
        <f>"Y031-ROJO"</f>
        <v>Y031-ROJO</v>
      </c>
      <c r="D14831" s="1" t="str">
        <f>"Y031-ROJO"</f>
        <v>Y031-ROJO</v>
      </c>
      <c r="E14831" s="1" t="s">
        <v>4579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</row>
    <row r="14832" spans="1:11" x14ac:dyDescent="0.2">
      <c r="A14832" s="1" t="s">
        <v>4189</v>
      </c>
      <c r="B14832" s="1" t="s">
        <v>4313</v>
      </c>
      <c r="C14832" s="1" t="str">
        <f>"66298946476560"</f>
        <v>66298946476560</v>
      </c>
      <c r="D14832" s="1" t="str">
        <f>"Y299"</f>
        <v>Y299</v>
      </c>
      <c r="E14832" s="1" t="s">
        <v>4579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</row>
    <row r="14833" spans="1:11" x14ac:dyDescent="0.2">
      <c r="A14833" s="1" t="s">
        <v>4189</v>
      </c>
      <c r="B14833" s="1" t="s">
        <v>4314</v>
      </c>
      <c r="C14833" s="1" t="str">
        <f>"Y336"</f>
        <v>Y336</v>
      </c>
      <c r="D14833" s="1" t="str">
        <f>"Y336"</f>
        <v>Y336</v>
      </c>
      <c r="E14833" s="1" t="s">
        <v>4579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</row>
    <row r="14834" spans="1:11" x14ac:dyDescent="0.2">
      <c r="A14834" s="1" t="s">
        <v>4189</v>
      </c>
      <c r="B14834" s="1" t="s">
        <v>4315</v>
      </c>
      <c r="C14834" s="1" t="str">
        <f>"66298946515296"</f>
        <v>66298946515296</v>
      </c>
      <c r="D14834" s="1" t="str">
        <f>"E006"</f>
        <v>E006</v>
      </c>
      <c r="E14834" s="1" t="s">
        <v>4579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</row>
    <row r="14835" spans="1:11" x14ac:dyDescent="0.2">
      <c r="A14835" s="1" t="s">
        <v>4189</v>
      </c>
      <c r="B14835" s="1" t="s">
        <v>4316</v>
      </c>
      <c r="C14835" s="1" t="str">
        <f>"66298946559082"</f>
        <v>66298946559082</v>
      </c>
      <c r="D14835" s="1" t="str">
        <f>"E007"</f>
        <v>E007</v>
      </c>
      <c r="E14835" s="1" t="s">
        <v>4579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</row>
    <row r="14836" spans="1:11" x14ac:dyDescent="0.2">
      <c r="A14836" s="1" t="s">
        <v>4189</v>
      </c>
      <c r="B14836" s="1" t="s">
        <v>4317</v>
      </c>
      <c r="C14836" s="1" t="str">
        <f>"66298946685924"</f>
        <v>66298946685924</v>
      </c>
      <c r="D14836" s="1" t="str">
        <f>"Y170-A"</f>
        <v>Y170-A</v>
      </c>
      <c r="E14836" s="1" t="s">
        <v>4579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</row>
    <row r="14837" spans="1:11" ht="30" x14ac:dyDescent="0.2">
      <c r="A14837" s="1" t="s">
        <v>4189</v>
      </c>
      <c r="B14837" s="1" t="s">
        <v>4318</v>
      </c>
      <c r="C14837" s="1" t="str">
        <f>"Y039-BLANCO"</f>
        <v>Y039-BLANCO</v>
      </c>
      <c r="D14837" s="1" t="str">
        <f>"Y039-BLANCO"</f>
        <v>Y039-BLANCO</v>
      </c>
      <c r="E14837" s="1" t="s">
        <v>4579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</row>
    <row r="14838" spans="1:11" ht="30" x14ac:dyDescent="0.2">
      <c r="A14838" s="1" t="s">
        <v>4189</v>
      </c>
      <c r="B14838" s="1" t="s">
        <v>4319</v>
      </c>
      <c r="C14838" s="1" t="str">
        <f>"Y039-NEGRO"</f>
        <v>Y039-NEGRO</v>
      </c>
      <c r="D14838" s="1" t="str">
        <f>"Y039-NEGRO"</f>
        <v>Y039-NEGRO</v>
      </c>
      <c r="E14838" s="1" t="s">
        <v>4579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</row>
    <row r="14839" spans="1:11" x14ac:dyDescent="0.2">
      <c r="A14839" s="1" t="s">
        <v>4189</v>
      </c>
      <c r="B14839" s="1" t="s">
        <v>4320</v>
      </c>
      <c r="C14839" s="1" t="str">
        <f>"66298946638898"</f>
        <v>66298946638898</v>
      </c>
      <c r="D14839" s="1" t="str">
        <f>"Y028"</f>
        <v>Y028</v>
      </c>
      <c r="E14839" s="1" t="s">
        <v>4579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</row>
    <row r="14840" spans="1:11" x14ac:dyDescent="0.2">
      <c r="A14840" s="1" t="s">
        <v>4233</v>
      </c>
      <c r="B14840" s="1" t="s">
        <v>4321</v>
      </c>
      <c r="C14840" s="1" t="str">
        <f>"66298946733546"</f>
        <v>66298946733546</v>
      </c>
      <c r="D14840" s="1" t="str">
        <f>"82860"</f>
        <v>82860</v>
      </c>
      <c r="E14840" s="1" t="s">
        <v>4579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</row>
    <row r="14841" spans="1:11" x14ac:dyDescent="0.2">
      <c r="A14841" s="1" t="s">
        <v>4233</v>
      </c>
      <c r="B14841" s="1" t="s">
        <v>4322</v>
      </c>
      <c r="C14841" s="1" t="str">
        <f>"66298946772461"</f>
        <v>66298946772461</v>
      </c>
      <c r="D14841" s="1" t="str">
        <f>"CM003"</f>
        <v>CM003</v>
      </c>
      <c r="E14841" s="1" t="s">
        <v>4579</v>
      </c>
      <c r="F14841" s="1">
        <v>3</v>
      </c>
      <c r="G14841" s="1">
        <v>360</v>
      </c>
      <c r="H14841" s="1">
        <v>1080</v>
      </c>
      <c r="I14841" s="1">
        <v>0</v>
      </c>
      <c r="J14841" s="1">
        <v>3</v>
      </c>
      <c r="K14841" s="1">
        <v>0</v>
      </c>
    </row>
    <row r="14842" spans="1:11" x14ac:dyDescent="0.2">
      <c r="A14842" s="1" t="s">
        <v>4233</v>
      </c>
      <c r="B14842" s="1" t="s">
        <v>4323</v>
      </c>
      <c r="C14842" s="1" t="str">
        <f>"H2121"</f>
        <v>H2121</v>
      </c>
      <c r="D14842" s="1" t="str">
        <f>"H2121"</f>
        <v>H2121</v>
      </c>
      <c r="E14842" s="1" t="s">
        <v>4579</v>
      </c>
      <c r="F14842" s="1">
        <v>4</v>
      </c>
      <c r="G14842" s="1">
        <v>598</v>
      </c>
      <c r="H14842" s="1">
        <v>2392</v>
      </c>
      <c r="I14842" s="1">
        <v>0</v>
      </c>
      <c r="J14842" s="1">
        <v>4</v>
      </c>
      <c r="K14842" s="1">
        <v>0</v>
      </c>
    </row>
    <row r="14843" spans="1:11" x14ac:dyDescent="0.2">
      <c r="A14843" s="1" t="s">
        <v>4233</v>
      </c>
      <c r="B14843" s="1" t="s">
        <v>4324</v>
      </c>
      <c r="C14843" s="1" t="str">
        <f>"66298946813144"</f>
        <v>66298946813144</v>
      </c>
      <c r="D14843" s="1" t="str">
        <f>"82868"</f>
        <v>82868</v>
      </c>
      <c r="E14843" s="1" t="s">
        <v>4579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</row>
    <row r="14844" spans="1:11" x14ac:dyDescent="0.2">
      <c r="A14844" s="1" t="s">
        <v>4233</v>
      </c>
      <c r="B14844" s="1" t="s">
        <v>4325</v>
      </c>
      <c r="C14844" s="1" t="str">
        <f>"12402"</f>
        <v>12402</v>
      </c>
      <c r="D14844" s="1" t="str">
        <f>"12402"</f>
        <v>12402</v>
      </c>
      <c r="E14844" s="1" t="s">
        <v>4579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</row>
    <row r="14845" spans="1:11" x14ac:dyDescent="0.2">
      <c r="A14845" s="1" t="s">
        <v>4233</v>
      </c>
      <c r="B14845" s="1" t="s">
        <v>4326</v>
      </c>
      <c r="C14845" s="1" t="str">
        <f>"66298946855820"</f>
        <v>66298946855820</v>
      </c>
      <c r="D14845" s="1" t="str">
        <f>"83965"</f>
        <v>83965</v>
      </c>
      <c r="E14845" s="1" t="s">
        <v>4579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</row>
    <row r="14846" spans="1:11" x14ac:dyDescent="0.2">
      <c r="A14846" s="1" t="s">
        <v>4233</v>
      </c>
      <c r="B14846" s="1" t="s">
        <v>4327</v>
      </c>
      <c r="C14846" s="1" t="str">
        <f>"66298946894995"</f>
        <v>66298946894995</v>
      </c>
      <c r="D14846" s="1" t="str">
        <f>"CN001"</f>
        <v>CN001</v>
      </c>
      <c r="E14846" s="1" t="s">
        <v>4579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</row>
    <row r="14847" spans="1:11" x14ac:dyDescent="0.2">
      <c r="A14847" s="1" t="s">
        <v>4233</v>
      </c>
      <c r="B14847" s="1" t="s">
        <v>4328</v>
      </c>
      <c r="C14847" s="1" t="str">
        <f>"66298946934768"</f>
        <v>66298946934768</v>
      </c>
      <c r="D14847" s="1" t="str">
        <f>"DCA003"</f>
        <v>DCA003</v>
      </c>
      <c r="E14847" s="1" t="s">
        <v>4579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</row>
    <row r="14848" spans="1:11" ht="30" x14ac:dyDescent="0.2">
      <c r="A14848" s="1" t="s">
        <v>4329</v>
      </c>
      <c r="B14848" s="1" t="s">
        <v>4330</v>
      </c>
      <c r="C14848" s="1" t="str">
        <f>"66298946973969"</f>
        <v>66298946973969</v>
      </c>
      <c r="D14848" s="1" t="str">
        <f>"400981"</f>
        <v>400981</v>
      </c>
      <c r="E14848" s="1" t="s">
        <v>4579</v>
      </c>
      <c r="F14848" s="1">
        <v>2</v>
      </c>
      <c r="G14848" s="1">
        <v>1367</v>
      </c>
      <c r="H14848" s="1">
        <v>2734</v>
      </c>
      <c r="I14848" s="1">
        <v>0</v>
      </c>
      <c r="J14848" s="1">
        <v>2</v>
      </c>
      <c r="K14848" s="1">
        <v>0</v>
      </c>
    </row>
    <row r="14849" spans="1:11" x14ac:dyDescent="0.2">
      <c r="A14849" s="1" t="s">
        <v>4329</v>
      </c>
      <c r="B14849" s="1" t="s">
        <v>4331</v>
      </c>
      <c r="C14849" s="1" t="str">
        <f>"66298947015444"</f>
        <v>66298947015444</v>
      </c>
      <c r="D14849" s="1" t="str">
        <f>"14520-KSP-910JP"</f>
        <v>14520-KSP-910JP</v>
      </c>
      <c r="E14849" s="1" t="s">
        <v>4579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</row>
    <row r="14850" spans="1:11" x14ac:dyDescent="0.2">
      <c r="A14850" s="1" t="s">
        <v>4329</v>
      </c>
      <c r="B14850" s="1" t="s">
        <v>4332</v>
      </c>
      <c r="C14850" s="1" t="str">
        <f>"66298947173500"</f>
        <v>66298947173500</v>
      </c>
      <c r="D14850" s="1" t="str">
        <f>"400986"</f>
        <v>400986</v>
      </c>
      <c r="E14850" s="1" t="s">
        <v>4579</v>
      </c>
      <c r="F14850" s="1">
        <v>2</v>
      </c>
      <c r="G14850" s="1">
        <v>1265</v>
      </c>
      <c r="H14850" s="1">
        <v>2530</v>
      </c>
      <c r="I14850" s="1">
        <v>0</v>
      </c>
      <c r="J14850" s="1">
        <v>2</v>
      </c>
      <c r="K14850" s="1">
        <v>0</v>
      </c>
    </row>
    <row r="14851" spans="1:11" x14ac:dyDescent="0.2">
      <c r="A14851" s="1" t="s">
        <v>4329</v>
      </c>
      <c r="B14851" s="1" t="s">
        <v>4333</v>
      </c>
      <c r="C14851" s="1" t="str">
        <f>"66298947066446"</f>
        <v>66298947066446</v>
      </c>
      <c r="D14851" s="1" t="str">
        <f>"21C-E2210-00JP"</f>
        <v>21C-E2210-00JP</v>
      </c>
      <c r="E14851" s="1" t="s">
        <v>4579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</row>
    <row r="14852" spans="1:11" x14ac:dyDescent="0.2">
      <c r="A14852" s="1" t="s">
        <v>4329</v>
      </c>
      <c r="B14852" s="1" t="s">
        <v>4333</v>
      </c>
      <c r="C14852" s="1" t="str">
        <f>"66298947072239"</f>
        <v>66298947072239</v>
      </c>
      <c r="D14852" s="1" t="str">
        <f>"CJ006"</f>
        <v>CJ006</v>
      </c>
      <c r="E14852" s="1" t="s">
        <v>4579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</row>
    <row r="14853" spans="1:11" x14ac:dyDescent="0.2">
      <c r="A14853" s="1" t="s">
        <v>4329</v>
      </c>
      <c r="B14853" s="1" t="s">
        <v>4333</v>
      </c>
      <c r="C14853" s="1" t="str">
        <f>"66298947127558"</f>
        <v>66298947127558</v>
      </c>
      <c r="D14853" s="1" t="str">
        <f>"9383"</f>
        <v>9383</v>
      </c>
      <c r="E14853" s="1" t="s">
        <v>4579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</row>
    <row r="14854" spans="1:11" x14ac:dyDescent="0.2">
      <c r="A14854" s="1" t="s">
        <v>4329</v>
      </c>
      <c r="B14854" s="1" t="s">
        <v>4334</v>
      </c>
      <c r="C14854" s="1" t="str">
        <f>"11909"</f>
        <v>11909</v>
      </c>
      <c r="D14854" s="1" t="str">
        <f>"11909"</f>
        <v>11909</v>
      </c>
      <c r="E14854" s="1" t="s">
        <v>4579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</row>
    <row r="14855" spans="1:11" x14ac:dyDescent="0.2">
      <c r="A14855" s="1" t="s">
        <v>4329</v>
      </c>
      <c r="B14855" s="1" t="s">
        <v>4335</v>
      </c>
      <c r="C14855" s="1" t="str">
        <f>"66298947215193"</f>
        <v>66298947215193</v>
      </c>
      <c r="D14855" s="1" t="str">
        <f>"400983"</f>
        <v>400983</v>
      </c>
      <c r="E14855" s="1" t="s">
        <v>4579</v>
      </c>
      <c r="F14855" s="1">
        <v>1</v>
      </c>
      <c r="G14855" s="1">
        <v>1242</v>
      </c>
      <c r="H14855" s="1">
        <v>1242</v>
      </c>
      <c r="I14855" s="1">
        <v>0</v>
      </c>
      <c r="J14855" s="1">
        <v>1</v>
      </c>
      <c r="K14855" s="1">
        <v>0</v>
      </c>
    </row>
    <row r="14856" spans="1:11" x14ac:dyDescent="0.2">
      <c r="A14856" s="1" t="s">
        <v>4329</v>
      </c>
      <c r="B14856" s="1" t="s">
        <v>4336</v>
      </c>
      <c r="C14856" s="1" t="str">
        <f>"12830-19B02JP"</f>
        <v>12830-19B02JP</v>
      </c>
      <c r="D14856" s="1" t="str">
        <f>"12830-19B02JP"</f>
        <v>12830-19B02JP</v>
      </c>
      <c r="E14856" s="1" t="s">
        <v>4579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</row>
    <row r="14857" spans="1:11" x14ac:dyDescent="0.2">
      <c r="A14857" s="1" t="s">
        <v>4329</v>
      </c>
      <c r="B14857" s="1" t="s">
        <v>4337</v>
      </c>
      <c r="C14857" s="1" t="str">
        <f>"66298947317667"</f>
        <v>66298947317667</v>
      </c>
      <c r="D14857" s="1" t="str">
        <f>"400977"</f>
        <v>400977</v>
      </c>
      <c r="E14857" s="1" t="s">
        <v>4579</v>
      </c>
      <c r="F14857" s="1">
        <v>2</v>
      </c>
      <c r="G14857" s="1">
        <v>1316</v>
      </c>
      <c r="H14857" s="1">
        <v>2632</v>
      </c>
      <c r="I14857" s="1">
        <v>0</v>
      </c>
      <c r="J14857" s="1">
        <v>2</v>
      </c>
      <c r="K14857" s="1">
        <v>0</v>
      </c>
    </row>
    <row r="14858" spans="1:11" x14ac:dyDescent="0.2">
      <c r="A14858" s="1" t="s">
        <v>4329</v>
      </c>
      <c r="B14858" s="1" t="s">
        <v>4338</v>
      </c>
      <c r="C14858" s="1" t="str">
        <f>"66298947271304"</f>
        <v>66298947271304</v>
      </c>
      <c r="D14858" s="1" t="str">
        <f>"CJ002"</f>
        <v>CJ002</v>
      </c>
      <c r="E14858" s="1" t="s">
        <v>4579</v>
      </c>
      <c r="F14858" s="1">
        <v>2</v>
      </c>
      <c r="G14858" s="1">
        <v>2724</v>
      </c>
      <c r="H14858" s="1">
        <v>5448</v>
      </c>
      <c r="I14858" s="1">
        <v>0</v>
      </c>
      <c r="J14858" s="1">
        <v>2</v>
      </c>
      <c r="K14858" s="1">
        <v>0</v>
      </c>
    </row>
    <row r="14859" spans="1:11" x14ac:dyDescent="0.2">
      <c r="A14859" s="1" t="s">
        <v>4329</v>
      </c>
      <c r="B14859" s="1" t="s">
        <v>4339</v>
      </c>
      <c r="C14859" s="1" t="str">
        <f>"66298947354377"</f>
        <v>66298947354377</v>
      </c>
      <c r="D14859" s="1" t="str">
        <f>"JV-5210-03"</f>
        <v>JV-5210-03</v>
      </c>
      <c r="E14859" s="1" t="s">
        <v>4579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</row>
    <row r="14860" spans="1:11" x14ac:dyDescent="0.2">
      <c r="A14860" s="1" t="s">
        <v>4329</v>
      </c>
      <c r="B14860" s="1" t="s">
        <v>4340</v>
      </c>
      <c r="C14860" s="1" t="str">
        <f>"66298947394713"</f>
        <v>66298947394713</v>
      </c>
      <c r="D14860" s="1" t="str">
        <f>"DS-1012-77"</f>
        <v>DS-1012-77</v>
      </c>
      <c r="E14860" s="1" t="s">
        <v>4579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</row>
    <row r="14861" spans="1:11" x14ac:dyDescent="0.2">
      <c r="A14861" s="1" t="s">
        <v>4329</v>
      </c>
      <c r="B14861" s="1" t="s">
        <v>4341</v>
      </c>
      <c r="C14861" s="1" t="str">
        <f>"66298947440884"</f>
        <v>66298947440884</v>
      </c>
      <c r="D14861" s="1" t="str">
        <f>"400985"</f>
        <v>400985</v>
      </c>
      <c r="E14861" s="1" t="s">
        <v>4579</v>
      </c>
      <c r="F14861" s="1">
        <v>2</v>
      </c>
      <c r="G14861" s="1">
        <v>1284</v>
      </c>
      <c r="H14861" s="1">
        <v>2568</v>
      </c>
      <c r="I14861" s="1">
        <v>0</v>
      </c>
      <c r="J14861" s="1">
        <v>2</v>
      </c>
      <c r="K14861" s="1">
        <v>0</v>
      </c>
    </row>
    <row r="14862" spans="1:11" x14ac:dyDescent="0.2">
      <c r="A14862" s="1" t="s">
        <v>4329</v>
      </c>
      <c r="B14862" s="1" t="s">
        <v>4342</v>
      </c>
      <c r="C14862" s="1" t="str">
        <f>"66298947485901"</f>
        <v>66298947485901</v>
      </c>
      <c r="D14862" s="1" t="str">
        <f>"14520-GFY6-902JP"</f>
        <v>14520-GFY6-902JP</v>
      </c>
      <c r="E14862" s="1" t="s">
        <v>4579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</row>
    <row r="14863" spans="1:11" x14ac:dyDescent="0.2">
      <c r="A14863" s="1" t="s">
        <v>4329</v>
      </c>
      <c r="B14863" s="1" t="s">
        <v>4342</v>
      </c>
      <c r="C14863" s="1" t="str">
        <f>"66298947493186"</f>
        <v>66298947493186</v>
      </c>
      <c r="D14863" s="1" t="str">
        <f>"CJ001"</f>
        <v>CJ001</v>
      </c>
      <c r="E14863" s="1" t="s">
        <v>4579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</row>
    <row r="14864" spans="1:11" x14ac:dyDescent="0.2">
      <c r="A14864" s="1" t="s">
        <v>4329</v>
      </c>
      <c r="B14864" s="1" t="s">
        <v>4342</v>
      </c>
      <c r="C14864" s="1" t="str">
        <f>"66298947546978"</f>
        <v>66298947546978</v>
      </c>
      <c r="D14864" s="1" t="str">
        <f>"24647"</f>
        <v>24647</v>
      </c>
      <c r="E14864" s="1" t="s">
        <v>4579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</row>
    <row r="14865" spans="1:11" x14ac:dyDescent="0.2">
      <c r="A14865" s="1" t="s">
        <v>4329</v>
      </c>
      <c r="B14865" s="1" t="s">
        <v>4342</v>
      </c>
      <c r="C14865" s="1" t="str">
        <f>"66298947553381"</f>
        <v>66298947553381</v>
      </c>
      <c r="D14865" s="1" t="str">
        <f>"80627"</f>
        <v>80627</v>
      </c>
      <c r="E14865" s="1" t="s">
        <v>4579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</row>
    <row r="14866" spans="1:11" x14ac:dyDescent="0.2">
      <c r="A14866" s="1" t="s">
        <v>4329</v>
      </c>
      <c r="B14866" s="1" t="s">
        <v>4343</v>
      </c>
      <c r="C14866" s="1" t="str">
        <f>"66298947609057"</f>
        <v>66298947609057</v>
      </c>
      <c r="D14866" s="1" t="str">
        <f>"400979"</f>
        <v>400979</v>
      </c>
      <c r="E14866" s="1" t="s">
        <v>4579</v>
      </c>
      <c r="F14866" s="1">
        <v>2</v>
      </c>
      <c r="G14866" s="1">
        <v>1224</v>
      </c>
      <c r="H14866" s="1">
        <v>2448</v>
      </c>
      <c r="I14866" s="1">
        <v>0</v>
      </c>
      <c r="J14866" s="1">
        <v>2</v>
      </c>
      <c r="K14866" s="1">
        <v>0</v>
      </c>
    </row>
    <row r="14867" spans="1:11" ht="30" x14ac:dyDescent="0.2">
      <c r="A14867" s="1" t="s">
        <v>4329</v>
      </c>
      <c r="B14867" s="1" t="s">
        <v>4344</v>
      </c>
      <c r="C14867" s="1" t="str">
        <f>"14520-KPF-912JP"</f>
        <v>14520-KPF-912JP</v>
      </c>
      <c r="D14867" s="1" t="str">
        <f>"14520-KPF-912JP"</f>
        <v>14520-KPF-912JP</v>
      </c>
      <c r="E14867" s="1" t="s">
        <v>4579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</row>
    <row r="14868" spans="1:11" x14ac:dyDescent="0.2">
      <c r="A14868" s="1" t="s">
        <v>4329</v>
      </c>
      <c r="B14868" s="1" t="s">
        <v>4345</v>
      </c>
      <c r="C14868" s="1" t="str">
        <f>"66298947654006"</f>
        <v>66298947654006</v>
      </c>
      <c r="D14868" s="1" t="str">
        <f>"14520-KCY-671"</f>
        <v>14520-KCY-671</v>
      </c>
      <c r="E14868" s="1" t="s">
        <v>4579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</row>
    <row r="14869" spans="1:11" x14ac:dyDescent="0.2">
      <c r="A14869" s="1" t="s">
        <v>4329</v>
      </c>
      <c r="B14869" s="1" t="s">
        <v>4346</v>
      </c>
      <c r="C14869" s="1" t="str">
        <f>"66298947692290"</f>
        <v>66298947692290</v>
      </c>
      <c r="D14869" s="1" t="str">
        <f>"CJ004"</f>
        <v>CJ004</v>
      </c>
      <c r="E14869" s="1" t="s">
        <v>4579</v>
      </c>
      <c r="F14869" s="1">
        <v>2</v>
      </c>
      <c r="G14869" s="1">
        <v>1970</v>
      </c>
      <c r="H14869" s="1">
        <v>3940</v>
      </c>
      <c r="I14869" s="1">
        <v>0</v>
      </c>
      <c r="J14869" s="1">
        <v>2</v>
      </c>
      <c r="K14869" s="1">
        <v>0</v>
      </c>
    </row>
    <row r="14870" spans="1:11" x14ac:dyDescent="0.2">
      <c r="A14870" s="1" t="s">
        <v>4329</v>
      </c>
      <c r="B14870" s="1" t="s">
        <v>4347</v>
      </c>
      <c r="C14870" s="1" t="str">
        <f>"66298947732248"</f>
        <v>66298947732248</v>
      </c>
      <c r="D14870" s="1" t="str">
        <f>"401050"</f>
        <v>401050</v>
      </c>
      <c r="E14870" s="1" t="s">
        <v>4579</v>
      </c>
      <c r="F14870" s="1">
        <v>2</v>
      </c>
      <c r="G14870" s="1">
        <v>1157</v>
      </c>
      <c r="H14870" s="1">
        <v>2314</v>
      </c>
      <c r="I14870" s="1">
        <v>0</v>
      </c>
      <c r="J14870" s="1">
        <v>2</v>
      </c>
      <c r="K14870" s="1">
        <v>0</v>
      </c>
    </row>
    <row r="14871" spans="1:11" x14ac:dyDescent="0.2">
      <c r="A14871" s="1" t="s">
        <v>4329</v>
      </c>
      <c r="B14871" s="1" t="s">
        <v>4348</v>
      </c>
      <c r="C14871" s="1" t="str">
        <f>"66298947775608"</f>
        <v>66298947775608</v>
      </c>
      <c r="D14871" s="1" t="str">
        <f>"400980"</f>
        <v>400980</v>
      </c>
      <c r="E14871" s="1" t="s">
        <v>4579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</row>
    <row r="14872" spans="1:11" x14ac:dyDescent="0.2">
      <c r="A14872" s="1" t="s">
        <v>4329</v>
      </c>
      <c r="B14872" s="1" t="s">
        <v>4349</v>
      </c>
      <c r="C14872" s="1" t="str">
        <f>"66298947818104"</f>
        <v>66298947818104</v>
      </c>
      <c r="D14872" s="1" t="str">
        <f>"14510-KWF-900JP"</f>
        <v>14510-KWF-900JP</v>
      </c>
      <c r="E14872" s="1" t="s">
        <v>4579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</row>
    <row r="14873" spans="1:11" x14ac:dyDescent="0.2">
      <c r="A14873" s="1" t="s">
        <v>4329</v>
      </c>
      <c r="B14873" s="1" t="s">
        <v>4350</v>
      </c>
      <c r="C14873" s="1" t="str">
        <f>"66298947857219"</f>
        <v>66298947857219</v>
      </c>
      <c r="D14873" s="1" t="str">
        <f>"12811-18A01JP"</f>
        <v>12811-18A01JP</v>
      </c>
      <c r="E14873" s="1" t="s">
        <v>4579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</row>
    <row r="14874" spans="1:11" x14ac:dyDescent="0.2">
      <c r="A14874" s="1" t="s">
        <v>4329</v>
      </c>
      <c r="B14874" s="1" t="s">
        <v>4351</v>
      </c>
      <c r="C14874" s="1" t="str">
        <f>"66298947899237"</f>
        <v>66298947899237</v>
      </c>
      <c r="D14874" s="1" t="str">
        <f>"21C-E2241-00JP"</f>
        <v>21C-E2241-00JP</v>
      </c>
      <c r="E14874" s="1" t="s">
        <v>4579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</row>
    <row r="14875" spans="1:11" x14ac:dyDescent="0.2">
      <c r="A14875" s="1" t="s">
        <v>4329</v>
      </c>
      <c r="B14875" s="1" t="s">
        <v>4352</v>
      </c>
      <c r="C14875" s="1" t="str">
        <f>"588008"</f>
        <v>588008</v>
      </c>
      <c r="D14875" s="1" t="str">
        <f>"588008"</f>
        <v>588008</v>
      </c>
      <c r="E14875" s="1" t="s">
        <v>4579</v>
      </c>
      <c r="F14875" s="1">
        <v>2</v>
      </c>
      <c r="G14875" s="1">
        <v>1630</v>
      </c>
      <c r="H14875" s="1">
        <v>3260</v>
      </c>
      <c r="I14875" s="1">
        <v>0</v>
      </c>
      <c r="J14875" s="1">
        <v>2</v>
      </c>
      <c r="K14875" s="1">
        <v>0</v>
      </c>
    </row>
    <row r="14876" spans="1:11" x14ac:dyDescent="0.2">
      <c r="A14876" s="1" t="s">
        <v>4329</v>
      </c>
      <c r="B14876" s="1" t="s">
        <v>4353</v>
      </c>
      <c r="C14876" s="1" t="str">
        <f>"66298947940020"</f>
        <v>66298947940020</v>
      </c>
      <c r="D14876" s="1" t="str">
        <f>"12811-12F50JP"</f>
        <v>12811-12F50JP</v>
      </c>
      <c r="E14876" s="1" t="s">
        <v>4579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</row>
    <row r="14877" spans="1:11" x14ac:dyDescent="0.2">
      <c r="A14877" s="1" t="s">
        <v>4329</v>
      </c>
      <c r="B14877" s="1" t="s">
        <v>4354</v>
      </c>
      <c r="C14877" s="1" t="str">
        <f>"66298948023359"</f>
        <v>66298948023359</v>
      </c>
      <c r="D14877" s="1" t="str">
        <f>"14500-427-000"</f>
        <v>14500-427-000</v>
      </c>
      <c r="E14877" s="1" t="s">
        <v>4579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</row>
    <row r="14878" spans="1:11" x14ac:dyDescent="0.2">
      <c r="A14878" s="1" t="s">
        <v>4329</v>
      </c>
      <c r="B14878" s="1" t="s">
        <v>4355</v>
      </c>
      <c r="C14878" s="1" t="str">
        <f>"66298947984096"</f>
        <v>66298947984096</v>
      </c>
      <c r="D14878" s="1" t="str">
        <f>"14500-KBB-900JP"</f>
        <v>14500-KBB-900JP</v>
      </c>
      <c r="E14878" s="1" t="s">
        <v>4579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</row>
    <row r="14879" spans="1:11" x14ac:dyDescent="0.2">
      <c r="A14879" s="1" t="s">
        <v>4329</v>
      </c>
      <c r="B14879" s="1" t="s">
        <v>4356</v>
      </c>
      <c r="C14879" s="1" t="str">
        <f>"66298948063442"</f>
        <v>66298948063442</v>
      </c>
      <c r="D14879" s="1" t="str">
        <f>"5YY-E2241-00JP"</f>
        <v>5YY-E2241-00JP</v>
      </c>
      <c r="E14879" s="1" t="s">
        <v>4579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</row>
    <row r="14880" spans="1:11" x14ac:dyDescent="0.2">
      <c r="A14880" s="1" t="s">
        <v>4329</v>
      </c>
      <c r="B14880" s="1" t="s">
        <v>4357</v>
      </c>
      <c r="C14880" s="1" t="str">
        <f>"66298948102343"</f>
        <v>66298948102343</v>
      </c>
      <c r="D14880" s="1" t="str">
        <f>"CJ012"</f>
        <v>CJ012</v>
      </c>
      <c r="E14880" s="1" t="s">
        <v>4579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</row>
    <row r="14881" spans="1:11" x14ac:dyDescent="0.2">
      <c r="A14881" s="1" t="s">
        <v>4329</v>
      </c>
      <c r="B14881" s="1" t="s">
        <v>4358</v>
      </c>
      <c r="C14881" s="1" t="str">
        <f>"66298948144405"</f>
        <v>66298948144405</v>
      </c>
      <c r="D14881" s="1" t="str">
        <f>"R029"</f>
        <v>R029</v>
      </c>
      <c r="E14881" s="1" t="s">
        <v>4579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</row>
    <row r="14882" spans="1:11" x14ac:dyDescent="0.2">
      <c r="A14882" s="1" t="s">
        <v>98</v>
      </c>
      <c r="B14882" s="1" t="s">
        <v>4359</v>
      </c>
      <c r="C14882" s="1" t="str">
        <f>"66298948185203"</f>
        <v>66298948185203</v>
      </c>
      <c r="D14882" s="1" t="str">
        <f>"13522"</f>
        <v>13522</v>
      </c>
      <c r="E14882" s="1" t="s">
        <v>4579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</row>
    <row r="14883" spans="1:11" x14ac:dyDescent="0.2">
      <c r="A14883" s="1" t="s">
        <v>98</v>
      </c>
      <c r="B14883" s="1" t="s">
        <v>4360</v>
      </c>
      <c r="C14883" s="1" t="str">
        <f>"66298948231380"</f>
        <v>66298948231380</v>
      </c>
      <c r="D14883" s="1" t="str">
        <f>"13523"</f>
        <v>13523</v>
      </c>
      <c r="E14883" s="1" t="s">
        <v>4579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</row>
    <row r="14884" spans="1:11" x14ac:dyDescent="0.2">
      <c r="A14884" s="1" t="s">
        <v>98</v>
      </c>
      <c r="B14884" s="1" t="s">
        <v>4361</v>
      </c>
      <c r="C14884" s="1" t="str">
        <f>"66298948273169"</f>
        <v>66298948273169</v>
      </c>
      <c r="D14884" s="1" t="str">
        <f>"81569"</f>
        <v>81569</v>
      </c>
      <c r="E14884" s="1" t="s">
        <v>4579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</row>
    <row r="14885" spans="1:11" x14ac:dyDescent="0.2">
      <c r="A14885" s="1" t="s">
        <v>4362</v>
      </c>
      <c r="B14885" s="1" t="s">
        <v>4363</v>
      </c>
      <c r="C14885" s="1" t="str">
        <f>"ACTIVO-KIA"</f>
        <v>ACTIVO-KIA</v>
      </c>
      <c r="D14885" s="1" t="str">
        <f>"ACTIVO-KIA"</f>
        <v>ACTIVO-KIA</v>
      </c>
      <c r="E14885" s="1" t="s">
        <v>4579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</row>
    <row r="14886" spans="1:11" x14ac:dyDescent="0.2">
      <c r="B14886" s="1" t="s">
        <v>4364</v>
      </c>
    </row>
    <row r="14887" spans="1:11" x14ac:dyDescent="0.2">
      <c r="B14887" s="1" t="s">
        <v>4365</v>
      </c>
    </row>
    <row r="14888" spans="1:11" x14ac:dyDescent="0.2">
      <c r="B14888" s="1" t="s">
        <v>4366</v>
      </c>
    </row>
    <row r="14889" spans="1:11" x14ac:dyDescent="0.2">
      <c r="B14889" s="1" t="s">
        <v>4367</v>
      </c>
    </row>
    <row r="14890" spans="1:11" x14ac:dyDescent="0.2">
      <c r="B14890" s="1" t="s">
        <v>4368</v>
      </c>
    </row>
    <row r="14891" spans="1:11" x14ac:dyDescent="0.2">
      <c r="B14891" s="1" t="s">
        <v>4369</v>
      </c>
    </row>
    <row r="14892" spans="1:11" x14ac:dyDescent="0.2">
      <c r="B14892" s="1" t="s">
        <v>4370</v>
      </c>
    </row>
    <row r="14893" spans="1:11" x14ac:dyDescent="0.2">
      <c r="B14893" s="1" t="s">
        <v>4371</v>
      </c>
    </row>
    <row r="14894" spans="1:11" x14ac:dyDescent="0.2">
      <c r="B14894" s="1" t="s">
        <v>4372</v>
      </c>
    </row>
    <row r="14895" spans="1:11" x14ac:dyDescent="0.2">
      <c r="A14895" s="1" t="s">
        <v>4373</v>
      </c>
      <c r="B14895" s="1" t="s">
        <v>4374</v>
      </c>
      <c r="C14895" s="1" t="str">
        <f>"66298948313119"</f>
        <v>66298948313119</v>
      </c>
      <c r="D14895" s="1" t="str">
        <f>"CF010"</f>
        <v>CF010</v>
      </c>
      <c r="E14895" s="1" t="s">
        <v>4579</v>
      </c>
      <c r="F14895" s="1">
        <v>4</v>
      </c>
      <c r="G14895" s="1">
        <v>1780</v>
      </c>
      <c r="H14895" s="1">
        <v>7120</v>
      </c>
      <c r="I14895" s="1">
        <v>0</v>
      </c>
      <c r="J14895" s="1">
        <v>4</v>
      </c>
      <c r="K14895" s="1">
        <v>0</v>
      </c>
    </row>
    <row r="14896" spans="1:11" x14ac:dyDescent="0.2">
      <c r="A14896" s="1" t="s">
        <v>4373</v>
      </c>
      <c r="B14896" s="1" t="s">
        <v>4375</v>
      </c>
      <c r="C14896" s="1" t="str">
        <f>"66298948352123"</f>
        <v>66298948352123</v>
      </c>
      <c r="D14896" s="1" t="str">
        <f>"21C-F5388-11GY"</f>
        <v>21C-F5388-11GY</v>
      </c>
      <c r="E14896" s="1" t="s">
        <v>4579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</row>
    <row r="14897" spans="1:11" x14ac:dyDescent="0.2">
      <c r="A14897" s="1" t="s">
        <v>4373</v>
      </c>
      <c r="B14897" s="1" t="s">
        <v>4376</v>
      </c>
      <c r="C14897" s="1" t="str">
        <f>"588025"</f>
        <v>588025</v>
      </c>
      <c r="D14897" s="1" t="str">
        <f>"588025"</f>
        <v>588025</v>
      </c>
      <c r="E14897" s="1" t="s">
        <v>4579</v>
      </c>
      <c r="F14897" s="1">
        <v>1</v>
      </c>
      <c r="G14897" s="1">
        <v>610</v>
      </c>
      <c r="H14897" s="1">
        <v>610</v>
      </c>
      <c r="I14897" s="1">
        <v>0</v>
      </c>
      <c r="J14897" s="1">
        <v>1</v>
      </c>
      <c r="K14897" s="1">
        <v>0</v>
      </c>
    </row>
    <row r="14898" spans="1:11" x14ac:dyDescent="0.2">
      <c r="A14898" s="1" t="s">
        <v>4373</v>
      </c>
      <c r="B14898" s="1" t="s">
        <v>4377</v>
      </c>
      <c r="C14898" s="1" t="str">
        <f>"66298948396051"</f>
        <v>66298948396051</v>
      </c>
      <c r="D14898" s="1" t="str">
        <f>"DM-T-00009"</f>
        <v>DM-T-00009</v>
      </c>
      <c r="E14898" s="1" t="s">
        <v>4579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</row>
    <row r="14899" spans="1:11" x14ac:dyDescent="0.2">
      <c r="A14899" s="1" t="s">
        <v>4373</v>
      </c>
      <c r="B14899" s="1" t="s">
        <v>4378</v>
      </c>
      <c r="C14899" s="1" t="str">
        <f>"66298948436103"</f>
        <v>66298948436103</v>
      </c>
      <c r="D14899" s="1" t="str">
        <f>"61041H2C000H000"</f>
        <v>61041H2C000H000</v>
      </c>
      <c r="E14899" s="1" t="s">
        <v>4579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</row>
    <row r="14900" spans="1:11" x14ac:dyDescent="0.2">
      <c r="A14900" s="1" t="s">
        <v>4373</v>
      </c>
      <c r="B14900" s="1" t="s">
        <v>4379</v>
      </c>
      <c r="C14900" s="1" t="str">
        <f>"588032"</f>
        <v>588032</v>
      </c>
      <c r="D14900" s="1" t="str">
        <f>"588032"</f>
        <v>588032</v>
      </c>
      <c r="E14900" s="1" t="s">
        <v>4579</v>
      </c>
      <c r="F14900" s="1">
        <v>2</v>
      </c>
      <c r="G14900" s="1">
        <v>1718</v>
      </c>
      <c r="H14900" s="1">
        <v>3436</v>
      </c>
      <c r="I14900" s="1">
        <v>0</v>
      </c>
      <c r="J14900" s="1">
        <v>2</v>
      </c>
      <c r="K14900" s="1">
        <v>0</v>
      </c>
    </row>
    <row r="14901" spans="1:11" x14ac:dyDescent="0.2">
      <c r="A14901" s="1" t="s">
        <v>4373</v>
      </c>
      <c r="B14901" s="1" t="s">
        <v>4380</v>
      </c>
      <c r="C14901" s="1" t="str">
        <f>"7843"</f>
        <v>7843</v>
      </c>
      <c r="D14901" s="1" t="str">
        <f>"7843"</f>
        <v>7843</v>
      </c>
      <c r="E14901" s="1" t="s">
        <v>4579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</row>
    <row r="14902" spans="1:11" x14ac:dyDescent="0.2">
      <c r="A14902" s="1" t="s">
        <v>4373</v>
      </c>
      <c r="B14902" s="1" t="s">
        <v>4380</v>
      </c>
      <c r="C14902" s="1" t="str">
        <f>"CF015"</f>
        <v>CF015</v>
      </c>
      <c r="D14902" s="1" t="str">
        <f>"CF015"</f>
        <v>CF015</v>
      </c>
      <c r="E14902" s="1" t="s">
        <v>4579</v>
      </c>
      <c r="F14902" s="1">
        <v>1</v>
      </c>
      <c r="G14902" s="1">
        <v>2560</v>
      </c>
      <c r="H14902" s="1">
        <v>2560</v>
      </c>
      <c r="I14902" s="1">
        <v>0</v>
      </c>
      <c r="J14902" s="1">
        <v>1</v>
      </c>
      <c r="K14902" s="1">
        <v>0</v>
      </c>
    </row>
    <row r="14903" spans="1:11" x14ac:dyDescent="0.2">
      <c r="A14903" s="1" t="s">
        <v>4373</v>
      </c>
      <c r="B14903" s="1" t="s">
        <v>4381</v>
      </c>
      <c r="C14903" s="1" t="str">
        <f>"66298948529091"</f>
        <v>66298948529091</v>
      </c>
      <c r="D14903" s="1" t="str">
        <f>"CF007"</f>
        <v>CF007</v>
      </c>
      <c r="E14903" s="1" t="s">
        <v>4579</v>
      </c>
      <c r="F14903" s="1">
        <v>2</v>
      </c>
      <c r="G14903" s="1">
        <v>621</v>
      </c>
      <c r="H14903" s="1">
        <v>1242</v>
      </c>
      <c r="I14903" s="1">
        <v>0</v>
      </c>
      <c r="J14903" s="1">
        <v>2</v>
      </c>
      <c r="K14903" s="1">
        <v>0</v>
      </c>
    </row>
    <row r="14904" spans="1:11" x14ac:dyDescent="0.2">
      <c r="A14904" s="1" t="s">
        <v>4373</v>
      </c>
      <c r="B14904" s="1" t="s">
        <v>4382</v>
      </c>
      <c r="C14904" s="1" t="str">
        <f>"66298948571197"</f>
        <v>66298948571197</v>
      </c>
      <c r="D14904" s="1" t="str">
        <f>"CF006"</f>
        <v>CF006</v>
      </c>
      <c r="E14904" s="1" t="s">
        <v>4579</v>
      </c>
      <c r="F14904" s="1">
        <v>2</v>
      </c>
      <c r="G14904" s="1">
        <v>678.46</v>
      </c>
      <c r="H14904" s="1">
        <v>1357</v>
      </c>
      <c r="I14904" s="1">
        <v>0</v>
      </c>
      <c r="J14904" s="1">
        <v>2</v>
      </c>
      <c r="K14904" s="1">
        <v>0</v>
      </c>
    </row>
    <row r="14905" spans="1:11" x14ac:dyDescent="0.2">
      <c r="A14905" s="1" t="s">
        <v>4373</v>
      </c>
      <c r="B14905" s="1" t="s">
        <v>4383</v>
      </c>
      <c r="C14905" s="1" t="str">
        <f>"66298948478230"</f>
        <v>66298948478230</v>
      </c>
      <c r="D14905" s="1" t="str">
        <f>"CF004"</f>
        <v>CF004</v>
      </c>
      <c r="E14905" s="1" t="s">
        <v>4579</v>
      </c>
      <c r="F14905" s="1">
        <v>2</v>
      </c>
      <c r="G14905" s="1">
        <v>711</v>
      </c>
      <c r="H14905" s="1">
        <v>1422</v>
      </c>
      <c r="I14905" s="1">
        <v>0</v>
      </c>
      <c r="J14905" s="1">
        <v>2</v>
      </c>
      <c r="K14905" s="1">
        <v>0</v>
      </c>
    </row>
    <row r="14906" spans="1:11" x14ac:dyDescent="0.2">
      <c r="A14906" s="1" t="s">
        <v>4373</v>
      </c>
      <c r="B14906" s="1" t="s">
        <v>4384</v>
      </c>
      <c r="C14906" s="1" t="str">
        <f>"66298948608607"</f>
        <v>66298948608607</v>
      </c>
      <c r="D14906" s="1" t="str">
        <f>"CF011"</f>
        <v>CF011</v>
      </c>
      <c r="E14906" s="1" t="s">
        <v>4579</v>
      </c>
      <c r="F14906" s="1">
        <v>2</v>
      </c>
      <c r="G14906" s="1">
        <v>2376</v>
      </c>
      <c r="H14906" s="1">
        <v>4752</v>
      </c>
      <c r="I14906" s="1">
        <v>0</v>
      </c>
      <c r="J14906" s="1">
        <v>2</v>
      </c>
      <c r="K14906" s="1">
        <v>0</v>
      </c>
    </row>
    <row r="14907" spans="1:11" x14ac:dyDescent="0.2">
      <c r="A14907" s="1" t="s">
        <v>4373</v>
      </c>
      <c r="B14907" s="1" t="s">
        <v>4385</v>
      </c>
      <c r="C14907" s="1" t="str">
        <f>"66298948651238"</f>
        <v>66298948651238</v>
      </c>
      <c r="D14907" s="1" t="str">
        <f>"CF008"</f>
        <v>CF008</v>
      </c>
      <c r="E14907" s="1" t="s">
        <v>4579</v>
      </c>
      <c r="F14907" s="1">
        <v>1</v>
      </c>
      <c r="G14907" s="1">
        <v>473.07</v>
      </c>
      <c r="H14907" s="1">
        <v>473</v>
      </c>
      <c r="I14907" s="1">
        <v>0</v>
      </c>
      <c r="J14907" s="1">
        <v>1</v>
      </c>
      <c r="K14907" s="1">
        <v>0</v>
      </c>
    </row>
    <row r="14908" spans="1:11" x14ac:dyDescent="0.2">
      <c r="A14908" s="1" t="s">
        <v>4373</v>
      </c>
      <c r="B14908" s="1" t="s">
        <v>4386</v>
      </c>
      <c r="C14908" s="1" t="str">
        <f>"CF002"</f>
        <v>CF002</v>
      </c>
      <c r="D14908" s="1" t="str">
        <f>"CF002"</f>
        <v>CF002</v>
      </c>
      <c r="E14908" s="1" t="s">
        <v>4579</v>
      </c>
      <c r="F14908" s="1">
        <v>4</v>
      </c>
      <c r="G14908" s="1">
        <v>2268.6</v>
      </c>
      <c r="H14908" s="1">
        <v>9074</v>
      </c>
      <c r="I14908" s="1">
        <v>0</v>
      </c>
      <c r="J14908" s="1">
        <v>4</v>
      </c>
      <c r="K14908" s="1">
        <v>0</v>
      </c>
    </row>
    <row r="14909" spans="1:11" x14ac:dyDescent="0.2">
      <c r="A14909" s="1" t="s">
        <v>4373</v>
      </c>
      <c r="B14909" s="1" t="s">
        <v>4387</v>
      </c>
      <c r="C14909" s="1" t="str">
        <f>"66298948729608"</f>
        <v>66298948729608</v>
      </c>
      <c r="D14909" s="1" t="str">
        <f>"CF017"</f>
        <v>CF017</v>
      </c>
      <c r="E14909" s="1" t="s">
        <v>4579</v>
      </c>
      <c r="F14909" s="1">
        <v>1</v>
      </c>
      <c r="G14909" s="1">
        <v>4948</v>
      </c>
      <c r="H14909" s="1">
        <v>4948</v>
      </c>
      <c r="I14909" s="1">
        <v>0</v>
      </c>
      <c r="J14909" s="1">
        <v>1</v>
      </c>
      <c r="K14909" s="1">
        <v>0</v>
      </c>
    </row>
    <row r="14910" spans="1:11" x14ac:dyDescent="0.2">
      <c r="A14910" s="1" t="s">
        <v>4373</v>
      </c>
      <c r="B14910" s="1" t="s">
        <v>4388</v>
      </c>
      <c r="C14910" s="1" t="str">
        <f>"66298948769800"</f>
        <v>66298948769800</v>
      </c>
      <c r="D14910" s="1" t="str">
        <f>"CF001"</f>
        <v>CF001</v>
      </c>
      <c r="E14910" s="1" t="s">
        <v>4579</v>
      </c>
      <c r="F14910" s="1">
        <v>2</v>
      </c>
      <c r="G14910" s="1">
        <v>3180</v>
      </c>
      <c r="H14910" s="1">
        <v>6360</v>
      </c>
      <c r="I14910" s="1">
        <v>0</v>
      </c>
      <c r="J14910" s="1">
        <v>2</v>
      </c>
      <c r="K14910" s="1">
        <v>0</v>
      </c>
    </row>
    <row r="14911" spans="1:11" x14ac:dyDescent="0.2">
      <c r="A14911" s="1" t="s">
        <v>4373</v>
      </c>
      <c r="B14911" s="1" t="s">
        <v>4389</v>
      </c>
      <c r="C14911" s="1" t="str">
        <f>"66298948807923"</f>
        <v>66298948807923</v>
      </c>
      <c r="D14911" s="1" t="str">
        <f>"CF012"</f>
        <v>CF012</v>
      </c>
      <c r="E14911" s="1" t="s">
        <v>4579</v>
      </c>
      <c r="F14911" s="1">
        <v>1</v>
      </c>
      <c r="G14911" s="1">
        <v>2043</v>
      </c>
      <c r="H14911" s="1">
        <v>2043</v>
      </c>
      <c r="I14911" s="1">
        <v>0</v>
      </c>
      <c r="J14911" s="1">
        <v>1</v>
      </c>
      <c r="K14911" s="1">
        <v>0</v>
      </c>
    </row>
    <row r="14912" spans="1:11" x14ac:dyDescent="0.2">
      <c r="A14912" s="1" t="s">
        <v>4373</v>
      </c>
      <c r="B14912" s="1" t="s">
        <v>4390</v>
      </c>
      <c r="C14912" s="1" t="str">
        <f>"66298948847013"</f>
        <v>66298948847013</v>
      </c>
      <c r="D14912" s="1" t="str">
        <f>"CF005"</f>
        <v>CF005</v>
      </c>
      <c r="E14912" s="1" t="s">
        <v>4579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</row>
    <row r="14913" spans="1:11" x14ac:dyDescent="0.2">
      <c r="A14913" s="1" t="s">
        <v>4373</v>
      </c>
      <c r="B14913" s="1" t="s">
        <v>4391</v>
      </c>
      <c r="C14913" s="1" t="str">
        <f>"66298948888115"</f>
        <v>66298948888115</v>
      </c>
      <c r="D14913" s="1" t="str">
        <f>"TC-WY"</f>
        <v>TC-WY</v>
      </c>
      <c r="E14913" s="1" t="s">
        <v>4579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</row>
    <row r="14914" spans="1:11" x14ac:dyDescent="0.2">
      <c r="A14914" s="1" t="s">
        <v>98</v>
      </c>
      <c r="B14914" s="1" t="s">
        <v>4392</v>
      </c>
      <c r="C14914" s="1" t="str">
        <f>"66298948929867"</f>
        <v>66298948929867</v>
      </c>
      <c r="D14914" s="1" t="str">
        <f>"QBA001"</f>
        <v>QBA001</v>
      </c>
      <c r="E14914" s="1" t="s">
        <v>4579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</row>
    <row r="14915" spans="1:11" x14ac:dyDescent="0.2">
      <c r="A14915" s="1" t="s">
        <v>98</v>
      </c>
      <c r="B14915" s="1" t="s">
        <v>4393</v>
      </c>
      <c r="C14915" s="1" t="str">
        <f>"66298948971427"</f>
        <v>66298948971427</v>
      </c>
      <c r="D14915" s="1" t="str">
        <f>"ZZC004"</f>
        <v>ZZC004</v>
      </c>
      <c r="E14915" s="1" t="s">
        <v>4579</v>
      </c>
      <c r="F14915" s="1">
        <v>2</v>
      </c>
      <c r="G14915" s="1">
        <v>5635.5</v>
      </c>
      <c r="H14915" s="1">
        <v>11271</v>
      </c>
      <c r="I14915" s="1">
        <v>0</v>
      </c>
      <c r="J14915" s="1">
        <v>2</v>
      </c>
      <c r="K14915" s="1">
        <v>0</v>
      </c>
    </row>
    <row r="14916" spans="1:11" x14ac:dyDescent="0.2">
      <c r="A14916" s="1" t="s">
        <v>98</v>
      </c>
      <c r="B14916" s="1" t="s">
        <v>4394</v>
      </c>
      <c r="C14916" s="1" t="str">
        <f>"66298949014318"</f>
        <v>66298949014318</v>
      </c>
      <c r="D14916" s="1" t="str">
        <f>"ZZC003"</f>
        <v>ZZC003</v>
      </c>
      <c r="E14916" s="1" t="s">
        <v>4579</v>
      </c>
      <c r="F14916" s="1">
        <v>1</v>
      </c>
      <c r="G14916" s="1">
        <v>6836</v>
      </c>
      <c r="H14916" s="1">
        <v>6836</v>
      </c>
      <c r="I14916" s="1">
        <v>0</v>
      </c>
      <c r="J14916" s="1">
        <v>1</v>
      </c>
      <c r="K14916" s="1">
        <v>0</v>
      </c>
    </row>
    <row r="14917" spans="1:11" x14ac:dyDescent="0.2">
      <c r="A14917" s="1" t="s">
        <v>98</v>
      </c>
      <c r="B14917" s="1" t="s">
        <v>4395</v>
      </c>
      <c r="C14917" s="1" t="str">
        <f>"66298949051614"</f>
        <v>66298949051614</v>
      </c>
      <c r="D14917" s="1" t="str">
        <f>"WJ013"</f>
        <v>WJ013</v>
      </c>
      <c r="E14917" s="1" t="s">
        <v>4579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</row>
    <row r="14918" spans="1:11" x14ac:dyDescent="0.2">
      <c r="A14918" s="1" t="s">
        <v>98</v>
      </c>
      <c r="B14918" s="1" t="s">
        <v>4396</v>
      </c>
      <c r="C14918" s="1" t="str">
        <f>"66298949089756"</f>
        <v>66298949089756</v>
      </c>
      <c r="D14918" s="1" t="str">
        <f>"WJ015"</f>
        <v>WJ015</v>
      </c>
      <c r="E14918" s="1" t="s">
        <v>4579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</row>
    <row r="14919" spans="1:11" x14ac:dyDescent="0.2">
      <c r="A14919" s="1" t="s">
        <v>98</v>
      </c>
      <c r="B14919" s="1" t="s">
        <v>4397</v>
      </c>
      <c r="C14919" s="1" t="str">
        <f>"66298949128800"</f>
        <v>66298949128800</v>
      </c>
      <c r="D14919" s="1" t="str">
        <f>"HK-Y-101H"</f>
        <v>HK-Y-101H</v>
      </c>
      <c r="E14919" s="1" t="s">
        <v>4579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</row>
    <row r="14920" spans="1:11" x14ac:dyDescent="0.2">
      <c r="A14920" s="1" t="s">
        <v>4398</v>
      </c>
      <c r="B14920" s="1" t="s">
        <v>4399</v>
      </c>
      <c r="C14920" s="1" t="str">
        <f>"66298949171937"</f>
        <v>66298949171937</v>
      </c>
      <c r="D14920" s="1" t="str">
        <f>"Y078-ROJO"</f>
        <v>Y078-ROJO</v>
      </c>
      <c r="E14920" s="1" t="s">
        <v>4579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</row>
    <row r="14921" spans="1:11" x14ac:dyDescent="0.2">
      <c r="A14921" s="1" t="s">
        <v>4398</v>
      </c>
      <c r="B14921" s="1" t="s">
        <v>4400</v>
      </c>
      <c r="C14921" s="1" t="str">
        <f>"Y011-AZUL"</f>
        <v>Y011-AZUL</v>
      </c>
      <c r="D14921" s="1" t="str">
        <f>"Y011-AZUL"</f>
        <v>Y011-AZUL</v>
      </c>
      <c r="E14921" s="1" t="s">
        <v>4579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</row>
    <row r="14922" spans="1:11" x14ac:dyDescent="0.2">
      <c r="A14922" s="1" t="s">
        <v>4398</v>
      </c>
      <c r="B14922" s="1" t="s">
        <v>4401</v>
      </c>
      <c r="C14922" s="1" t="str">
        <f>"Y011-NEGRO"</f>
        <v>Y011-NEGRO</v>
      </c>
      <c r="D14922" s="1" t="str">
        <f>"Y011-NEGRO"</f>
        <v>Y011-NEGRO</v>
      </c>
      <c r="E14922" s="1" t="s">
        <v>4579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</row>
    <row r="14923" spans="1:11" x14ac:dyDescent="0.2">
      <c r="A14923" s="1" t="s">
        <v>4398</v>
      </c>
      <c r="B14923" s="1" t="s">
        <v>4402</v>
      </c>
      <c r="C14923" s="1" t="str">
        <f>"Y011-ROJO"</f>
        <v>Y011-ROJO</v>
      </c>
      <c r="D14923" s="1" t="str">
        <f>"Y011-ROJO"</f>
        <v>Y011-ROJO</v>
      </c>
      <c r="E14923" s="1" t="s">
        <v>4579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</row>
    <row r="14924" spans="1:11" x14ac:dyDescent="0.2">
      <c r="A14924" s="1" t="s">
        <v>4398</v>
      </c>
      <c r="B14924" s="1" t="s">
        <v>4403</v>
      </c>
      <c r="C14924" s="1" t="str">
        <f>"66298950566649"</f>
        <v>66298950566649</v>
      </c>
      <c r="D14924" s="1" t="str">
        <f>"Y069-A"</f>
        <v>Y069-A</v>
      </c>
      <c r="E14924" s="1" t="s">
        <v>4579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</row>
    <row r="14925" spans="1:11" x14ac:dyDescent="0.2">
      <c r="A14925" s="1" t="s">
        <v>98</v>
      </c>
      <c r="B14925" s="1" t="s">
        <v>4404</v>
      </c>
      <c r="C14925" s="1" t="str">
        <f>"31359"</f>
        <v>31359</v>
      </c>
      <c r="D14925" s="1" t="str">
        <f>"31359"</f>
        <v>31359</v>
      </c>
      <c r="E14925" s="1" t="s">
        <v>4579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</row>
    <row r="14926" spans="1:11" x14ac:dyDescent="0.2">
      <c r="A14926" s="1" t="s">
        <v>98</v>
      </c>
      <c r="B14926" s="1" t="s">
        <v>4405</v>
      </c>
      <c r="C14926" s="1" t="str">
        <f>"31360"</f>
        <v>31360</v>
      </c>
      <c r="D14926" s="1" t="str">
        <f>"31360"</f>
        <v>31360</v>
      </c>
      <c r="E14926" s="1" t="s">
        <v>4579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</row>
    <row r="14927" spans="1:11" x14ac:dyDescent="0.2">
      <c r="A14927" s="1" t="s">
        <v>18</v>
      </c>
      <c r="B14927" s="1" t="s">
        <v>4406</v>
      </c>
      <c r="C14927" s="1" t="str">
        <f>"66298950607315"</f>
        <v>66298950607315</v>
      </c>
      <c r="D14927" s="1" t="str">
        <f>"JC003-AMARILLO"</f>
        <v>JC003-AMARILLO</v>
      </c>
      <c r="E14927" s="1" t="s">
        <v>4579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</row>
    <row r="14928" spans="1:11" x14ac:dyDescent="0.2">
      <c r="A14928" s="1" t="s">
        <v>18</v>
      </c>
      <c r="B14928" s="1" t="s">
        <v>4407</v>
      </c>
      <c r="C14928" s="1" t="str">
        <f>"66298950649523"</f>
        <v>66298950649523</v>
      </c>
      <c r="D14928" s="1" t="str">
        <f>"JC003-AZUL"</f>
        <v>JC003-AZUL</v>
      </c>
      <c r="E14928" s="1" t="s">
        <v>4579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</row>
    <row r="14929" spans="1:11" x14ac:dyDescent="0.2">
      <c r="A14929" s="1" t="s">
        <v>18</v>
      </c>
      <c r="B14929" s="1" t="s">
        <v>4408</v>
      </c>
      <c r="C14929" s="1" t="str">
        <f>"JC002-2-AZUL"</f>
        <v>JC002-2-AZUL</v>
      </c>
      <c r="D14929" s="1" t="str">
        <f>"JC002-2-AZUL"</f>
        <v>JC002-2-AZUL</v>
      </c>
      <c r="E14929" s="1" t="s">
        <v>4579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</row>
    <row r="14930" spans="1:11" x14ac:dyDescent="0.2">
      <c r="A14930" s="1" t="s">
        <v>18</v>
      </c>
      <c r="B14930" s="1" t="s">
        <v>4409</v>
      </c>
      <c r="C14930" s="1" t="str">
        <f>"66298950692409"</f>
        <v>66298950692409</v>
      </c>
      <c r="D14930" s="1" t="str">
        <f>"JC003-BLANCO"</f>
        <v>JC003-BLANCO</v>
      </c>
      <c r="E14930" s="1" t="s">
        <v>4579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</row>
    <row r="14931" spans="1:11" x14ac:dyDescent="0.2">
      <c r="A14931" s="1" t="s">
        <v>18</v>
      </c>
      <c r="B14931" s="1" t="s">
        <v>4410</v>
      </c>
      <c r="C14931" s="1" t="str">
        <f>"66298950733176"</f>
        <v>66298950733176</v>
      </c>
      <c r="D14931" s="1" t="str">
        <f>"JC003-NARANJA"</f>
        <v>JC003-NARANJA</v>
      </c>
      <c r="E14931" s="1" t="s">
        <v>4579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</row>
    <row r="14932" spans="1:11" x14ac:dyDescent="0.2">
      <c r="A14932" s="1" t="s">
        <v>18</v>
      </c>
      <c r="B14932" s="1" t="s">
        <v>4411</v>
      </c>
      <c r="C14932" s="1" t="str">
        <f>"66298950778651"</f>
        <v>66298950778651</v>
      </c>
      <c r="D14932" s="1" t="str">
        <f>"JC008-B-NEGRO"</f>
        <v>JC008-B-NEGRO</v>
      </c>
      <c r="E14932" s="1" t="s">
        <v>4579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</row>
    <row r="14933" spans="1:11" x14ac:dyDescent="0.2">
      <c r="A14933" s="1" t="s">
        <v>18</v>
      </c>
      <c r="B14933" s="1" t="s">
        <v>4411</v>
      </c>
      <c r="C14933" s="1" t="str">
        <f>"66298950829683"</f>
        <v>66298950829683</v>
      </c>
      <c r="D14933" s="1" t="str">
        <f>"JC003-NEGRO"</f>
        <v>JC003-NEGRO</v>
      </c>
      <c r="E14933" s="1" t="s">
        <v>4579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</row>
    <row r="14934" spans="1:11" x14ac:dyDescent="0.2">
      <c r="A14934" s="1" t="s">
        <v>18</v>
      </c>
      <c r="B14934" s="1" t="s">
        <v>4412</v>
      </c>
      <c r="C14934" s="1" t="str">
        <f>"122198-NEGRO"</f>
        <v>122198-NEGRO</v>
      </c>
      <c r="D14934" s="1" t="str">
        <f>"122198-NEGRO"</f>
        <v>122198-NEGRO</v>
      </c>
      <c r="E14934" s="1" t="s">
        <v>4579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</row>
    <row r="14935" spans="1:11" ht="30" x14ac:dyDescent="0.2">
      <c r="A14935" s="1" t="s">
        <v>18</v>
      </c>
      <c r="B14935" s="1" t="s">
        <v>4413</v>
      </c>
      <c r="C14935" s="1" t="str">
        <f>"0690-AZUL"</f>
        <v>0690-AZUL</v>
      </c>
      <c r="D14935" s="1" t="str">
        <f>"0690-AZUL"</f>
        <v>0690-AZUL</v>
      </c>
      <c r="E14935" s="1" t="s">
        <v>4579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</row>
    <row r="14936" spans="1:11" ht="30" x14ac:dyDescent="0.2">
      <c r="A14936" s="1" t="s">
        <v>18</v>
      </c>
      <c r="B14936" s="1" t="s">
        <v>4414</v>
      </c>
      <c r="C14936" s="1" t="str">
        <f>"0690-DORADO"</f>
        <v>0690-DORADO</v>
      </c>
      <c r="D14936" s="1" t="str">
        <f>"0690-DORADO"</f>
        <v>0690-DORADO</v>
      </c>
      <c r="E14936" s="1" t="s">
        <v>4579</v>
      </c>
      <c r="F14936" s="1">
        <v>1</v>
      </c>
      <c r="G14936" s="1">
        <v>1840.27</v>
      </c>
      <c r="H14936" s="1">
        <v>1840</v>
      </c>
      <c r="I14936" s="1">
        <v>0</v>
      </c>
      <c r="J14936" s="1">
        <v>1</v>
      </c>
      <c r="K14936" s="1">
        <v>0</v>
      </c>
    </row>
    <row r="14937" spans="1:11" ht="30" x14ac:dyDescent="0.2">
      <c r="A14937" s="1" t="s">
        <v>18</v>
      </c>
      <c r="B14937" s="1" t="s">
        <v>4415</v>
      </c>
      <c r="C14937" s="1" t="str">
        <f>"0690-MORADO"</f>
        <v>0690-MORADO</v>
      </c>
      <c r="D14937" s="1" t="str">
        <f>"0690-MORADO"</f>
        <v>0690-MORADO</v>
      </c>
      <c r="E14937" s="1" t="s">
        <v>4579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</row>
    <row r="14938" spans="1:11" ht="30" x14ac:dyDescent="0.2">
      <c r="A14938" s="1" t="s">
        <v>18</v>
      </c>
      <c r="B14938" s="1" t="s">
        <v>4416</v>
      </c>
      <c r="C14938" s="1" t="str">
        <f>"0690-NEGRO"</f>
        <v>0690-NEGRO</v>
      </c>
      <c r="D14938" s="1" t="str">
        <f>"0690-NEGRO"</f>
        <v>0690-NEGRO</v>
      </c>
      <c r="E14938" s="1" t="s">
        <v>4579</v>
      </c>
      <c r="F14938" s="1">
        <v>1</v>
      </c>
      <c r="G14938" s="1">
        <v>1840.26</v>
      </c>
      <c r="H14938" s="1">
        <v>1840</v>
      </c>
      <c r="I14938" s="1">
        <v>0</v>
      </c>
      <c r="J14938" s="1">
        <v>1</v>
      </c>
      <c r="K14938" s="1">
        <v>0</v>
      </c>
    </row>
    <row r="14939" spans="1:11" ht="30" x14ac:dyDescent="0.2">
      <c r="A14939" s="1" t="s">
        <v>18</v>
      </c>
      <c r="B14939" s="1" t="s">
        <v>4416</v>
      </c>
      <c r="C14939" s="1" t="str">
        <f>"126268-NEGRO"</f>
        <v>126268-NEGRO</v>
      </c>
      <c r="D14939" s="1" t="str">
        <f>"126268-NEGRO"</f>
        <v>126268-NEGRO</v>
      </c>
      <c r="E14939" s="1" t="s">
        <v>4579</v>
      </c>
      <c r="F14939" s="1">
        <v>2</v>
      </c>
      <c r="G14939" s="1">
        <v>2311</v>
      </c>
      <c r="H14939" s="1">
        <v>4622</v>
      </c>
      <c r="I14939" s="1">
        <v>0</v>
      </c>
      <c r="J14939" s="1">
        <v>2</v>
      </c>
      <c r="K14939" s="1">
        <v>0</v>
      </c>
    </row>
    <row r="14940" spans="1:11" ht="30" x14ac:dyDescent="0.2">
      <c r="A14940" s="1" t="s">
        <v>18</v>
      </c>
      <c r="B14940" s="1" t="s">
        <v>4417</v>
      </c>
      <c r="C14940" s="1" t="str">
        <f>"0690-PLATEADO"</f>
        <v>0690-PLATEADO</v>
      </c>
      <c r="D14940" s="1" t="str">
        <f>"0690-PLATEADO"</f>
        <v>0690-PLATEADO</v>
      </c>
      <c r="E14940" s="1" t="s">
        <v>4579</v>
      </c>
      <c r="F14940" s="1">
        <v>1</v>
      </c>
      <c r="G14940" s="1">
        <v>1840.26</v>
      </c>
      <c r="H14940" s="1">
        <v>1840</v>
      </c>
      <c r="I14940" s="1">
        <v>0</v>
      </c>
      <c r="J14940" s="1">
        <v>1</v>
      </c>
      <c r="K14940" s="1">
        <v>0</v>
      </c>
    </row>
    <row r="14941" spans="1:11" ht="30" x14ac:dyDescent="0.2">
      <c r="A14941" s="1" t="s">
        <v>18</v>
      </c>
      <c r="B14941" s="1" t="s">
        <v>4418</v>
      </c>
      <c r="C14941" s="1" t="str">
        <f>"0690-ROJO"</f>
        <v>0690-ROJO</v>
      </c>
      <c r="D14941" s="1" t="str">
        <f>"0690-ROJO"</f>
        <v>0690-ROJO</v>
      </c>
      <c r="E14941" s="1" t="s">
        <v>4579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</row>
    <row r="14942" spans="1:11" x14ac:dyDescent="0.2">
      <c r="A14942" s="1" t="s">
        <v>18</v>
      </c>
      <c r="B14942" s="1" t="s">
        <v>4419</v>
      </c>
      <c r="C14942" s="1" t="str">
        <f>"126246-NEGRO"</f>
        <v>126246-NEGRO</v>
      </c>
      <c r="D14942" s="1" t="str">
        <f>"126246-NEGRO"</f>
        <v>126246-NEGRO</v>
      </c>
      <c r="E14942" s="1" t="s">
        <v>4579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</row>
    <row r="14943" spans="1:11" x14ac:dyDescent="0.2">
      <c r="A14943" s="1" t="s">
        <v>3466</v>
      </c>
      <c r="B14943" s="1" t="s">
        <v>4420</v>
      </c>
      <c r="C14943" s="1" t="str">
        <f>"H-2228"</f>
        <v>H-2228</v>
      </c>
      <c r="D14943" s="1" t="str">
        <f>"H-2228"</f>
        <v>H-2228</v>
      </c>
      <c r="E14943" s="1" t="s">
        <v>4579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</row>
    <row r="14944" spans="1:11" x14ac:dyDescent="0.2">
      <c r="A14944" s="1" t="s">
        <v>3466</v>
      </c>
      <c r="B14944" s="1" t="s">
        <v>4421</v>
      </c>
      <c r="C14944" s="1" t="str">
        <f>"66298950868368"</f>
        <v>66298950868368</v>
      </c>
      <c r="D14944" s="1" t="str">
        <f>"H148"</f>
        <v>H148</v>
      </c>
      <c r="E14944" s="1" t="s">
        <v>4579</v>
      </c>
      <c r="F14944" s="1">
        <v>2</v>
      </c>
      <c r="G14944" s="1">
        <v>114</v>
      </c>
      <c r="H14944" s="1">
        <v>228</v>
      </c>
      <c r="I14944" s="1">
        <v>0</v>
      </c>
      <c r="J14944" s="1">
        <v>2</v>
      </c>
      <c r="K14944" s="1">
        <v>0</v>
      </c>
    </row>
    <row r="14945" spans="1:11" x14ac:dyDescent="0.2">
      <c r="A14945" s="1" t="s">
        <v>98</v>
      </c>
      <c r="B14945" s="1" t="s">
        <v>4422</v>
      </c>
      <c r="C14945" s="1" t="str">
        <f>"7781"</f>
        <v>7781</v>
      </c>
      <c r="D14945" s="1" t="str">
        <f>"7781"</f>
        <v>7781</v>
      </c>
      <c r="E14945" s="1" t="s">
        <v>4579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</row>
    <row r="14946" spans="1:11" x14ac:dyDescent="0.2">
      <c r="A14946" s="1" t="s">
        <v>98</v>
      </c>
      <c r="B14946" s="1" t="s">
        <v>4423</v>
      </c>
      <c r="C14946" s="1" t="str">
        <f>"66298950907208"</f>
        <v>66298950907208</v>
      </c>
      <c r="D14946" s="1" t="str">
        <f>"WYT40-F3-9"</f>
        <v>WYT40-F3-9</v>
      </c>
      <c r="E14946" s="1" t="s">
        <v>4579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</row>
    <row r="14947" spans="1:11" x14ac:dyDescent="0.2">
      <c r="A14947" s="1" t="s">
        <v>98</v>
      </c>
      <c r="B14947" s="1" t="s">
        <v>4424</v>
      </c>
      <c r="C14947" s="1" t="str">
        <f>"66298950951050"</f>
        <v>66298950951050</v>
      </c>
      <c r="D14947" s="1" t="str">
        <f>"84886"</f>
        <v>84886</v>
      </c>
      <c r="E14947" s="1" t="s">
        <v>4579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</row>
    <row r="14948" spans="1:11" x14ac:dyDescent="0.2">
      <c r="A14948" s="1" t="s">
        <v>1567</v>
      </c>
      <c r="B14948" s="1" t="s">
        <v>4425</v>
      </c>
      <c r="C14948" s="1" t="str">
        <f>"RO-3178"</f>
        <v>RO-3178</v>
      </c>
      <c r="D14948" s="1" t="str">
        <f>"RO-3178"</f>
        <v>RO-3178</v>
      </c>
      <c r="E14948" s="1" t="s">
        <v>4579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</row>
    <row r="14949" spans="1:11" x14ac:dyDescent="0.2">
      <c r="B14949" s="1" t="s">
        <v>1569</v>
      </c>
    </row>
    <row r="14950" spans="1:11" x14ac:dyDescent="0.2">
      <c r="B14950" s="1" t="s">
        <v>4426</v>
      </c>
    </row>
    <row r="14951" spans="1:11" x14ac:dyDescent="0.2">
      <c r="B14951" s="1" t="s">
        <v>1571</v>
      </c>
    </row>
    <row r="14952" spans="1:11" x14ac:dyDescent="0.2">
      <c r="B14952" s="1" t="s">
        <v>2545</v>
      </c>
    </row>
    <row r="14953" spans="1:11" x14ac:dyDescent="0.2">
      <c r="B14953" s="1" t="s">
        <v>1573</v>
      </c>
    </row>
    <row r="14954" spans="1:11" x14ac:dyDescent="0.2">
      <c r="B14954" s="1" t="s">
        <v>1574</v>
      </c>
    </row>
    <row r="14955" spans="1:11" x14ac:dyDescent="0.2">
      <c r="B14955" s="1" t="s">
        <v>1575</v>
      </c>
    </row>
    <row r="14956" spans="1:11" x14ac:dyDescent="0.2">
      <c r="B14956" s="1" t="s">
        <v>4427</v>
      </c>
    </row>
    <row r="14957" spans="1:11" x14ac:dyDescent="0.2">
      <c r="B14957" s="1" t="s">
        <v>4428</v>
      </c>
    </row>
    <row r="14958" spans="1:11" x14ac:dyDescent="0.2">
      <c r="A14958" s="1" t="s">
        <v>18</v>
      </c>
      <c r="B14958" s="1" t="s">
        <v>4429</v>
      </c>
      <c r="C14958" s="1" t="str">
        <f>"TRAJE-L"</f>
        <v>TRAJE-L</v>
      </c>
      <c r="D14958" s="1" t="str">
        <f>"TRAJE-L"</f>
        <v>TRAJE-L</v>
      </c>
      <c r="E14958" s="1" t="s">
        <v>4579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</row>
    <row r="14959" spans="1:11" x14ac:dyDescent="0.2">
      <c r="A14959" s="1" t="s">
        <v>18</v>
      </c>
      <c r="B14959" s="1" t="s">
        <v>4430</v>
      </c>
      <c r="C14959" s="1" t="str">
        <f>"66298950993140"</f>
        <v>66298950993140</v>
      </c>
      <c r="D14959" s="1" t="str">
        <f>"TRAJE-XL"</f>
        <v>TRAJE-XL</v>
      </c>
      <c r="E14959" s="1" t="s">
        <v>4579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</row>
    <row r="14960" spans="1:11" x14ac:dyDescent="0.2">
      <c r="A14960" s="1" t="s">
        <v>18</v>
      </c>
      <c r="B14960" s="1" t="s">
        <v>4431</v>
      </c>
      <c r="C14960" s="1" t="str">
        <f>"9950036"</f>
        <v>9950036</v>
      </c>
      <c r="D14960" s="1" t="str">
        <f>"9950036"</f>
        <v>9950036</v>
      </c>
      <c r="E14960" s="1" t="s">
        <v>4579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</row>
    <row r="14961" spans="1:11" x14ac:dyDescent="0.2">
      <c r="A14961" s="1" t="s">
        <v>18</v>
      </c>
      <c r="B14961" s="1" t="s">
        <v>4432</v>
      </c>
      <c r="C14961" s="1" t="str">
        <f>"9950037"</f>
        <v>9950037</v>
      </c>
      <c r="D14961" s="1" t="str">
        <f>"9950037"</f>
        <v>9950037</v>
      </c>
      <c r="E14961" s="1" t="s">
        <v>4579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</row>
    <row r="14962" spans="1:11" x14ac:dyDescent="0.2">
      <c r="A14962" s="1" t="s">
        <v>98</v>
      </c>
      <c r="B14962" s="1" t="s">
        <v>4433</v>
      </c>
      <c r="C14962" s="1" t="str">
        <f>"66298951038093"</f>
        <v>66298951038093</v>
      </c>
      <c r="D14962" s="1" t="str">
        <f>"JC012"</f>
        <v>JC012</v>
      </c>
      <c r="E14962" s="1" t="s">
        <v>4579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</row>
    <row r="14963" spans="1:11" x14ac:dyDescent="0.2">
      <c r="A14963" s="1" t="s">
        <v>98</v>
      </c>
      <c r="B14963" s="1" t="s">
        <v>4434</v>
      </c>
      <c r="C14963" s="1" t="str">
        <f>"66298951174574"</f>
        <v>66298951174574</v>
      </c>
      <c r="D14963" s="1" t="str">
        <f>"400446"</f>
        <v>400446</v>
      </c>
      <c r="E14963" s="1" t="s">
        <v>4579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</row>
    <row r="14964" spans="1:11" x14ac:dyDescent="0.2">
      <c r="A14964" s="1" t="s">
        <v>98</v>
      </c>
      <c r="B14964" s="1" t="s">
        <v>4435</v>
      </c>
      <c r="C14964" s="1" t="str">
        <f>"66298951127641"</f>
        <v>66298951127641</v>
      </c>
      <c r="D14964" s="1" t="str">
        <f>"JC030-AZUL"</f>
        <v>JC030-AZUL</v>
      </c>
      <c r="E14964" s="1" t="s">
        <v>4579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</row>
    <row r="14965" spans="1:11" x14ac:dyDescent="0.2">
      <c r="A14965" s="1" t="s">
        <v>98</v>
      </c>
      <c r="B14965" s="1" t="s">
        <v>4436</v>
      </c>
      <c r="C14965" s="1" t="str">
        <f>"66298951213346"</f>
        <v>66298951213346</v>
      </c>
      <c r="D14965" s="1" t="str">
        <f>"JC030-DORADO"</f>
        <v>JC030-DORADO</v>
      </c>
      <c r="E14965" s="1" t="s">
        <v>4579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</row>
    <row r="14966" spans="1:11" x14ac:dyDescent="0.2">
      <c r="A14966" s="1" t="s">
        <v>98</v>
      </c>
      <c r="B14966" s="1" t="s">
        <v>4437</v>
      </c>
      <c r="C14966" s="1" t="str">
        <f>"66298951255045"</f>
        <v>66298951255045</v>
      </c>
      <c r="D14966" s="1" t="str">
        <f>"400449"</f>
        <v>400449</v>
      </c>
      <c r="E14966" s="1" t="s">
        <v>4579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</row>
    <row r="14967" spans="1:11" x14ac:dyDescent="0.2">
      <c r="A14967" s="1" t="s">
        <v>98</v>
      </c>
      <c r="B14967" s="1" t="s">
        <v>4438</v>
      </c>
      <c r="C14967" s="1" t="str">
        <f>"66298951297211"</f>
        <v>66298951297211</v>
      </c>
      <c r="D14967" s="1" t="str">
        <f>"JC030-NARANJO"</f>
        <v>JC030-NARANJO</v>
      </c>
      <c r="E14967" s="1" t="s">
        <v>4579</v>
      </c>
      <c r="F14967" s="1">
        <v>1</v>
      </c>
      <c r="G14967" s="1">
        <v>3934</v>
      </c>
      <c r="H14967" s="1">
        <v>3934</v>
      </c>
      <c r="I14967" s="1">
        <v>0</v>
      </c>
      <c r="J14967" s="1">
        <v>1</v>
      </c>
      <c r="K14967" s="1">
        <v>0</v>
      </c>
    </row>
    <row r="14968" spans="1:11" x14ac:dyDescent="0.2">
      <c r="A14968" s="1" t="s">
        <v>98</v>
      </c>
      <c r="B14968" s="1" t="s">
        <v>4439</v>
      </c>
      <c r="C14968" s="1" t="str">
        <f>"66298951339558"</f>
        <v>66298951339558</v>
      </c>
      <c r="D14968" s="1" t="str">
        <f>"400447"</f>
        <v>400447</v>
      </c>
      <c r="E14968" s="1" t="s">
        <v>4579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</row>
    <row r="14969" spans="1:11" x14ac:dyDescent="0.2">
      <c r="A14969" s="1" t="s">
        <v>98</v>
      </c>
      <c r="B14969" s="1" t="s">
        <v>4440</v>
      </c>
      <c r="C14969" s="1" t="str">
        <f>"66298951426588"</f>
        <v>66298951426588</v>
      </c>
      <c r="D14969" s="1" t="str">
        <f>"400448"</f>
        <v>400448</v>
      </c>
      <c r="E14969" s="1" t="s">
        <v>4579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</row>
    <row r="14970" spans="1:11" x14ac:dyDescent="0.2">
      <c r="A14970" s="1" t="s">
        <v>98</v>
      </c>
      <c r="B14970" s="1" t="s">
        <v>4441</v>
      </c>
      <c r="C14970" s="1" t="str">
        <f>"66298951384337"</f>
        <v>66298951384337</v>
      </c>
      <c r="D14970" s="1" t="str">
        <f>"JC030-ROJO"</f>
        <v>JC030-ROJO</v>
      </c>
      <c r="E14970" s="1" t="s">
        <v>4579</v>
      </c>
      <c r="F14970" s="1">
        <v>1</v>
      </c>
      <c r="G14970" s="1">
        <v>3934</v>
      </c>
      <c r="H14970" s="1">
        <v>3934</v>
      </c>
      <c r="I14970" s="1">
        <v>0</v>
      </c>
      <c r="J14970" s="1">
        <v>1</v>
      </c>
      <c r="K14970" s="1">
        <v>0</v>
      </c>
    </row>
    <row r="14971" spans="1:11" x14ac:dyDescent="0.2">
      <c r="A14971" s="1" t="s">
        <v>98</v>
      </c>
      <c r="B14971" s="1" t="s">
        <v>4442</v>
      </c>
      <c r="C14971" s="1" t="str">
        <f>"66298951080185"</f>
        <v>66298951080185</v>
      </c>
      <c r="D14971" s="1" t="str">
        <f>"JC107"</f>
        <v>JC107</v>
      </c>
      <c r="E14971" s="1" t="s">
        <v>4579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</row>
    <row r="14972" spans="1:11" x14ac:dyDescent="0.2">
      <c r="A14972" s="1" t="s">
        <v>98</v>
      </c>
      <c r="B14972" s="1" t="s">
        <v>4443</v>
      </c>
      <c r="C14972" s="1" t="str">
        <f>"66298951468118"</f>
        <v>66298951468118</v>
      </c>
      <c r="D14972" s="1" t="str">
        <f>"4722"</f>
        <v>4722</v>
      </c>
      <c r="E14972" s="1" t="s">
        <v>4579</v>
      </c>
      <c r="F14972" s="1">
        <v>2</v>
      </c>
      <c r="G14972" s="1">
        <v>252.09</v>
      </c>
      <c r="H14972" s="1">
        <v>504</v>
      </c>
      <c r="I14972" s="1">
        <v>0</v>
      </c>
      <c r="J14972" s="1">
        <v>2</v>
      </c>
      <c r="K14972" s="1">
        <v>0</v>
      </c>
    </row>
    <row r="14973" spans="1:11" x14ac:dyDescent="0.2">
      <c r="A14973" s="1" t="s">
        <v>98</v>
      </c>
      <c r="B14973" s="1" t="s">
        <v>4444</v>
      </c>
      <c r="C14973" s="1" t="str">
        <f>"66298951513566"</f>
        <v>66298951513566</v>
      </c>
      <c r="D14973" s="1" t="str">
        <f>"H1113"</f>
        <v>H1113</v>
      </c>
      <c r="E14973" s="1" t="s">
        <v>4579</v>
      </c>
      <c r="F14973" s="1">
        <v>2</v>
      </c>
      <c r="G14973" s="1">
        <v>385</v>
      </c>
      <c r="H14973" s="1">
        <v>770</v>
      </c>
      <c r="I14973" s="1">
        <v>0</v>
      </c>
      <c r="J14973" s="1">
        <v>2</v>
      </c>
      <c r="K14973" s="1">
        <v>0</v>
      </c>
    </row>
    <row r="14974" spans="1:11" x14ac:dyDescent="0.2">
      <c r="A14974" s="1" t="s">
        <v>98</v>
      </c>
      <c r="B14974" s="1" t="s">
        <v>4445</v>
      </c>
      <c r="C14974" s="1" t="str">
        <f>"66298951554606"</f>
        <v>66298951554606</v>
      </c>
      <c r="D14974" s="1" t="str">
        <f>"25031BR"</f>
        <v>25031BR</v>
      </c>
      <c r="E14974" s="1" t="s">
        <v>4579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</row>
    <row r="14975" spans="1:11" x14ac:dyDescent="0.2">
      <c r="A14975" s="1" t="s">
        <v>4446</v>
      </c>
      <c r="B14975" s="1" t="s">
        <v>4447</v>
      </c>
      <c r="C14975" s="1" t="str">
        <f>"66298951594116"</f>
        <v>66298951594116</v>
      </c>
      <c r="D14975" s="1" t="str">
        <f>"11556"</f>
        <v>11556</v>
      </c>
      <c r="E14975" s="1" t="s">
        <v>4579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</row>
    <row r="14976" spans="1:11" x14ac:dyDescent="0.2">
      <c r="A14976" s="1" t="s">
        <v>4446</v>
      </c>
      <c r="B14976" s="1" t="s">
        <v>4448</v>
      </c>
      <c r="C14976" s="1" t="str">
        <f>"66298951634810"</f>
        <v>66298951634810</v>
      </c>
      <c r="D14976" s="1" t="str">
        <f>"4C6-E2111-00"</f>
        <v>4C6-E2111-00</v>
      </c>
      <c r="E14976" s="1" t="s">
        <v>4579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</row>
    <row r="14977" spans="1:11" x14ac:dyDescent="0.2">
      <c r="A14977" s="1" t="s">
        <v>4449</v>
      </c>
      <c r="B14977" s="1" t="s">
        <v>4450</v>
      </c>
      <c r="C14977" s="1" t="str">
        <f>"YH0430A"</f>
        <v>YH0430A</v>
      </c>
      <c r="D14977" s="1" t="str">
        <f>"YH0430A"</f>
        <v>YH0430A</v>
      </c>
      <c r="E14977" s="1" t="s">
        <v>4579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</row>
    <row r="14978" spans="1:11" x14ac:dyDescent="0.2">
      <c r="A14978" s="1" t="s">
        <v>4446</v>
      </c>
      <c r="B14978" s="1" t="s">
        <v>4451</v>
      </c>
      <c r="C14978" s="1" t="str">
        <f>"66298951678416"</f>
        <v>66298951678416</v>
      </c>
      <c r="D14978" s="1" t="str">
        <f>"14711-KTE-910"</f>
        <v>14711-KTE-910</v>
      </c>
      <c r="E14978" s="1" t="s">
        <v>4579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</row>
    <row r="14979" spans="1:11" x14ac:dyDescent="0.2">
      <c r="A14979" s="1" t="s">
        <v>4446</v>
      </c>
      <c r="B14979" s="1" t="s">
        <v>4452</v>
      </c>
      <c r="C14979" s="1" t="str">
        <f>"66298951724883"</f>
        <v>66298951724883</v>
      </c>
      <c r="D14979" s="1" t="str">
        <f>"PP-30107-000"</f>
        <v>PP-30107-000</v>
      </c>
      <c r="E14979" s="1" t="s">
        <v>4579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</row>
    <row r="14980" spans="1:11" x14ac:dyDescent="0.2">
      <c r="A14980" s="1" t="s">
        <v>4446</v>
      </c>
      <c r="B14980" s="1" t="s">
        <v>4453</v>
      </c>
      <c r="C14980" s="1" t="str">
        <f>"66298951766899"</f>
        <v>66298951766899</v>
      </c>
      <c r="D14980" s="1" t="str">
        <f>"4ST-E2111-00"</f>
        <v>4ST-E2111-00</v>
      </c>
      <c r="E14980" s="1" t="s">
        <v>4579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</row>
    <row r="14981" spans="1:11" x14ac:dyDescent="0.2">
      <c r="A14981" s="1" t="s">
        <v>4446</v>
      </c>
      <c r="B14981" s="1" t="s">
        <v>4454</v>
      </c>
      <c r="C14981" s="1" t="str">
        <f>"66298951807794"</f>
        <v>66298951807794</v>
      </c>
      <c r="D14981" s="1" t="str">
        <f>"21C-E2111-01JP"</f>
        <v>21C-E2111-01JP</v>
      </c>
      <c r="E14981" s="1" t="s">
        <v>4579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</row>
    <row r="14982" spans="1:11" x14ac:dyDescent="0.2">
      <c r="A14982" s="1" t="s">
        <v>4446</v>
      </c>
      <c r="B14982" s="1" t="s">
        <v>4455</v>
      </c>
      <c r="C14982" s="1" t="str">
        <f>"66298951848180"</f>
        <v>66298951848180</v>
      </c>
      <c r="D14982" s="1" t="str">
        <f>"12911-09G00-000"</f>
        <v>12911-09G00-000</v>
      </c>
      <c r="E14982" s="1" t="s">
        <v>4579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</row>
    <row r="14983" spans="1:11" x14ac:dyDescent="0.2">
      <c r="A14983" s="1" t="s">
        <v>4446</v>
      </c>
      <c r="B14983" s="1" t="s">
        <v>4456</v>
      </c>
      <c r="C14983" s="1" t="str">
        <f>"66298951894959"</f>
        <v>66298951894959</v>
      </c>
      <c r="D14983" s="1" t="str">
        <f>"12911-12F50"</f>
        <v>12911-12F50</v>
      </c>
      <c r="E14983" s="1" t="s">
        <v>4579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</row>
    <row r="14984" spans="1:11" x14ac:dyDescent="0.2">
      <c r="A14984" s="1" t="s">
        <v>4446</v>
      </c>
      <c r="B14984" s="1" t="s">
        <v>4457</v>
      </c>
      <c r="C14984" s="1" t="str">
        <f>"66298951936133"</f>
        <v>66298951936133</v>
      </c>
      <c r="D14984" s="1" t="str">
        <f>"12911-25H01-00GS"</f>
        <v>12911-25H01-00GS</v>
      </c>
      <c r="E14984" s="1" t="s">
        <v>4579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</row>
    <row r="14985" spans="1:11" x14ac:dyDescent="0.2">
      <c r="A14985" s="1" t="s">
        <v>4446</v>
      </c>
      <c r="B14985" s="1" t="s">
        <v>4458</v>
      </c>
      <c r="C14985" s="1" t="str">
        <f>"66298952029109"</f>
        <v>66298952029109</v>
      </c>
      <c r="D14985" s="1" t="str">
        <f>"XN-30107-000"</f>
        <v>XN-30107-000</v>
      </c>
      <c r="E14985" s="1" t="s">
        <v>4579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</row>
    <row r="14986" spans="1:11" x14ac:dyDescent="0.2">
      <c r="A14986" s="1" t="s">
        <v>4446</v>
      </c>
      <c r="B14986" s="1" t="s">
        <v>4459</v>
      </c>
      <c r="C14986" s="1" t="str">
        <f>"66298951980518"</f>
        <v>66298951980518</v>
      </c>
      <c r="D14986" s="1" t="str">
        <f>"14711-LBA8-C00"</f>
        <v>14711-LBA8-C00</v>
      </c>
      <c r="E14986" s="1" t="s">
        <v>4579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</row>
    <row r="14987" spans="1:11" x14ac:dyDescent="0.2">
      <c r="A14987" s="1" t="s">
        <v>4446</v>
      </c>
      <c r="B14987" s="1" t="s">
        <v>4460</v>
      </c>
      <c r="C14987" s="1" t="str">
        <f>"66298952068109"</f>
        <v>66298952068109</v>
      </c>
      <c r="D14987" s="1" t="str">
        <f>"FL-30107-000"</f>
        <v>FL-30107-000</v>
      </c>
      <c r="E14987" s="1" t="s">
        <v>4579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</row>
    <row r="14988" spans="1:11" x14ac:dyDescent="0.2">
      <c r="A14988" s="1" t="s">
        <v>4446</v>
      </c>
      <c r="B14988" s="1" t="s">
        <v>4461</v>
      </c>
      <c r="C14988" s="1" t="str">
        <f>"66298952105157"</f>
        <v>66298952105157</v>
      </c>
      <c r="D14988" s="1" t="str">
        <f>"12911H3J010H000"</f>
        <v>12911H3J010H000</v>
      </c>
      <c r="E14988" s="1" t="s">
        <v>4579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</row>
    <row r="14989" spans="1:11" x14ac:dyDescent="0.2">
      <c r="A14989" s="1" t="s">
        <v>4446</v>
      </c>
      <c r="B14989" s="1" t="s">
        <v>4462</v>
      </c>
      <c r="C14989" s="1" t="str">
        <f>"66298952149614"</f>
        <v>66298952149614</v>
      </c>
      <c r="D14989" s="1" t="str">
        <f>"JD-5112-01"</f>
        <v>JD-5112-01</v>
      </c>
      <c r="E14989" s="1" t="s">
        <v>4579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</row>
    <row r="14990" spans="1:11" x14ac:dyDescent="0.2">
      <c r="A14990" s="1" t="s">
        <v>4446</v>
      </c>
      <c r="B14990" s="1" t="s">
        <v>4463</v>
      </c>
      <c r="C14990" s="1" t="str">
        <f>"66298952194095"</f>
        <v>66298952194095</v>
      </c>
      <c r="D14990" s="1" t="str">
        <f>"DJ-1011-24"</f>
        <v>DJ-1011-24</v>
      </c>
      <c r="E14990" s="1" t="s">
        <v>4579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</row>
    <row r="14991" spans="1:11" x14ac:dyDescent="0.2">
      <c r="A14991" s="1" t="s">
        <v>4446</v>
      </c>
      <c r="B14991" s="1" t="s">
        <v>4464</v>
      </c>
      <c r="C14991" s="1" t="str">
        <f>"66298952242761"</f>
        <v>66298952242761</v>
      </c>
      <c r="D14991" s="1" t="str">
        <f>"DK-1010-52"</f>
        <v>DK-1010-52</v>
      </c>
      <c r="E14991" s="1" t="s">
        <v>4579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</row>
    <row r="14992" spans="1:11" x14ac:dyDescent="0.2">
      <c r="A14992" s="1" t="s">
        <v>4446</v>
      </c>
      <c r="B14992" s="1" t="s">
        <v>4464</v>
      </c>
      <c r="C14992" s="1" t="str">
        <f>"66298952248540"</f>
        <v>66298952248540</v>
      </c>
      <c r="D14992" s="1" t="str">
        <f>"JL-5110-10"</f>
        <v>JL-5110-10</v>
      </c>
      <c r="E14992" s="1" t="s">
        <v>4579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</row>
    <row r="14993" spans="1:11" x14ac:dyDescent="0.2">
      <c r="A14993" s="1" t="s">
        <v>4446</v>
      </c>
      <c r="B14993" s="1" t="s">
        <v>4465</v>
      </c>
      <c r="C14993" s="1" t="str">
        <f>"66298952306462"</f>
        <v>66298952306462</v>
      </c>
      <c r="D14993" s="1" t="str">
        <f>"14711-437-000JP"</f>
        <v>14711-437-000JP</v>
      </c>
      <c r="E14993" s="1" t="s">
        <v>4579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</row>
    <row r="14994" spans="1:11" x14ac:dyDescent="0.2">
      <c r="A14994" s="1" t="s">
        <v>4446</v>
      </c>
      <c r="B14994" s="1" t="s">
        <v>4466</v>
      </c>
      <c r="C14994" s="1" t="str">
        <f>"66298952346644"</f>
        <v>66298952346644</v>
      </c>
      <c r="D14994" s="1" t="str">
        <f>"14711-KGA-B00JP"</f>
        <v>14711-KGA-B00JP</v>
      </c>
      <c r="E14994" s="1" t="s">
        <v>4579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</row>
    <row r="14995" spans="1:11" x14ac:dyDescent="0.2">
      <c r="A14995" s="1" t="s">
        <v>4446</v>
      </c>
      <c r="B14995" s="1" t="s">
        <v>4467</v>
      </c>
      <c r="C14995" s="1" t="str">
        <f>"66298952395840"</f>
        <v>66298952395840</v>
      </c>
      <c r="D14995" s="1" t="str">
        <f>"14711-KBB-900"</f>
        <v>14711-KBB-900</v>
      </c>
      <c r="E14995" s="1" t="s">
        <v>4579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</row>
    <row r="14996" spans="1:11" x14ac:dyDescent="0.2">
      <c r="A14996" s="1" t="s">
        <v>4446</v>
      </c>
      <c r="B14996" s="1" t="s">
        <v>4468</v>
      </c>
      <c r="C14996" s="1" t="str">
        <f>"66298952438830"</f>
        <v>66298952438830</v>
      </c>
      <c r="D14996" s="1" t="str">
        <f>"14711-KPF-900"</f>
        <v>14711-KPF-900</v>
      </c>
      <c r="E14996" s="1" t="s">
        <v>4579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</row>
    <row r="14997" spans="1:11" x14ac:dyDescent="0.2">
      <c r="A14997" s="1" t="s">
        <v>4446</v>
      </c>
      <c r="B14997" s="1" t="s">
        <v>4469</v>
      </c>
      <c r="C14997" s="1" t="str">
        <f>"66298952484474"</f>
        <v>66298952484474</v>
      </c>
      <c r="D14997" s="1" t="str">
        <f>"5YP-E2111-00"</f>
        <v>5YP-E2111-00</v>
      </c>
      <c r="E14997" s="1" t="s">
        <v>4579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</row>
    <row r="14998" spans="1:11" x14ac:dyDescent="0.2">
      <c r="A14998" s="1" t="s">
        <v>4446</v>
      </c>
      <c r="B14998" s="1" t="s">
        <v>4469</v>
      </c>
      <c r="C14998" s="1" t="str">
        <f>"5YP-E2111-00JP"</f>
        <v>5YP-E2111-00JP</v>
      </c>
      <c r="D14998" s="1" t="str">
        <f>"5YP-E2111-00JP"</f>
        <v>5YP-E2111-00JP</v>
      </c>
      <c r="E14998" s="1" t="s">
        <v>4579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</row>
    <row r="14999" spans="1:11" x14ac:dyDescent="0.2">
      <c r="A14999" s="1" t="s">
        <v>4446</v>
      </c>
      <c r="B14999" s="1" t="s">
        <v>4470</v>
      </c>
      <c r="C14999" s="1" t="str">
        <f>"66298952529900"</f>
        <v>66298952529900</v>
      </c>
      <c r="D14999" s="1" t="str">
        <f>"11557"</f>
        <v>11557</v>
      </c>
      <c r="E14999" s="1" t="s">
        <v>4579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</row>
    <row r="15000" spans="1:11" x14ac:dyDescent="0.2">
      <c r="A15000" s="1" t="s">
        <v>4446</v>
      </c>
      <c r="B15000" s="1" t="s">
        <v>4471</v>
      </c>
      <c r="C15000" s="1" t="str">
        <f>"66298952572453"</f>
        <v>66298952572453</v>
      </c>
      <c r="D15000" s="1" t="str">
        <f>"14721-GF6-010"</f>
        <v>14721-GF6-010</v>
      </c>
      <c r="E15000" s="1" t="s">
        <v>4579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</row>
    <row r="15001" spans="1:11" x14ac:dyDescent="0.2">
      <c r="A15001" s="1" t="s">
        <v>4449</v>
      </c>
      <c r="B15001" s="1" t="s">
        <v>4472</v>
      </c>
      <c r="C15001" s="1" t="str">
        <f>"YH1430A"</f>
        <v>YH1430A</v>
      </c>
      <c r="D15001" s="1" t="str">
        <f>"YH1430A"</f>
        <v>YH1430A</v>
      </c>
      <c r="E15001" s="1" t="s">
        <v>4579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</row>
    <row r="15002" spans="1:11" x14ac:dyDescent="0.2">
      <c r="A15002" s="1" t="s">
        <v>4446</v>
      </c>
      <c r="B15002" s="1" t="s">
        <v>4473</v>
      </c>
      <c r="C15002" s="1" t="str">
        <f>"66298952616461"</f>
        <v>66298952616461</v>
      </c>
      <c r="D15002" s="1" t="str">
        <f>"14721-KWF-900"</f>
        <v>14721-KWF-900</v>
      </c>
      <c r="E15002" s="1" t="s">
        <v>4579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</row>
    <row r="15003" spans="1:11" x14ac:dyDescent="0.2">
      <c r="A15003" s="1" t="s">
        <v>4446</v>
      </c>
      <c r="B15003" s="1" t="s">
        <v>4474</v>
      </c>
      <c r="C15003" s="1" t="str">
        <f>"66298952656025"</f>
        <v>66298952656025</v>
      </c>
      <c r="D15003" s="1" t="str">
        <f>"EV-30108-000"</f>
        <v>EV-30108-000</v>
      </c>
      <c r="E15003" s="1" t="s">
        <v>4579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</row>
    <row r="15004" spans="1:11" x14ac:dyDescent="0.2">
      <c r="A15004" s="1" t="s">
        <v>4446</v>
      </c>
      <c r="B15004" s="1" t="s">
        <v>4475</v>
      </c>
      <c r="C15004" s="1" t="str">
        <f>"66298952693855"</f>
        <v>66298952693855</v>
      </c>
      <c r="D15004" s="1" t="str">
        <f>"14721-KRM-840JP"</f>
        <v>14721-KRM-840JP</v>
      </c>
      <c r="E15004" s="1" t="s">
        <v>4579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</row>
    <row r="15005" spans="1:11" x14ac:dyDescent="0.2">
      <c r="A15005" s="1" t="s">
        <v>4446</v>
      </c>
      <c r="B15005" s="1" t="s">
        <v>4476</v>
      </c>
      <c r="C15005" s="1" t="str">
        <f>"66298952735541"</f>
        <v>66298952735541</v>
      </c>
      <c r="D15005" s="1" t="str">
        <f>"12912-12F50"</f>
        <v>12912-12F50</v>
      </c>
      <c r="E15005" s="1" t="s">
        <v>4579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</row>
    <row r="15006" spans="1:11" x14ac:dyDescent="0.2">
      <c r="A15006" s="1" t="s">
        <v>4446</v>
      </c>
      <c r="B15006" s="1" t="s">
        <v>4477</v>
      </c>
      <c r="C15006" s="1" t="str">
        <f>"66298952781342"</f>
        <v>66298952781342</v>
      </c>
      <c r="D15006" s="1" t="str">
        <f>"PP-30108-000"</f>
        <v>PP-30108-000</v>
      </c>
      <c r="E15006" s="1" t="s">
        <v>4579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</row>
    <row r="15007" spans="1:11" x14ac:dyDescent="0.2">
      <c r="A15007" s="1" t="s">
        <v>4446</v>
      </c>
      <c r="B15007" s="1" t="s">
        <v>4478</v>
      </c>
      <c r="C15007" s="1" t="str">
        <f>"66298952820261"</f>
        <v>66298952820261</v>
      </c>
      <c r="D15007" s="1" t="str">
        <f>"12912H3E002H000"</f>
        <v>12912H3E002H000</v>
      </c>
      <c r="E15007" s="1" t="s">
        <v>4579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</row>
    <row r="15008" spans="1:11" x14ac:dyDescent="0.2">
      <c r="A15008" s="1" t="s">
        <v>4446</v>
      </c>
      <c r="B15008" s="1" t="s">
        <v>4479</v>
      </c>
      <c r="C15008" s="1" t="str">
        <f>"66298952858085"</f>
        <v>66298952858085</v>
      </c>
      <c r="D15008" s="1" t="str">
        <f>"JD-5112-02"</f>
        <v>JD-5112-02</v>
      </c>
      <c r="E15008" s="1" t="s">
        <v>4579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</row>
    <row r="15009" spans="1:11" x14ac:dyDescent="0.2">
      <c r="A15009" s="1" t="s">
        <v>4446</v>
      </c>
      <c r="B15009" s="1" t="s">
        <v>4480</v>
      </c>
      <c r="C15009" s="1" t="str">
        <f>"66298952902191"</f>
        <v>66298952902191</v>
      </c>
      <c r="D15009" s="1" t="str">
        <f>"DJ-1011-25"</f>
        <v>DJ-1011-25</v>
      </c>
      <c r="E15009" s="1" t="s">
        <v>4579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</row>
    <row r="15010" spans="1:11" x14ac:dyDescent="0.2">
      <c r="A15010" s="1" t="s">
        <v>4446</v>
      </c>
      <c r="B15010" s="1" t="s">
        <v>4481</v>
      </c>
      <c r="C15010" s="1" t="str">
        <f>"66298952947260"</f>
        <v>66298952947260</v>
      </c>
      <c r="D15010" s="1" t="str">
        <f>"DK-1010-11"</f>
        <v>DK-1010-11</v>
      </c>
      <c r="E15010" s="1" t="s">
        <v>4579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</row>
    <row r="15011" spans="1:11" x14ac:dyDescent="0.2">
      <c r="A15011" s="1" t="s">
        <v>4446</v>
      </c>
      <c r="B15011" s="1" t="s">
        <v>4482</v>
      </c>
      <c r="C15011" s="1" t="str">
        <f>"66298952985602"</f>
        <v>66298952985602</v>
      </c>
      <c r="D15011" s="1" t="str">
        <f>"14721-KUDU-C00"</f>
        <v>14721-KUDU-C00</v>
      </c>
      <c r="E15011" s="1" t="s">
        <v>4579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</row>
    <row r="15012" spans="1:11" x14ac:dyDescent="0.2">
      <c r="A15012" s="1" t="s">
        <v>4446</v>
      </c>
      <c r="B15012" s="1" t="s">
        <v>4483</v>
      </c>
      <c r="C15012" s="1" t="str">
        <f>"66298953024882"</f>
        <v>66298953024882</v>
      </c>
      <c r="D15012" s="1" t="str">
        <f>"14721-KCC-950"</f>
        <v>14721-KCC-950</v>
      </c>
      <c r="E15012" s="1" t="s">
        <v>4579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</row>
    <row r="15013" spans="1:11" x14ac:dyDescent="0.2">
      <c r="A15013" s="1" t="s">
        <v>4446</v>
      </c>
      <c r="B15013" s="1" t="s">
        <v>4484</v>
      </c>
      <c r="C15013" s="1" t="str">
        <f>"66298953066393"</f>
        <v>66298953066393</v>
      </c>
      <c r="D15013" s="1" t="str">
        <f>"14721-437-000JP"</f>
        <v>14721-437-000JP</v>
      </c>
      <c r="E15013" s="1" t="s">
        <v>4579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</row>
    <row r="15014" spans="1:11" x14ac:dyDescent="0.2">
      <c r="A15014" s="1" t="s">
        <v>4446</v>
      </c>
      <c r="B15014" s="1" t="s">
        <v>4485</v>
      </c>
      <c r="C15014" s="1" t="str">
        <f>"66298953104787"</f>
        <v>66298953104787</v>
      </c>
      <c r="D15014" s="1" t="str">
        <f>"14721-KGA-B00"</f>
        <v>14721-KGA-B00</v>
      </c>
      <c r="E15014" s="1" t="s">
        <v>4579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</row>
    <row r="15015" spans="1:11" x14ac:dyDescent="0.2">
      <c r="A15015" s="1" t="s">
        <v>4446</v>
      </c>
      <c r="B15015" s="1" t="s">
        <v>4486</v>
      </c>
      <c r="C15015" s="1" t="str">
        <f>"66298953144526"</f>
        <v>66298953144526</v>
      </c>
      <c r="D15015" s="1" t="str">
        <f>"14721-KBB-900"</f>
        <v>14721-KBB-900</v>
      </c>
      <c r="E15015" s="1" t="s">
        <v>4579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</row>
    <row r="15016" spans="1:11" x14ac:dyDescent="0.2">
      <c r="A15016" s="1" t="s">
        <v>4446</v>
      </c>
      <c r="B15016" s="1" t="s">
        <v>4487</v>
      </c>
      <c r="C15016" s="1" t="str">
        <f>"66298953217621"</f>
        <v>66298953217621</v>
      </c>
      <c r="D15016" s="1" t="str">
        <f>"14721-KPF-900"</f>
        <v>14721-KPF-900</v>
      </c>
      <c r="E15016" s="1" t="s">
        <v>4579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</row>
    <row r="15017" spans="1:11" x14ac:dyDescent="0.2">
      <c r="A15017" s="1" t="s">
        <v>4446</v>
      </c>
      <c r="B15017" s="1" t="s">
        <v>4488</v>
      </c>
      <c r="C15017" s="1" t="str">
        <f>"66298953350867"</f>
        <v>66298953350867</v>
      </c>
      <c r="D15017" s="1" t="str">
        <f>"14721-KR6-000JPN"</f>
        <v>14721-KR6-000JPN</v>
      </c>
      <c r="E15017" s="1" t="s">
        <v>4579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</row>
    <row r="15018" spans="1:11" x14ac:dyDescent="0.2">
      <c r="A15018" s="1" t="s">
        <v>4446</v>
      </c>
      <c r="B15018" s="1" t="s">
        <v>4489</v>
      </c>
      <c r="C15018" s="1" t="str">
        <f>"66298953267545"</f>
        <v>66298953267545</v>
      </c>
      <c r="D15018" s="1" t="str">
        <f>"14721-KR6-000JP"</f>
        <v>14721-KR6-000JP</v>
      </c>
      <c r="E15018" s="1" t="s">
        <v>4579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</row>
    <row r="15019" spans="1:11" x14ac:dyDescent="0.2">
      <c r="A15019" s="1" t="s">
        <v>4446</v>
      </c>
      <c r="B15019" s="1" t="s">
        <v>4489</v>
      </c>
      <c r="C15019" s="1" t="str">
        <f>"66298953309404"</f>
        <v>66298953309404</v>
      </c>
      <c r="D15019" s="1" t="str">
        <f>"14721-KR6-000"</f>
        <v>14721-KR6-000</v>
      </c>
      <c r="E15019" s="1" t="s">
        <v>4579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</row>
    <row r="15020" spans="1:11" x14ac:dyDescent="0.2">
      <c r="A15020" s="1" t="s">
        <v>4446</v>
      </c>
      <c r="B15020" s="1" t="s">
        <v>4490</v>
      </c>
      <c r="C15020" s="1" t="str">
        <f>"66298953390137"</f>
        <v>66298953390137</v>
      </c>
      <c r="D15020" s="1" t="str">
        <f>"5HH-E2121-00"</f>
        <v>5HH-E2121-00</v>
      </c>
      <c r="E15020" s="1" t="s">
        <v>4579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</row>
    <row r="15021" spans="1:11" x14ac:dyDescent="0.2">
      <c r="A15021" s="1" t="s">
        <v>4446</v>
      </c>
      <c r="B15021" s="1" t="s">
        <v>4491</v>
      </c>
      <c r="C15021" s="1" t="str">
        <f>"66298953432973"</f>
        <v>66298953432973</v>
      </c>
      <c r="D15021" s="1" t="str">
        <f>"5KA-E2121-00"</f>
        <v>5KA-E2121-00</v>
      </c>
      <c r="E15021" s="1" t="s">
        <v>4579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</row>
    <row r="15022" spans="1:11" x14ac:dyDescent="0.2">
      <c r="A15022" s="1" t="s">
        <v>4446</v>
      </c>
      <c r="B15022" s="1" t="s">
        <v>4492</v>
      </c>
      <c r="C15022" s="1" t="str">
        <f>"66298953471454"</f>
        <v>66298953471454</v>
      </c>
      <c r="D15022" s="1" t="str">
        <f>"4C6-E2121-00"</f>
        <v>4C6-E2121-00</v>
      </c>
      <c r="E15022" s="1" t="s">
        <v>4579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</row>
    <row r="15023" spans="1:11" x14ac:dyDescent="0.2">
      <c r="A15023" s="1" t="s">
        <v>4446</v>
      </c>
      <c r="B15023" s="1" t="s">
        <v>4493</v>
      </c>
      <c r="C15023" s="1" t="str">
        <f>"66298953515180"</f>
        <v>66298953515180</v>
      </c>
      <c r="D15023" s="1" t="str">
        <f>"5YP-E2121-00"</f>
        <v>5YP-E2121-00</v>
      </c>
      <c r="E15023" s="1" t="s">
        <v>4579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</row>
    <row r="15024" spans="1:11" x14ac:dyDescent="0.2">
      <c r="A15024" s="1" t="s">
        <v>4446</v>
      </c>
      <c r="B15024" s="1" t="s">
        <v>4493</v>
      </c>
      <c r="C15024" s="1" t="str">
        <f>"5YP-E2121-00JP"</f>
        <v>5YP-E2121-00JP</v>
      </c>
      <c r="D15024" s="1" t="str">
        <f>"5YP-E2121-00JP"</f>
        <v>5YP-E2121-00JP</v>
      </c>
      <c r="E15024" s="1" t="s">
        <v>4579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</row>
    <row r="15025" spans="1:11" x14ac:dyDescent="0.2">
      <c r="A15025" s="1" t="s">
        <v>98</v>
      </c>
      <c r="B15025" s="1" t="s">
        <v>4494</v>
      </c>
      <c r="C15025" s="1" t="str">
        <f>"66298953560357"</f>
        <v>66298953560357</v>
      </c>
      <c r="D15025" s="1" t="str">
        <f>"H014"</f>
        <v>H014</v>
      </c>
      <c r="E15025" s="1" t="s">
        <v>4579</v>
      </c>
      <c r="F15025" s="1">
        <v>10</v>
      </c>
      <c r="G15025" s="1">
        <v>384</v>
      </c>
      <c r="H15025" s="1">
        <v>3840</v>
      </c>
      <c r="I15025" s="1">
        <v>0</v>
      </c>
      <c r="J15025" s="1">
        <v>10</v>
      </c>
      <c r="K15025" s="1">
        <v>0</v>
      </c>
    </row>
    <row r="15026" spans="1:11" x14ac:dyDescent="0.2">
      <c r="A15026" s="1" t="s">
        <v>4446</v>
      </c>
      <c r="B15026" s="1" t="s">
        <v>4494</v>
      </c>
      <c r="C15026" s="1" t="str">
        <f>"H013"</f>
        <v>H013</v>
      </c>
      <c r="D15026" s="1" t="str">
        <f>"H013"</f>
        <v>H013</v>
      </c>
      <c r="E15026" s="1" t="s">
        <v>4579</v>
      </c>
      <c r="F15026" s="1">
        <v>9</v>
      </c>
      <c r="G15026" s="1">
        <v>355</v>
      </c>
      <c r="H15026" s="1">
        <v>3195</v>
      </c>
      <c r="I15026" s="1">
        <v>0</v>
      </c>
      <c r="J15026" s="1">
        <v>9</v>
      </c>
      <c r="K15026" s="1">
        <v>0</v>
      </c>
    </row>
    <row r="15027" spans="1:11" x14ac:dyDescent="0.2">
      <c r="A15027" s="1" t="s">
        <v>3042</v>
      </c>
      <c r="B15027" s="1" t="s">
        <v>4495</v>
      </c>
      <c r="C15027" s="1" t="str">
        <f>"VALV-CURVA"</f>
        <v>VALV-CURVA</v>
      </c>
      <c r="D15027" s="1" t="str">
        <f>"VALV-CURVA"</f>
        <v>VALV-CURVA</v>
      </c>
      <c r="E15027" s="1" t="s">
        <v>4579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</row>
    <row r="15028" spans="1:11" x14ac:dyDescent="0.2">
      <c r="A15028" s="1" t="s">
        <v>3042</v>
      </c>
      <c r="B15028" s="1" t="s">
        <v>4496</v>
      </c>
      <c r="C15028" s="1" t="str">
        <f>"VALV-RECTA"</f>
        <v>VALV-RECTA</v>
      </c>
      <c r="D15028" s="1" t="str">
        <f>"VALV-RECTA"</f>
        <v>VALV-RECTA</v>
      </c>
      <c r="E15028" s="1" t="s">
        <v>4579</v>
      </c>
      <c r="F15028" s="1">
        <v>4</v>
      </c>
      <c r="G15028" s="1">
        <v>294.11</v>
      </c>
      <c r="H15028" s="1">
        <v>1176</v>
      </c>
      <c r="I15028" s="1">
        <v>0</v>
      </c>
      <c r="J15028" s="1">
        <v>4</v>
      </c>
      <c r="K15028" s="1">
        <v>0</v>
      </c>
    </row>
    <row r="15029" spans="1:11" x14ac:dyDescent="0.2">
      <c r="A15029" s="1" t="s">
        <v>98</v>
      </c>
      <c r="B15029" s="1" t="s">
        <v>4497</v>
      </c>
      <c r="C15029" s="1" t="str">
        <f>"66298953597421"</f>
        <v>66298953597421</v>
      </c>
      <c r="D15029" s="1" t="str">
        <f>"H015"</f>
        <v>H015</v>
      </c>
      <c r="E15029" s="1" t="s">
        <v>4579</v>
      </c>
      <c r="F15029" s="1">
        <v>8</v>
      </c>
      <c r="G15029" s="1">
        <v>360</v>
      </c>
      <c r="H15029" s="1">
        <v>2880</v>
      </c>
      <c r="I15029" s="1">
        <v>0</v>
      </c>
      <c r="J15029" s="1">
        <v>8</v>
      </c>
      <c r="K15029" s="1">
        <v>0</v>
      </c>
    </row>
    <row r="15030" spans="1:11" x14ac:dyDescent="0.2">
      <c r="A15030" s="1" t="s">
        <v>4446</v>
      </c>
      <c r="B15030" s="1" t="s">
        <v>4498</v>
      </c>
      <c r="C15030" s="1" t="str">
        <f>"66298953639367"</f>
        <v>66298953639367</v>
      </c>
      <c r="D15030" s="1" t="str">
        <f>"82006"</f>
        <v>82006</v>
      </c>
      <c r="E15030" s="1" t="s">
        <v>4579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</row>
    <row r="15031" spans="1:11" x14ac:dyDescent="0.2">
      <c r="A15031" s="1" t="s">
        <v>4446</v>
      </c>
      <c r="B15031" s="1" t="s">
        <v>4499</v>
      </c>
      <c r="C15031" s="1" t="str">
        <f>"11482"</f>
        <v>11482</v>
      </c>
      <c r="D15031" s="1" t="str">
        <f>"11482"</f>
        <v>11482</v>
      </c>
      <c r="E15031" s="1" t="s">
        <v>4579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</row>
    <row r="15032" spans="1:11" x14ac:dyDescent="0.2">
      <c r="A15032" s="1" t="s">
        <v>4446</v>
      </c>
      <c r="B15032" s="1" t="s">
        <v>4500</v>
      </c>
      <c r="C15032" s="1" t="str">
        <f>"66298953729049"</f>
        <v>66298953729049</v>
      </c>
      <c r="D15032" s="1" t="str">
        <f>"11477"</f>
        <v>11477</v>
      </c>
      <c r="E15032" s="1" t="s">
        <v>4579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</row>
    <row r="15033" spans="1:11" x14ac:dyDescent="0.2">
      <c r="A15033" s="1" t="s">
        <v>4446</v>
      </c>
      <c r="B15033" s="1" t="s">
        <v>4501</v>
      </c>
      <c r="C15033" s="1" t="str">
        <f>"66298953684217"</f>
        <v>66298953684217</v>
      </c>
      <c r="D15033" s="1" t="str">
        <f>"DC002"</f>
        <v>DC002</v>
      </c>
      <c r="E15033" s="1" t="s">
        <v>4579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</row>
    <row r="15034" spans="1:11" x14ac:dyDescent="0.2">
      <c r="A15034" s="1" t="s">
        <v>4446</v>
      </c>
      <c r="B15034" s="1" t="s">
        <v>4502</v>
      </c>
      <c r="C15034" s="1" t="str">
        <f>"7847"</f>
        <v>7847</v>
      </c>
      <c r="D15034" s="1" t="str">
        <f>"7847"</f>
        <v>7847</v>
      </c>
      <c r="E15034" s="1" t="s">
        <v>4579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</row>
    <row r="15035" spans="1:11" ht="30" x14ac:dyDescent="0.2">
      <c r="A15035" s="1" t="s">
        <v>4446</v>
      </c>
      <c r="B15035" s="1" t="s">
        <v>4503</v>
      </c>
      <c r="C15035" s="1" t="str">
        <f>"66298953780749"</f>
        <v>66298953780749</v>
      </c>
      <c r="D15035" s="1" t="str">
        <f>"400084"</f>
        <v>400084</v>
      </c>
      <c r="E15035" s="1" t="s">
        <v>4579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</row>
    <row r="15036" spans="1:11" x14ac:dyDescent="0.2">
      <c r="A15036" s="1" t="s">
        <v>4446</v>
      </c>
      <c r="B15036" s="1" t="s">
        <v>4504</v>
      </c>
      <c r="C15036" s="1" t="str">
        <f>"66298953824167"</f>
        <v>66298953824167</v>
      </c>
      <c r="D15036" s="1" t="str">
        <f>"400074"</f>
        <v>400074</v>
      </c>
      <c r="E15036" s="1" t="s">
        <v>4579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</row>
    <row r="15037" spans="1:11" x14ac:dyDescent="0.2">
      <c r="A15037" s="1" t="s">
        <v>4446</v>
      </c>
      <c r="B15037" s="1" t="s">
        <v>4505</v>
      </c>
      <c r="C15037" s="1" t="str">
        <f>"66298953970946"</f>
        <v>66298953970946</v>
      </c>
      <c r="D15037" s="1" t="str">
        <f>"400075"</f>
        <v>400075</v>
      </c>
      <c r="E15037" s="1" t="s">
        <v>4579</v>
      </c>
      <c r="F15037" s="1">
        <v>1</v>
      </c>
      <c r="G15037" s="1">
        <v>1816</v>
      </c>
      <c r="H15037" s="1">
        <v>1816</v>
      </c>
      <c r="I15037" s="1">
        <v>0</v>
      </c>
      <c r="J15037" s="1">
        <v>1</v>
      </c>
      <c r="K15037" s="1">
        <v>0</v>
      </c>
    </row>
    <row r="15038" spans="1:11" x14ac:dyDescent="0.2">
      <c r="A15038" s="1" t="s">
        <v>4446</v>
      </c>
      <c r="B15038" s="1" t="s">
        <v>4506</v>
      </c>
      <c r="C15038" s="1" t="str">
        <f>"66298953866752"</f>
        <v>66298953866752</v>
      </c>
      <c r="D15038" s="1" t="str">
        <f>"2695"</f>
        <v>2695</v>
      </c>
      <c r="E15038" s="1" t="s">
        <v>4579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</row>
    <row r="15039" spans="1:11" x14ac:dyDescent="0.2">
      <c r="A15039" s="1" t="s">
        <v>4446</v>
      </c>
      <c r="B15039" s="1" t="s">
        <v>4506</v>
      </c>
      <c r="C15039" s="1" t="str">
        <f>"66298953914263"</f>
        <v>66298953914263</v>
      </c>
      <c r="D15039" s="1" t="str">
        <f>"DM-V-00006"</f>
        <v>DM-V-00006</v>
      </c>
      <c r="E15039" s="1" t="s">
        <v>4579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</row>
    <row r="15040" spans="1:11" x14ac:dyDescent="0.2">
      <c r="A15040" s="1" t="s">
        <v>4446</v>
      </c>
      <c r="B15040" s="1" t="s">
        <v>4506</v>
      </c>
      <c r="C15040" s="1" t="str">
        <f>"66298953919693"</f>
        <v>66298953919693</v>
      </c>
      <c r="D15040" s="1" t="str">
        <f>"DC007"</f>
        <v>DC007</v>
      </c>
      <c r="E15040" s="1" t="s">
        <v>4579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</row>
    <row r="15041" spans="1:11" x14ac:dyDescent="0.2">
      <c r="A15041" s="1" t="s">
        <v>4446</v>
      </c>
      <c r="B15041" s="1" t="s">
        <v>4507</v>
      </c>
      <c r="C15041" s="1" t="str">
        <f>"66298954055132"</f>
        <v>66298954055132</v>
      </c>
      <c r="D15041" s="1" t="str">
        <f>"400076"</f>
        <v>400076</v>
      </c>
      <c r="E15041" s="1" t="s">
        <v>4579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</row>
    <row r="15042" spans="1:11" x14ac:dyDescent="0.2">
      <c r="A15042" s="1" t="s">
        <v>4446</v>
      </c>
      <c r="B15042" s="1" t="s">
        <v>4508</v>
      </c>
      <c r="C15042" s="1" t="str">
        <f>"66298954012747"</f>
        <v>66298954012747</v>
      </c>
      <c r="D15042" s="1" t="str">
        <f>"808"</f>
        <v>808</v>
      </c>
      <c r="E15042" s="1" t="s">
        <v>4579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</row>
    <row r="15043" spans="1:11" x14ac:dyDescent="0.2">
      <c r="A15043" s="1" t="s">
        <v>4446</v>
      </c>
      <c r="B15043" s="1" t="s">
        <v>4509</v>
      </c>
      <c r="C15043" s="1" t="str">
        <f>"66298954096629"</f>
        <v>66298954096629</v>
      </c>
      <c r="D15043" s="1" t="str">
        <f>"400077"</f>
        <v>400077</v>
      </c>
      <c r="E15043" s="1" t="s">
        <v>4579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</row>
    <row r="15044" spans="1:11" x14ac:dyDescent="0.2">
      <c r="A15044" s="1" t="s">
        <v>4446</v>
      </c>
      <c r="B15044" s="1" t="s">
        <v>4510</v>
      </c>
      <c r="C15044" s="1" t="str">
        <f>"66298954189161"</f>
        <v>66298954189161</v>
      </c>
      <c r="D15044" s="1" t="str">
        <f>"400078"</f>
        <v>400078</v>
      </c>
      <c r="E15044" s="1" t="s">
        <v>4579</v>
      </c>
      <c r="F15044" s="1">
        <v>1</v>
      </c>
      <c r="G15044" s="1">
        <v>3358</v>
      </c>
      <c r="H15044" s="1">
        <v>3358</v>
      </c>
      <c r="I15044" s="1">
        <v>0</v>
      </c>
      <c r="J15044" s="1">
        <v>1</v>
      </c>
      <c r="K15044" s="1">
        <v>0</v>
      </c>
    </row>
    <row r="15045" spans="1:11" x14ac:dyDescent="0.2">
      <c r="A15045" s="1" t="s">
        <v>4446</v>
      </c>
      <c r="B15045" s="1" t="s">
        <v>4511</v>
      </c>
      <c r="C15045" s="1" t="str">
        <f>"66298954143524"</f>
        <v>66298954143524</v>
      </c>
      <c r="D15045" s="1" t="str">
        <f>"11476"</f>
        <v>11476</v>
      </c>
      <c r="E15045" s="1" t="s">
        <v>4579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</row>
    <row r="15046" spans="1:11" x14ac:dyDescent="0.2">
      <c r="A15046" s="1" t="s">
        <v>4446</v>
      </c>
      <c r="B15046" s="1" t="s">
        <v>4512</v>
      </c>
      <c r="C15046" s="1" t="str">
        <f>"400079"</f>
        <v>400079</v>
      </c>
      <c r="D15046" s="1" t="str">
        <f>"400079"</f>
        <v>400079</v>
      </c>
      <c r="E15046" s="1" t="s">
        <v>4579</v>
      </c>
      <c r="F15046" s="1">
        <v>1</v>
      </c>
      <c r="G15046" s="1">
        <v>2034</v>
      </c>
      <c r="H15046" s="1">
        <v>2034</v>
      </c>
      <c r="I15046" s="1">
        <v>0</v>
      </c>
      <c r="J15046" s="1">
        <v>1</v>
      </c>
      <c r="K15046" s="1">
        <v>0</v>
      </c>
    </row>
    <row r="15047" spans="1:11" x14ac:dyDescent="0.2">
      <c r="A15047" s="1" t="s">
        <v>4446</v>
      </c>
      <c r="B15047" s="1" t="s">
        <v>4513</v>
      </c>
      <c r="C15047" s="1" t="str">
        <f>"KGY-FG-41"</f>
        <v>KGY-FG-41</v>
      </c>
      <c r="D15047" s="1" t="str">
        <f>"KGY-FG-41"</f>
        <v>KGY-FG-41</v>
      </c>
      <c r="E15047" s="1" t="s">
        <v>4579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</row>
    <row r="15048" spans="1:11" x14ac:dyDescent="0.2">
      <c r="A15048" s="1" t="s">
        <v>4446</v>
      </c>
      <c r="B15048" s="1" t="s">
        <v>4514</v>
      </c>
      <c r="C15048" s="1" t="str">
        <f>"2277"</f>
        <v>2277</v>
      </c>
      <c r="D15048" s="1" t="str">
        <f>"2277"</f>
        <v>2277</v>
      </c>
      <c r="E15048" s="1" t="s">
        <v>4579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</row>
    <row r="15049" spans="1:11" ht="30" x14ac:dyDescent="0.2">
      <c r="A15049" s="1" t="s">
        <v>4446</v>
      </c>
      <c r="B15049" s="1" t="s">
        <v>4515</v>
      </c>
      <c r="C15049" s="1" t="str">
        <f>"11707"</f>
        <v>11707</v>
      </c>
      <c r="D15049" s="1" t="str">
        <f>"11707"</f>
        <v>11707</v>
      </c>
      <c r="E15049" s="1" t="s">
        <v>4579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</row>
    <row r="15050" spans="1:11" x14ac:dyDescent="0.2">
      <c r="A15050" s="1" t="s">
        <v>4446</v>
      </c>
      <c r="B15050" s="1" t="s">
        <v>4516</v>
      </c>
      <c r="C15050" s="1" t="str">
        <f>"66298954313640"</f>
        <v>66298954313640</v>
      </c>
      <c r="D15050" s="1" t="str">
        <f>"0810-5-5MM"</f>
        <v>0810-5-5MM</v>
      </c>
      <c r="E15050" s="1" t="s">
        <v>4579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</row>
    <row r="15051" spans="1:11" x14ac:dyDescent="0.2">
      <c r="A15051" s="1" t="s">
        <v>4446</v>
      </c>
      <c r="B15051" s="1" t="s">
        <v>4517</v>
      </c>
      <c r="C15051" s="1" t="str">
        <f>"66298954270324"</f>
        <v>66298954270324</v>
      </c>
      <c r="D15051" s="1" t="str">
        <f>"0810"</f>
        <v>0810</v>
      </c>
      <c r="E15051" s="1" t="s">
        <v>4579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</row>
    <row r="15052" spans="1:11" x14ac:dyDescent="0.2">
      <c r="A15052" s="1" t="s">
        <v>4446</v>
      </c>
      <c r="B15052" s="1" t="s">
        <v>4518</v>
      </c>
      <c r="C15052" s="1" t="str">
        <f>"1549"</f>
        <v>1549</v>
      </c>
      <c r="D15052" s="1" t="str">
        <f>"1549"</f>
        <v>1549</v>
      </c>
      <c r="E15052" s="1" t="s">
        <v>4579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</row>
    <row r="15053" spans="1:11" x14ac:dyDescent="0.2">
      <c r="A15053" s="1" t="s">
        <v>4446</v>
      </c>
      <c r="B15053" s="1" t="s">
        <v>4519</v>
      </c>
      <c r="C15053" s="1" t="str">
        <f>"66298954355957"</f>
        <v>66298954355957</v>
      </c>
      <c r="D15053" s="1" t="str">
        <f>"DC003"</f>
        <v>DC003</v>
      </c>
      <c r="E15053" s="1" t="s">
        <v>4579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</row>
    <row r="15054" spans="1:11" x14ac:dyDescent="0.2">
      <c r="A15054" s="1" t="s">
        <v>4446</v>
      </c>
      <c r="B15054" s="1" t="s">
        <v>4520</v>
      </c>
      <c r="C15054" s="1" t="str">
        <f>"66298954435267"</f>
        <v>66298954435267</v>
      </c>
      <c r="D15054" s="1" t="str">
        <f>"12042"</f>
        <v>12042</v>
      </c>
      <c r="E15054" s="1" t="s">
        <v>4579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</row>
    <row r="15055" spans="1:11" x14ac:dyDescent="0.2">
      <c r="A15055" s="1" t="s">
        <v>4446</v>
      </c>
      <c r="B15055" s="1" t="s">
        <v>4521</v>
      </c>
      <c r="C15055" s="1" t="str">
        <f>"66298954395946"</f>
        <v>66298954395946</v>
      </c>
      <c r="D15055" s="1" t="str">
        <f>"DC012"</f>
        <v>DC012</v>
      </c>
      <c r="E15055" s="1" t="s">
        <v>4579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</row>
    <row r="15056" spans="1:11" x14ac:dyDescent="0.2">
      <c r="A15056" s="1" t="s">
        <v>4446</v>
      </c>
      <c r="B15056" s="1" t="s">
        <v>4523</v>
      </c>
      <c r="C15056" s="1" t="str">
        <f>"66298954522500"</f>
        <v>66298954522500</v>
      </c>
      <c r="D15056" s="1" t="str">
        <f>"DC008"</f>
        <v>DC008</v>
      </c>
      <c r="E15056" s="1" t="s">
        <v>4579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</row>
    <row r="15057" spans="1:11" x14ac:dyDescent="0.2">
      <c r="A15057" s="1" t="s">
        <v>4446</v>
      </c>
      <c r="B15057" s="1" t="s">
        <v>4524</v>
      </c>
      <c r="C15057" s="1" t="str">
        <f>"11474"</f>
        <v>11474</v>
      </c>
      <c r="D15057" s="1" t="str">
        <f>"11474"</f>
        <v>11474</v>
      </c>
      <c r="E15057" s="1" t="s">
        <v>4579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</row>
    <row r="15058" spans="1:11" x14ac:dyDescent="0.2">
      <c r="A15058" s="1" t="s">
        <v>4446</v>
      </c>
      <c r="B15058" s="1" t="s">
        <v>4525</v>
      </c>
      <c r="C15058" s="1" t="str">
        <f>"66298954558929"</f>
        <v>66298954558929</v>
      </c>
      <c r="D15058" s="1" t="str">
        <f>"DC005"</f>
        <v>DC005</v>
      </c>
      <c r="E15058" s="1" t="s">
        <v>4579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</row>
    <row r="15059" spans="1:11" x14ac:dyDescent="0.2">
      <c r="A15059" s="1" t="s">
        <v>4446</v>
      </c>
      <c r="B15059" s="1" t="s">
        <v>4526</v>
      </c>
      <c r="C15059" s="1" t="str">
        <f>"66298954645171"</f>
        <v>66298954645171</v>
      </c>
      <c r="D15059" s="1" t="str">
        <f>"400082"</f>
        <v>400082</v>
      </c>
      <c r="E15059" s="1" t="s">
        <v>4579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</row>
    <row r="15060" spans="1:11" x14ac:dyDescent="0.2">
      <c r="A15060" s="1" t="s">
        <v>4446</v>
      </c>
      <c r="B15060" s="1" t="s">
        <v>4527</v>
      </c>
      <c r="C15060" s="1" t="str">
        <f>"66298954599272"</f>
        <v>66298954599272</v>
      </c>
      <c r="D15060" s="1" t="str">
        <f>"ENT005"</f>
        <v>ENT005</v>
      </c>
      <c r="E15060" s="1" t="s">
        <v>4579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</row>
    <row r="15061" spans="1:11" x14ac:dyDescent="0.2">
      <c r="A15061" s="1" t="s">
        <v>4446</v>
      </c>
      <c r="B15061" s="1" t="s">
        <v>4528</v>
      </c>
      <c r="C15061" s="1" t="str">
        <f>"66298954688694"</f>
        <v>66298954688694</v>
      </c>
      <c r="D15061" s="1" t="str">
        <f>"400073"</f>
        <v>400073</v>
      </c>
      <c r="E15061" s="1" t="s">
        <v>4579</v>
      </c>
      <c r="F15061" s="1">
        <v>1</v>
      </c>
      <c r="G15061" s="1">
        <v>2370</v>
      </c>
      <c r="H15061" s="1">
        <v>2370</v>
      </c>
      <c r="I15061" s="1">
        <v>0</v>
      </c>
      <c r="J15061" s="1">
        <v>1</v>
      </c>
      <c r="K15061" s="1">
        <v>0</v>
      </c>
    </row>
    <row r="15062" spans="1:11" x14ac:dyDescent="0.2">
      <c r="A15062" s="1" t="s">
        <v>4446</v>
      </c>
      <c r="B15062" s="1" t="s">
        <v>4529</v>
      </c>
      <c r="C15062" s="1" t="str">
        <f>"66298954731126"</f>
        <v>66298954731126</v>
      </c>
      <c r="D15062" s="1" t="str">
        <f>"400087"</f>
        <v>400087</v>
      </c>
      <c r="E15062" s="1" t="s">
        <v>4579</v>
      </c>
      <c r="F15062" s="1">
        <v>1</v>
      </c>
      <c r="G15062" s="1">
        <v>4006</v>
      </c>
      <c r="H15062" s="1">
        <v>4006</v>
      </c>
      <c r="I15062" s="1">
        <v>0</v>
      </c>
      <c r="J15062" s="1">
        <v>1</v>
      </c>
      <c r="K15062" s="1">
        <v>0</v>
      </c>
    </row>
    <row r="15063" spans="1:11" x14ac:dyDescent="0.2">
      <c r="A15063" s="1" t="s">
        <v>4446</v>
      </c>
      <c r="B15063" s="1" t="s">
        <v>4530</v>
      </c>
      <c r="C15063" s="1" t="str">
        <f>"66298954818187"</f>
        <v>66298954818187</v>
      </c>
      <c r="D15063" s="1" t="str">
        <f>"400088"</f>
        <v>400088</v>
      </c>
      <c r="E15063" s="1" t="s">
        <v>4579</v>
      </c>
      <c r="F15063" s="1">
        <v>1</v>
      </c>
      <c r="G15063" s="1">
        <v>1188</v>
      </c>
      <c r="H15063" s="1">
        <v>1188</v>
      </c>
      <c r="I15063" s="1">
        <v>0</v>
      </c>
      <c r="J15063" s="1">
        <v>1</v>
      </c>
      <c r="K15063" s="1">
        <v>0</v>
      </c>
    </row>
    <row r="15064" spans="1:11" x14ac:dyDescent="0.2">
      <c r="A15064" s="1" t="s">
        <v>4446</v>
      </c>
      <c r="B15064" s="1" t="s">
        <v>4531</v>
      </c>
      <c r="C15064" s="1" t="str">
        <f>"66298954776377"</f>
        <v>66298954776377</v>
      </c>
      <c r="D15064" s="1" t="str">
        <f>"2401-VALVULAS"</f>
        <v>2401-VALVULAS</v>
      </c>
      <c r="E15064" s="1" t="s">
        <v>4579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</row>
    <row r="15065" spans="1:11" x14ac:dyDescent="0.2">
      <c r="A15065" s="1" t="s">
        <v>4532</v>
      </c>
      <c r="B15065" s="1" t="s">
        <v>4533</v>
      </c>
      <c r="C15065" s="1" t="str">
        <f>"2364"</f>
        <v>2364</v>
      </c>
      <c r="D15065" s="1" t="str">
        <f>"2364"</f>
        <v>2364</v>
      </c>
      <c r="E15065" s="1" t="s">
        <v>4579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</row>
    <row r="15066" spans="1:11" x14ac:dyDescent="0.2">
      <c r="A15066" s="1" t="s">
        <v>4532</v>
      </c>
      <c r="B15066" s="1" t="s">
        <v>4534</v>
      </c>
      <c r="C15066" s="1" t="str">
        <f>"12677"</f>
        <v>12677</v>
      </c>
      <c r="D15066" s="1" t="str">
        <f>"12677"</f>
        <v>12677</v>
      </c>
      <c r="E15066" s="1" t="s">
        <v>4579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</row>
    <row r="15067" spans="1:11" x14ac:dyDescent="0.2">
      <c r="A15067" s="1" t="s">
        <v>4532</v>
      </c>
      <c r="B15067" s="1" t="s">
        <v>4535</v>
      </c>
      <c r="C15067" s="1" t="str">
        <f>"66298954860124"</f>
        <v>66298954860124</v>
      </c>
      <c r="D15067" s="1" t="str">
        <f>"400032"</f>
        <v>400032</v>
      </c>
      <c r="E15067" s="1" t="s">
        <v>4579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</row>
    <row r="15068" spans="1:11" x14ac:dyDescent="0.2">
      <c r="A15068" s="1" t="s">
        <v>4532</v>
      </c>
      <c r="B15068" s="1" t="s">
        <v>4536</v>
      </c>
      <c r="C15068" s="1" t="str">
        <f>"CA001"</f>
        <v>CA001</v>
      </c>
      <c r="D15068" s="1" t="str">
        <f>"CA001"</f>
        <v>CA001</v>
      </c>
      <c r="E15068" s="1" t="s">
        <v>4579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</row>
    <row r="15069" spans="1:11" x14ac:dyDescent="0.2">
      <c r="A15069" s="1" t="s">
        <v>4532</v>
      </c>
      <c r="B15069" s="1" t="s">
        <v>4537</v>
      </c>
      <c r="C15069" s="1" t="str">
        <f>"66298954901999"</f>
        <v>66298954901999</v>
      </c>
      <c r="D15069" s="1" t="str">
        <f>"400757"</f>
        <v>400757</v>
      </c>
      <c r="E15069" s="1" t="s">
        <v>4579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</row>
    <row r="15070" spans="1:11" x14ac:dyDescent="0.2">
      <c r="A15070" s="1" t="s">
        <v>4532</v>
      </c>
      <c r="B15070" s="1" t="s">
        <v>4538</v>
      </c>
      <c r="C15070" s="1" t="str">
        <f>"66298954990331"</f>
        <v>66298954990331</v>
      </c>
      <c r="D15070" s="1" t="str">
        <f>"400758"</f>
        <v>400758</v>
      </c>
      <c r="E15070" s="1" t="s">
        <v>4579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</row>
    <row r="15071" spans="1:11" x14ac:dyDescent="0.2">
      <c r="A15071" s="1" t="s">
        <v>4532</v>
      </c>
      <c r="B15071" s="1" t="s">
        <v>4539</v>
      </c>
      <c r="C15071" s="1" t="str">
        <f>"66298954944934"</f>
        <v>66298954944934</v>
      </c>
      <c r="D15071" s="1" t="str">
        <f>"CA005"</f>
        <v>CA005</v>
      </c>
      <c r="E15071" s="1" t="s">
        <v>4579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</row>
    <row r="15072" spans="1:11" x14ac:dyDescent="0.2">
      <c r="A15072" s="1" t="s">
        <v>4532</v>
      </c>
      <c r="B15072" s="1" t="s">
        <v>4540</v>
      </c>
      <c r="C15072" s="1" t="str">
        <f>"66298955069993"</f>
        <v>66298955069993</v>
      </c>
      <c r="D15072" s="1" t="str">
        <f>"400759"</f>
        <v>400759</v>
      </c>
      <c r="E15072" s="1" t="s">
        <v>4579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</row>
    <row r="15073" spans="1:11" x14ac:dyDescent="0.2">
      <c r="A15073" s="1" t="s">
        <v>4532</v>
      </c>
      <c r="B15073" s="1" t="s">
        <v>4541</v>
      </c>
      <c r="C15073" s="1" t="str">
        <f>"66298955026544"</f>
        <v>66298955026544</v>
      </c>
      <c r="D15073" s="1" t="str">
        <f>"CA006"</f>
        <v>CA006</v>
      </c>
      <c r="E15073" s="1" t="s">
        <v>4579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</row>
    <row r="15074" spans="1:11" x14ac:dyDescent="0.2">
      <c r="A15074" s="1" t="s">
        <v>4542</v>
      </c>
      <c r="B15074" s="1" t="s">
        <v>4543</v>
      </c>
      <c r="C15074" s="1" t="str">
        <f>"66298955110759"</f>
        <v>66298955110759</v>
      </c>
      <c r="D15074" s="1" t="str">
        <f>"PP-32108-000JP"</f>
        <v>PP-32108-000JP</v>
      </c>
      <c r="E15074" s="1" t="s">
        <v>4579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</row>
    <row r="15075" spans="1:11" x14ac:dyDescent="0.2">
      <c r="A15075" s="1" t="s">
        <v>4544</v>
      </c>
      <c r="B15075" s="1" t="s">
        <v>4545</v>
      </c>
      <c r="C15075" s="1" t="str">
        <f>"GJ007"</f>
        <v>GJ007</v>
      </c>
      <c r="D15075" s="1" t="str">
        <f>"GJ007"</f>
        <v>GJ007</v>
      </c>
      <c r="E15075" s="1" t="s">
        <v>4579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</row>
    <row r="15076" spans="1:11" x14ac:dyDescent="0.2">
      <c r="A15076" s="1" t="s">
        <v>4544</v>
      </c>
      <c r="B15076" s="1" t="s">
        <v>4546</v>
      </c>
      <c r="C15076" s="1" t="str">
        <f>"Y545"</f>
        <v>Y545</v>
      </c>
      <c r="D15076" s="1" t="str">
        <f>"Y545"</f>
        <v>Y545</v>
      </c>
      <c r="E15076" s="1" t="s">
        <v>4579</v>
      </c>
      <c r="F15076" s="1">
        <v>2</v>
      </c>
      <c r="G15076" s="1">
        <v>850</v>
      </c>
      <c r="H15076" s="1">
        <v>1700</v>
      </c>
      <c r="I15076" s="1">
        <v>0</v>
      </c>
      <c r="J15076" s="1">
        <v>2</v>
      </c>
      <c r="K15076" s="1">
        <v>0</v>
      </c>
    </row>
    <row r="15077" spans="1:11" x14ac:dyDescent="0.2">
      <c r="A15077" s="1" t="s">
        <v>4544</v>
      </c>
      <c r="B15077" s="1" t="s">
        <v>4547</v>
      </c>
      <c r="C15077" s="1" t="str">
        <f>"Y546"</f>
        <v>Y546</v>
      </c>
      <c r="D15077" s="1" t="str">
        <f>"Y546"</f>
        <v>Y546</v>
      </c>
      <c r="E15077" s="1" t="s">
        <v>4579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</row>
    <row r="15078" spans="1:11" x14ac:dyDescent="0.2">
      <c r="A15078" s="1" t="s">
        <v>4542</v>
      </c>
      <c r="B15078" s="1" t="s">
        <v>4548</v>
      </c>
      <c r="C15078" s="1" t="str">
        <f>"66298955194150"</f>
        <v>66298955194150</v>
      </c>
      <c r="D15078" s="1" t="str">
        <f>"401024"</f>
        <v>401024</v>
      </c>
      <c r="E15078" s="1" t="s">
        <v>4579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</row>
    <row r="15079" spans="1:11" x14ac:dyDescent="0.2">
      <c r="A15079" s="1" t="s">
        <v>4542</v>
      </c>
      <c r="B15079" s="1" t="s">
        <v>4549</v>
      </c>
      <c r="C15079" s="1" t="str">
        <f>"DD001"</f>
        <v>DD001</v>
      </c>
      <c r="D15079" s="1" t="str">
        <f>"DD001"</f>
        <v>DD001</v>
      </c>
      <c r="E15079" s="1" t="s">
        <v>4579</v>
      </c>
      <c r="F15079" s="1">
        <v>2</v>
      </c>
      <c r="G15079" s="1">
        <v>1470</v>
      </c>
      <c r="H15079" s="1">
        <v>2940</v>
      </c>
      <c r="I15079" s="1">
        <v>0</v>
      </c>
      <c r="J15079" s="1">
        <v>2</v>
      </c>
      <c r="K15079" s="1">
        <v>0</v>
      </c>
    </row>
    <row r="15080" spans="1:11" x14ac:dyDescent="0.2">
      <c r="A15080" s="1" t="s">
        <v>4542</v>
      </c>
      <c r="B15080" s="1" t="s">
        <v>4550</v>
      </c>
      <c r="C15080" s="1" t="str">
        <f>"DD002"</f>
        <v>DD002</v>
      </c>
      <c r="D15080" s="1" t="str">
        <f>"DD002"</f>
        <v>DD002</v>
      </c>
      <c r="E15080" s="1" t="s">
        <v>4579</v>
      </c>
      <c r="F15080" s="1">
        <v>2</v>
      </c>
      <c r="G15080" s="1">
        <v>1470</v>
      </c>
      <c r="H15080" s="1">
        <v>2940</v>
      </c>
      <c r="I15080" s="1">
        <v>0</v>
      </c>
      <c r="J15080" s="1">
        <v>2</v>
      </c>
      <c r="K15080" s="1">
        <v>0</v>
      </c>
    </row>
    <row r="15081" spans="1:11" x14ac:dyDescent="0.2">
      <c r="A15081" s="1" t="s">
        <v>4542</v>
      </c>
      <c r="B15081" s="1" t="s">
        <v>4551</v>
      </c>
      <c r="C15081" s="1" t="str">
        <f>"66298955231932"</f>
        <v>66298955231932</v>
      </c>
      <c r="D15081" s="1" t="str">
        <f>"401025"</f>
        <v>401025</v>
      </c>
      <c r="E15081" s="1" t="s">
        <v>4579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</row>
    <row r="15082" spans="1:11" x14ac:dyDescent="0.2">
      <c r="A15082" s="1" t="s">
        <v>4542</v>
      </c>
      <c r="B15082" s="1" t="s">
        <v>4552</v>
      </c>
      <c r="C15082" s="1" t="str">
        <f>"DD003"</f>
        <v>DD003</v>
      </c>
      <c r="D15082" s="1" t="str">
        <f>"DD003"</f>
        <v>DD003</v>
      </c>
      <c r="E15082" s="1" t="s">
        <v>4579</v>
      </c>
      <c r="F15082" s="1">
        <v>2</v>
      </c>
      <c r="G15082" s="1">
        <v>1470</v>
      </c>
      <c r="H15082" s="1">
        <v>2940</v>
      </c>
      <c r="I15082" s="1">
        <v>0</v>
      </c>
      <c r="J15082" s="1">
        <v>2</v>
      </c>
      <c r="K15082" s="1">
        <v>0</v>
      </c>
    </row>
    <row r="15083" spans="1:11" x14ac:dyDescent="0.2">
      <c r="A15083" s="1" t="s">
        <v>4553</v>
      </c>
      <c r="B15083" s="1" t="s">
        <v>4554</v>
      </c>
      <c r="C15083" s="1" t="str">
        <f>"66298955275686"</f>
        <v>66298955275686</v>
      </c>
      <c r="D15083" s="1" t="str">
        <f>"61301-K70-600GIM"</f>
        <v>61301-K70-600GIM</v>
      </c>
      <c r="E15083" s="1" t="s">
        <v>4579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</row>
    <row r="15084" spans="1:11" x14ac:dyDescent="0.2">
      <c r="A15084" s="1" t="s">
        <v>4553</v>
      </c>
      <c r="B15084" s="1" t="s">
        <v>4555</v>
      </c>
      <c r="C15084" s="1" t="str">
        <f>"66298955318818"</f>
        <v>66298955318818</v>
      </c>
      <c r="D15084" s="1" t="str">
        <f>"Y125"</f>
        <v>Y125</v>
      </c>
      <c r="E15084" s="1" t="s">
        <v>4579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</row>
    <row r="15085" spans="1:11" x14ac:dyDescent="0.2">
      <c r="A15085" s="1" t="s">
        <v>4553</v>
      </c>
      <c r="B15085" s="1" t="s">
        <v>4556</v>
      </c>
      <c r="C15085" s="1" t="str">
        <f>"66298955396169"</f>
        <v>66298955396169</v>
      </c>
      <c r="D15085" s="1" t="str">
        <f>"Y173"</f>
        <v>Y173</v>
      </c>
      <c r="E15085" s="1" t="s">
        <v>4579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</row>
    <row r="15086" spans="1:11" x14ac:dyDescent="0.2">
      <c r="A15086" s="1" t="s">
        <v>4553</v>
      </c>
      <c r="B15086" s="1" t="s">
        <v>4557</v>
      </c>
      <c r="C15086" s="1" t="str">
        <f>"66298955354624"</f>
        <v>66298955354624</v>
      </c>
      <c r="D15086" s="1" t="str">
        <f>"Y172"</f>
        <v>Y172</v>
      </c>
      <c r="E15086" s="1" t="s">
        <v>4579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</row>
    <row r="15087" spans="1:11" x14ac:dyDescent="0.2">
      <c r="A15087" s="1" t="s">
        <v>98</v>
      </c>
      <c r="B15087" s="1" t="s">
        <v>4558</v>
      </c>
      <c r="C15087" s="1" t="str">
        <f>"66298955441670"</f>
        <v>66298955441670</v>
      </c>
      <c r="D15087" s="1" t="str">
        <f>"FB034"</f>
        <v>FB034</v>
      </c>
      <c r="E15087" s="1" t="s">
        <v>4579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</row>
    <row r="15088" spans="1:11" x14ac:dyDescent="0.2">
      <c r="A15088" s="1" t="s">
        <v>1567</v>
      </c>
      <c r="B15088" s="1" t="s">
        <v>4559</v>
      </c>
      <c r="C15088" s="1" t="str">
        <f>"RO-3154"</f>
        <v>RO-3154</v>
      </c>
      <c r="D15088" s="1" t="str">
        <f>"RO-3154"</f>
        <v>RO-3154</v>
      </c>
      <c r="E15088" s="1" t="s">
        <v>4579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</row>
    <row r="15089" spans="1:11" x14ac:dyDescent="0.2">
      <c r="B15089" s="1" t="s">
        <v>1569</v>
      </c>
    </row>
    <row r="15090" spans="1:11" x14ac:dyDescent="0.2">
      <c r="B15090" s="1" t="s">
        <v>4560</v>
      </c>
    </row>
    <row r="15091" spans="1:11" x14ac:dyDescent="0.2">
      <c r="B15091" s="1" t="s">
        <v>1571</v>
      </c>
    </row>
    <row r="15092" spans="1:11" x14ac:dyDescent="0.2">
      <c r="B15092" s="1" t="s">
        <v>4561</v>
      </c>
    </row>
    <row r="15093" spans="1:11" x14ac:dyDescent="0.2">
      <c r="B15093" s="1" t="s">
        <v>2546</v>
      </c>
    </row>
    <row r="15094" spans="1:11" x14ac:dyDescent="0.2">
      <c r="B15094" s="1" t="s">
        <v>1574</v>
      </c>
    </row>
    <row r="15095" spans="1:11" x14ac:dyDescent="0.2">
      <c r="B15095" s="1" t="s">
        <v>1575</v>
      </c>
    </row>
    <row r="15096" spans="1:11" x14ac:dyDescent="0.2">
      <c r="B15096" s="1" t="s">
        <v>4562</v>
      </c>
    </row>
    <row r="15097" spans="1:11" x14ac:dyDescent="0.2">
      <c r="B15097" s="1" t="s">
        <v>4563</v>
      </c>
    </row>
    <row r="15098" spans="1:11" x14ac:dyDescent="0.2">
      <c r="A15098" s="1" t="s">
        <v>1567</v>
      </c>
      <c r="B15098" s="1" t="s">
        <v>4559</v>
      </c>
      <c r="C15098" s="1" t="str">
        <f>"RO-3153"</f>
        <v>RO-3153</v>
      </c>
      <c r="D15098" s="1" t="str">
        <f>"RO-3153"</f>
        <v>RO-3153</v>
      </c>
      <c r="E15098" s="1" t="s">
        <v>4579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</row>
    <row r="15099" spans="1:11" x14ac:dyDescent="0.2">
      <c r="B15099" s="1" t="s">
        <v>1569</v>
      </c>
    </row>
    <row r="15100" spans="1:11" x14ac:dyDescent="0.2">
      <c r="B15100" s="1" t="s">
        <v>4560</v>
      </c>
    </row>
    <row r="15101" spans="1:11" x14ac:dyDescent="0.2">
      <c r="B15101" s="1" t="s">
        <v>1571</v>
      </c>
    </row>
    <row r="15102" spans="1:11" x14ac:dyDescent="0.2">
      <c r="B15102" s="1" t="s">
        <v>4561</v>
      </c>
    </row>
    <row r="15103" spans="1:11" x14ac:dyDescent="0.2">
      <c r="B15103" s="1" t="s">
        <v>2546</v>
      </c>
    </row>
    <row r="15104" spans="1:11" x14ac:dyDescent="0.2">
      <c r="B15104" s="1" t="s">
        <v>1574</v>
      </c>
    </row>
    <row r="15105" spans="2:2" x14ac:dyDescent="0.2">
      <c r="B15105" s="1" t="s">
        <v>1575</v>
      </c>
    </row>
    <row r="15106" spans="2:2" x14ac:dyDescent="0.2">
      <c r="B15106" s="1" t="s">
        <v>4564</v>
      </c>
    </row>
    <row r="15107" spans="2:2" x14ac:dyDescent="0.2">
      <c r="B15107" s="1" t="s">
        <v>4565</v>
      </c>
    </row>
  </sheetData>
  <mergeCells count="177">
    <mergeCell ref="J4976:J4985"/>
    <mergeCell ref="K4976:K4985"/>
    <mergeCell ref="J4966:J4975"/>
    <mergeCell ref="K4966:K4975"/>
    <mergeCell ref="A4976:A4985"/>
    <mergeCell ref="C4976:C4985"/>
    <mergeCell ref="D4976:D4985"/>
    <mergeCell ref="E4976:E4985"/>
    <mergeCell ref="F4976:F4985"/>
    <mergeCell ref="G4976:G4985"/>
    <mergeCell ref="H4976:H4985"/>
    <mergeCell ref="I4976:I4985"/>
    <mergeCell ref="J4825:J4834"/>
    <mergeCell ref="K4825:K4834"/>
    <mergeCell ref="A4966:A4975"/>
    <mergeCell ref="C4966:C4975"/>
    <mergeCell ref="D4966:D4975"/>
    <mergeCell ref="E4966:E4975"/>
    <mergeCell ref="F4966:F4975"/>
    <mergeCell ref="G4966:G4975"/>
    <mergeCell ref="H4966:H4975"/>
    <mergeCell ref="I4966:I4975"/>
    <mergeCell ref="J4762:J4771"/>
    <mergeCell ref="K4762:K4771"/>
    <mergeCell ref="A4825:A4834"/>
    <mergeCell ref="C4825:C4834"/>
    <mergeCell ref="D4825:D4834"/>
    <mergeCell ref="E4825:E4834"/>
    <mergeCell ref="F4825:F4834"/>
    <mergeCell ref="G4825:G4834"/>
    <mergeCell ref="H4825:H4834"/>
    <mergeCell ref="I4825:I4834"/>
    <mergeCell ref="J4386:J4395"/>
    <mergeCell ref="K4386:K4395"/>
    <mergeCell ref="A4762:A4771"/>
    <mergeCell ref="C4762:C4771"/>
    <mergeCell ref="D4762:D4771"/>
    <mergeCell ref="E4762:E4771"/>
    <mergeCell ref="F4762:F4771"/>
    <mergeCell ref="G4762:G4771"/>
    <mergeCell ref="H4762:H4771"/>
    <mergeCell ref="I4762:I4771"/>
    <mergeCell ref="J4376:J4385"/>
    <mergeCell ref="K4376:K4385"/>
    <mergeCell ref="A4386:A4395"/>
    <mergeCell ref="C4386:C4395"/>
    <mergeCell ref="D4386:D4395"/>
    <mergeCell ref="E4386:E4395"/>
    <mergeCell ref="F4386:F4395"/>
    <mergeCell ref="G4386:G4395"/>
    <mergeCell ref="H4386:H4395"/>
    <mergeCell ref="I4386:I4395"/>
    <mergeCell ref="J4366:J4375"/>
    <mergeCell ref="K4366:K4375"/>
    <mergeCell ref="A4376:A4385"/>
    <mergeCell ref="C4376:C4385"/>
    <mergeCell ref="D4376:D4385"/>
    <mergeCell ref="E4376:E4385"/>
    <mergeCell ref="F4376:F4385"/>
    <mergeCell ref="G4376:G4385"/>
    <mergeCell ref="H4376:H4385"/>
    <mergeCell ref="I4376:I4385"/>
    <mergeCell ref="J4356:J4365"/>
    <mergeCell ref="K4356:K4365"/>
    <mergeCell ref="A4366:A4375"/>
    <mergeCell ref="C4366:C4375"/>
    <mergeCell ref="D4366:D4375"/>
    <mergeCell ref="E4366:E4375"/>
    <mergeCell ref="F4366:F4375"/>
    <mergeCell ref="G4366:G4375"/>
    <mergeCell ref="H4366:H4375"/>
    <mergeCell ref="I4366:I4375"/>
    <mergeCell ref="J3471:J3480"/>
    <mergeCell ref="K3471:K3480"/>
    <mergeCell ref="A4356:A4365"/>
    <mergeCell ref="C4356:C4365"/>
    <mergeCell ref="D4356:D4365"/>
    <mergeCell ref="E4356:E4365"/>
    <mergeCell ref="F4356:F4365"/>
    <mergeCell ref="G4356:G4365"/>
    <mergeCell ref="H4356:H4365"/>
    <mergeCell ref="I4356:I4365"/>
    <mergeCell ref="J3084:J3093"/>
    <mergeCell ref="K3084:K3093"/>
    <mergeCell ref="A3471:A3480"/>
    <mergeCell ref="C3471:C3480"/>
    <mergeCell ref="D3471:D3480"/>
    <mergeCell ref="E3471:E3480"/>
    <mergeCell ref="F3471:F3480"/>
    <mergeCell ref="G3471:G3480"/>
    <mergeCell ref="H3471:H3480"/>
    <mergeCell ref="I3471:I3480"/>
    <mergeCell ref="J2814:J2823"/>
    <mergeCell ref="K2814:K2823"/>
    <mergeCell ref="A3084:A3093"/>
    <mergeCell ref="C3084:C3093"/>
    <mergeCell ref="D3084:D3093"/>
    <mergeCell ref="E3084:E3093"/>
    <mergeCell ref="F3084:F3093"/>
    <mergeCell ref="G3084:G3093"/>
    <mergeCell ref="H3084:H3093"/>
    <mergeCell ref="I3084:I3093"/>
    <mergeCell ref="J2804:J2813"/>
    <mergeCell ref="K2804:K2813"/>
    <mergeCell ref="A2814:A2823"/>
    <mergeCell ref="C2814:C2823"/>
    <mergeCell ref="D2814:D2823"/>
    <mergeCell ref="E2814:E2823"/>
    <mergeCell ref="F2814:F2823"/>
    <mergeCell ref="G2814:G2823"/>
    <mergeCell ref="H2814:H2823"/>
    <mergeCell ref="I2814:I2823"/>
    <mergeCell ref="J2794:J2803"/>
    <mergeCell ref="K2794:K2803"/>
    <mergeCell ref="A2804:A2813"/>
    <mergeCell ref="C2804:C2813"/>
    <mergeCell ref="D2804:D2813"/>
    <mergeCell ref="E2804:E2813"/>
    <mergeCell ref="F2804:F2813"/>
    <mergeCell ref="G2804:G2813"/>
    <mergeCell ref="H2804:H2813"/>
    <mergeCell ref="I2804:I2813"/>
    <mergeCell ref="J2784:J2793"/>
    <mergeCell ref="K2784:K2793"/>
    <mergeCell ref="A2794:A2803"/>
    <mergeCell ref="C2794:C2803"/>
    <mergeCell ref="D2794:D2803"/>
    <mergeCell ref="E2794:E2803"/>
    <mergeCell ref="F2794:F2803"/>
    <mergeCell ref="G2794:G2803"/>
    <mergeCell ref="H2794:H2803"/>
    <mergeCell ref="I2794:I2803"/>
    <mergeCell ref="J2774:J2783"/>
    <mergeCell ref="K2774:K2783"/>
    <mergeCell ref="A2784:A2793"/>
    <mergeCell ref="C2784:C2793"/>
    <mergeCell ref="D2784:D2793"/>
    <mergeCell ref="E2784:E2793"/>
    <mergeCell ref="F2784:F2793"/>
    <mergeCell ref="G2784:G2793"/>
    <mergeCell ref="H2784:H2793"/>
    <mergeCell ref="I2784:I2793"/>
    <mergeCell ref="J2764:J2773"/>
    <mergeCell ref="K2764:K2773"/>
    <mergeCell ref="A2774:A2783"/>
    <mergeCell ref="C2774:C2783"/>
    <mergeCell ref="D2774:D2783"/>
    <mergeCell ref="E2774:E2783"/>
    <mergeCell ref="F2774:F2783"/>
    <mergeCell ref="G2774:G2783"/>
    <mergeCell ref="H2774:H2783"/>
    <mergeCell ref="I2774:I2783"/>
    <mergeCell ref="J1646:J1655"/>
    <mergeCell ref="K1646:K1655"/>
    <mergeCell ref="A2764:A2773"/>
    <mergeCell ref="C2764:C2773"/>
    <mergeCell ref="D2764:D2773"/>
    <mergeCell ref="E2764:E2773"/>
    <mergeCell ref="F2764:F2773"/>
    <mergeCell ref="G2764:G2773"/>
    <mergeCell ref="H2764:H2773"/>
    <mergeCell ref="I2764:I2773"/>
    <mergeCell ref="A4:I4"/>
    <mergeCell ref="A1646:A1655"/>
    <mergeCell ref="C1646:C1655"/>
    <mergeCell ref="D1646:D1655"/>
    <mergeCell ref="E1646:E1655"/>
    <mergeCell ref="F1646:F1655"/>
    <mergeCell ref="G1646:G1655"/>
    <mergeCell ref="H1646:H1655"/>
    <mergeCell ref="I1646:I1655"/>
    <mergeCell ref="A1:B1"/>
    <mergeCell ref="C1:I1"/>
    <mergeCell ref="A2:B2"/>
    <mergeCell ref="C2:I2"/>
    <mergeCell ref="A3:B3"/>
    <mergeCell ref="C3:I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currentStockReportExport_755e90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Maximiliano Tombolini</cp:lastModifiedBy>
  <dcterms:created xsi:type="dcterms:W3CDTF">2023-09-11T05:07:52Z</dcterms:created>
  <dcterms:modified xsi:type="dcterms:W3CDTF">2023-09-11T05:07:52Z</dcterms:modified>
</cp:coreProperties>
</file>